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4.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slicers/slicer2.xml" ContentType="application/vnd.ms-excel.slicer+xml"/>
  <Override PartName="/xl/comments2.xml" ContentType="application/vnd.openxmlformats-officedocument.spreadsheetml.comments+xml"/>
  <Override PartName="/xl/drawings/drawing5.xml" ContentType="application/vnd.openxmlformats-officedocument.drawing+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comments3.xml" ContentType="application/vnd.openxmlformats-officedocument.spreadsheetml.comment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drawings/drawing10.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slicers/slicer5.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imelines/timeline1.xml" ContentType="application/vnd.ms-excel.timelin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9.xml" ContentType="application/vnd.openxmlformats-officedocument.spreadsheetml.pivotTable+xml"/>
  <Override PartName="/xl/drawings/drawing16.xml" ContentType="application/vnd.openxmlformats-officedocument.drawing+xml"/>
  <Override PartName="/xl/slicers/slicer6.xml" ContentType="application/vnd.ms-excel.slicer+xml"/>
  <Override PartName="/xl/timelines/timeline2.xml" ContentType="application/vnd.ms-excel.timelin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3.xml" ContentType="application/vnd.openxmlformats-officedocument.spreadsheetml.table+xml"/>
  <Override PartName="/xl/comments4.xml" ContentType="application/vnd.openxmlformats-officedocument.spreadsheetml.comments+xml"/>
  <Override PartName="/xl/pivotTables/pivotTable20.xml" ContentType="application/vnd.openxmlformats-officedocument.spreadsheetml.pivotTable+xml"/>
  <Override PartName="/xl/comments5.xml" ContentType="application/vnd.openxmlformats-officedocument.spreadsheetml.comments+xml"/>
  <Override PartName="/xl/drawings/drawing17.xml" ContentType="application/vnd.openxmlformats-officedocument.drawing+xml"/>
  <Override PartName="/xl/tables/table4.xml" ContentType="application/vnd.openxmlformats-officedocument.spreadsheetml.table+xml"/>
  <Override PartName="/xl/comments6.xml" ContentType="application/vnd.openxmlformats-officedocument.spreadsheetml.comments+xml"/>
  <Override PartName="/xl/tables/table5.xml" ContentType="application/vnd.openxmlformats-officedocument.spreadsheetml.table+xml"/>
  <Override PartName="/xl/drawings/drawing18.xml" ContentType="application/vnd.openxmlformats-officedocument.drawing+xml"/>
  <Override PartName="/xl/tables/table6.xml" ContentType="application/vnd.openxmlformats-officedocument.spreadsheetml.table+xml"/>
  <Override PartName="/xl/comments7.xml" ContentType="application/vnd.openxmlformats-officedocument.spreadsheetml.comments+xml"/>
  <Override PartName="/xl/drawings/drawing19.xml" ContentType="application/vnd.openxmlformats-officedocument.drawing+xml"/>
  <Override PartName="/xl/tables/table7.xml" ContentType="application/vnd.openxmlformats-officedocument.spreadsheetml.table+xml"/>
  <Override PartName="/xl/comments8.xml" ContentType="application/vnd.openxmlformats-officedocument.spreadsheetml.comments+xml"/>
  <Override PartName="/xl/drawings/drawing20.xml" ContentType="application/vnd.openxmlformats-officedocument.drawing+xml"/>
  <Override PartName="/xl/tables/table8.xml" ContentType="application/vnd.openxmlformats-officedocument.spreadsheetml.table+xml"/>
  <Override PartName="/xl/comments9.xml" ContentType="application/vnd.openxmlformats-officedocument.spreadsheetml.comments+xml"/>
  <Override PartName="/xl/drawings/drawing21.xml" ContentType="application/vnd.openxmlformats-officedocument.drawing+xml"/>
  <Override PartName="/xl/tables/table9.xml" ContentType="application/vnd.openxmlformats-officedocument.spreadsheetml.table+xml"/>
  <Override PartName="/xl/comments10.xml" ContentType="application/vnd.openxmlformats-officedocument.spreadsheetml.comments+xml"/>
  <Override PartName="/xl/drawings/drawing22.xml" ContentType="application/vnd.openxmlformats-officedocument.drawing+xml"/>
  <Override PartName="/xl/tables/table10.xml" ContentType="application/vnd.openxmlformats-officedocument.spreadsheetml.table+xml"/>
  <Override PartName="/xl/comments11.xml" ContentType="application/vnd.openxmlformats-officedocument.spreadsheetml.comments+xml"/>
  <Override PartName="/xl/drawings/drawing23.xml" ContentType="application/vnd.openxmlformats-officedocument.drawing+xml"/>
  <Override PartName="/xl/tables/table11.xml" ContentType="application/vnd.openxmlformats-officedocument.spreadsheetml.table+xml"/>
  <Override PartName="/xl/comments12.xml" ContentType="application/vnd.openxmlformats-officedocument.spreadsheetml.comments+xml"/>
  <Override PartName="/xl/drawings/drawing24.xml" ContentType="application/vnd.openxmlformats-officedocument.drawing+xml"/>
  <Override PartName="/xl/tables/table12.xml" ContentType="application/vnd.openxmlformats-officedocument.spreadsheetml.table+xml"/>
  <Override PartName="/xl/comments13.xml" ContentType="application/vnd.openxmlformats-officedocument.spreadsheetml.comments+xml"/>
  <Override PartName="/xl/drawings/drawing25.xml" ContentType="application/vnd.openxmlformats-officedocument.drawing+xml"/>
  <Override PartName="/xl/tables/table13.xml" ContentType="application/vnd.openxmlformats-officedocument.spreadsheetml.table+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https://cg72-my.sharepoint.com/personal/laurent_faverais-ext_sarthe_fr/Documents/MAPES/Templates/"/>
    </mc:Choice>
  </mc:AlternateContent>
  <xr:revisionPtr revIDLastSave="12" documentId="8_{2FBD10A3-75CC-45EC-84CE-7A98E1D0486F}" xr6:coauthVersionLast="47" xr6:coauthVersionMax="47" xr10:uidLastSave="{A23D8E1D-5C8D-44FC-A2D4-6B5B1FB8D6A2}"/>
  <bookViews>
    <workbookView xWindow="14310" yWindow="-16320" windowWidth="29040" windowHeight="15840" tabRatio="865" firstSheet="3" activeTab="5" xr2:uid="{6E8E3861-4462-4E03-BC08-1AD3D0F1647A}"/>
  </bookViews>
  <sheets>
    <sheet name="Calculs_CABS" sheetId="52" state="hidden" r:id="rId1"/>
    <sheet name="CABS_CVC" sheetId="53" state="hidden" r:id="rId2"/>
    <sheet name="Liste_CABS" sheetId="54" state="hidden" r:id="rId3"/>
    <sheet name="Surface DEET" sheetId="51" r:id="rId4"/>
    <sheet name="DJU" sheetId="17" r:id="rId5"/>
    <sheet name="Site" sheetId="10" r:id="rId6"/>
    <sheet name="Synthèse" sheetId="21" r:id="rId7"/>
    <sheet name="Calcul_Bilan_Energie" sheetId="24" state="hidden" r:id="rId8"/>
    <sheet name="Choix DEET" sheetId="22" r:id="rId9"/>
    <sheet name="Suivi DEET" sheetId="20" r:id="rId10"/>
    <sheet name="CALCUL DEET" sheetId="14" state="hidden" r:id="rId11"/>
    <sheet name="Estimation_ECS" sheetId="43" state="hidden" r:id="rId12"/>
    <sheet name="Déclaration OPERAT" sheetId="44" r:id="rId13"/>
    <sheet name="Suivi Mensuel" sheetId="48" r:id="rId14"/>
    <sheet name="CalculSuiviMensuel" sheetId="49" state="hidden" r:id="rId15"/>
    <sheet name="Rigueur Climat." sheetId="34" state="hidden" r:id="rId16"/>
    <sheet name="Coût Energie" sheetId="27" r:id="rId17"/>
    <sheet name="Suivi Production" sheetId="26" state="hidden" r:id="rId18"/>
    <sheet name="Suivi Sous_compteur" sheetId="40" state="hidden" r:id="rId19"/>
    <sheet name="Suivi Compteur" sheetId="39" r:id="rId20"/>
    <sheet name="Controle_des_données" sheetId="11" state="hidden" r:id="rId21"/>
    <sheet name="Liste" sheetId="12" state="hidden" r:id="rId22"/>
    <sheet name="TCD_Conso" sheetId="55" state="hidden" r:id="rId23"/>
    <sheet name="Aide CME" sheetId="36" r:id="rId24"/>
    <sheet name="Compteur_1" sheetId="4" r:id="rId25"/>
    <sheet name="Ouverture" sheetId="42" state="hidden" r:id="rId26"/>
    <sheet name="Compteur_2" sheetId="1" r:id="rId27"/>
    <sheet name="Compteur_3" sheetId="2" r:id="rId28"/>
    <sheet name="Compteur_4" sheetId="3" r:id="rId29"/>
    <sheet name="Compteur_5" sheetId="28" r:id="rId30"/>
    <sheet name="Compteur_6" sheetId="8" r:id="rId31"/>
    <sheet name="Compteur_7" sheetId="15" r:id="rId32"/>
    <sheet name="Compteur_8" sheetId="16" r:id="rId33"/>
    <sheet name="ConversionCuveQuantité" sheetId="50" r:id="rId34"/>
    <sheet name="Notes_Versions" sheetId="32" r:id="rId35"/>
  </sheets>
  <definedNames>
    <definedName name="_xlnm._FilterDatabase" localSheetId="1" hidden="1">CABS_CVC!$A$3:$A$52</definedName>
    <definedName name="_xlcn.WorksheetConnection_TB_Energie_Eau_1.57_Vierge_TEST.xlsxTableau16" hidden="1">Tableau16[]</definedName>
    <definedName name="Bureau_services_Publics">Liste_CABS!$K$3:$K$6</definedName>
    <definedName name="Centre_Hospitalier">Liste_CABS!$H$3:$H$18</definedName>
    <definedName name="Chaleur">Liste!$U$3:$U$7</definedName>
    <definedName name="Chronologie_Dates">#N/A</definedName>
    <definedName name="Chronologie_Dates1">#N/A</definedName>
    <definedName name="Coeff_chauff">Controle_des_données!$B$34</definedName>
    <definedName name="Coeff_refroid">Controle_des_données!$B$35</definedName>
    <definedName name="Cogénération">Liste!$Z$3:$Z$7</definedName>
    <definedName name="Collecteurs_solaires">Liste!$AA$3:$AA$7</definedName>
    <definedName name="Combustibles" localSheetId="23">#REF!</definedName>
    <definedName name="Combustibles">Liste!$W$3:$W$17</definedName>
    <definedName name="Consommation">Liste!$R$3:$R$6</definedName>
    <definedName name="Cpt_Consommation">Liste!$T$16</definedName>
    <definedName name="Cpt_Index">Liste!$T$17</definedName>
    <definedName name="Eau">Liste!$X$3:$X$6</definedName>
    <definedName name="Electricité">Liste!$T$3:$T$7</definedName>
    <definedName name="Enseignement">Liste_CABS!$L$3:$L$16</definedName>
    <definedName name="Etablissement_Balneo">Liste_CABS!$I$3:$I$4</definedName>
    <definedName name="Etablissements_Médico_sociaux">Liste_CABS!$G$3:$G$15</definedName>
    <definedName name="_xlnm.Extract" localSheetId="1">CABS_CVC!#REF!</definedName>
    <definedName name="Liste_Type_compteur" localSheetId="23">#REF!</definedName>
    <definedName name="Liste_Type_compteur">Liste!$Q$3:$Q$5</definedName>
    <definedName name="Logistique">Liste_CABS!$J$3:$J$4</definedName>
    <definedName name="Photovolaïque">Liste!$Y$3:$Y$6</definedName>
    <definedName name="Process">Liste!$V$3:$V$4</definedName>
    <definedName name="Production">Liste!$S$3:$S$7</definedName>
    <definedName name="Salles_serveurs">Liste_CABS!$M$3:$M$4</definedName>
    <definedName name="Segment_Annee">#N/A</definedName>
    <definedName name="Segment_Dates__année">#N/A</definedName>
    <definedName name="Segment_Dates__mois">#N/A</definedName>
    <definedName name="Segment_Département1">#N/A</definedName>
    <definedName name="Segment_Nom">#N/A</definedName>
    <definedName name="Segment_Nom5">#N/A</definedName>
    <definedName name="Segment_Nom6">#N/A</definedName>
    <definedName name="Segment_Nom7">#N/A</definedName>
    <definedName name="Segment_Region1">#N/A</definedName>
    <definedName name="Sous_comptage">Liste!$AB$3:$AB$5</definedName>
    <definedName name="Sous_comptage_Chaleur">Liste!$AC$3:$AC$6</definedName>
    <definedName name="Sous_comptage_eau">Liste!$AE$3:$AE$7</definedName>
    <definedName name="Sous_comptage_elec">Liste!$AD$3:$AD$8</definedName>
    <definedName name="Str_TypeDonneesCpt1">Site!$H$38</definedName>
    <definedName name="Str_TypeDonneesCpt2">Site!$H$39</definedName>
    <definedName name="Str_TypeDonneesCpt3">Site!$H$40</definedName>
    <definedName name="Str_TypeDonneesCpt4">Site!$H$41</definedName>
    <definedName name="Str_TypeDonneesCpt5">Site!$H$42</definedName>
    <definedName name="Str_TypeDonneesCpt6">Site!$H$43</definedName>
    <definedName name="Str_TypeDonneesCpt7">Site!$H$44</definedName>
    <definedName name="Str_TypeDonneesCpt8">Site!$H$45</definedName>
    <definedName name="_xlnm.Print_Area" localSheetId="5">Site!$A:$J</definedName>
  </definedNames>
  <calcPr calcId="191029"/>
  <pivotCaches>
    <pivotCache cacheId="983" r:id="rId36"/>
    <pivotCache cacheId="984" r:id="rId37"/>
    <pivotCache cacheId="985" r:id="rId38"/>
    <pivotCache cacheId="986" r:id="rId39"/>
    <pivotCache cacheId="987" r:id="rId40"/>
    <pivotCache cacheId="988" r:id="rId41"/>
    <pivotCache cacheId="989" r:id="rId42"/>
    <pivotCache cacheId="990" r:id="rId43"/>
    <pivotCache cacheId="991" r:id="rId44"/>
    <pivotCache cacheId="992" r:id="rId45"/>
    <pivotCache cacheId="993" r:id="rId46"/>
    <pivotCache cacheId="994" r:id="rId47"/>
    <pivotCache cacheId="995" r:id="rId48"/>
    <pivotCache cacheId="996" r:id="rId49"/>
  </pivotCaches>
  <extLst>
    <ext xmlns:x14="http://schemas.microsoft.com/office/spreadsheetml/2009/9/main" uri="{876F7934-8845-4945-9796-88D515C7AA90}">
      <x14:pivotCaches>
        <pivotCache cacheId="997" r:id="rId50"/>
        <pivotCache cacheId="998" r:id="rId51"/>
        <pivotCache cacheId="999" r:id="rId52"/>
        <pivotCache cacheId="1000" r:id="rId53"/>
        <pivotCache cacheId="1001" r:id="rId54"/>
        <pivotCache cacheId="1002" r:id="rId55"/>
        <pivotCache cacheId="1003" r:id="rId56"/>
      </x14:pivotCaches>
    </ext>
    <ext xmlns:x14="http://schemas.microsoft.com/office/spreadsheetml/2009/9/main" uri="{BBE1A952-AA13-448e-AADC-164F8A28A991}">
      <x14:slicerCaches>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841E416B-1EF1-43b6-AB56-02D37102CBD5}">
      <x15:pivotCaches>
        <pivotCache cacheId="1004" r:id="rId66"/>
        <pivotCache cacheId="1005" r:id="rId67"/>
        <pivotCache cacheId="1006" r:id="rId68"/>
      </x15:pivotCaches>
    </ext>
    <ext xmlns:x15="http://schemas.microsoft.com/office/spreadsheetml/2010/11/main" uri="{983426D0-5260-488c-9760-48F4B6AC55F4}">
      <x15:pivotTableReferences>
        <x15:pivotTableReference r:id="rId69"/>
        <x15:pivotTableReference r:id="rId70"/>
        <x15:pivotTableReference r:id="rId71"/>
      </x15:pivotTableReferences>
    </ext>
    <ext xmlns:x15="http://schemas.microsoft.com/office/spreadsheetml/2010/11/main" uri="{A2CB5862-8E78-49c6-8D9D-AF26E26ADB89}">
      <x15:timelineCachePivotCaches>
        <pivotCache cacheId="1007" r:id="rId72"/>
        <pivotCache cacheId="1008" r:id="rId73"/>
      </x15:timelineCachePivotCaches>
    </ext>
    <ext xmlns:x15="http://schemas.microsoft.com/office/spreadsheetml/2010/11/main" uri="{D0CA8CA8-9F24-4464-BF8E-62219DCF47F9}">
      <x15:timelineCacheRefs>
        <x15:timelineCacheRef r:id="rId74"/>
        <x15:timelineCacheRef r:id="rId75"/>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_concat_f148b151-7865-49f6-8190-93b92363fba8" name="Tab_concat" connection="Requête - Tab_concat"/>
          <x15:modelTable id="Tableau16" name="Tableau16" connection="WorksheetConnection_TB_Energie_Eau_1.57_Vierge_TEST.xlsx!Tableau16"/>
        </x15:modelTables>
        <x15:modelRelationships>
          <x15:modelRelationship fromTable="Tab_concat" fromColumn="Compteur" toTable="Tableau16" toColumn="Compteur/Livraison"/>
        </x15:modelRelationships>
        <x15:extLst>
          <ext xmlns:x16="http://schemas.microsoft.com/office/spreadsheetml/2014/11/main" uri="{9835A34E-60A6-4A7C-AAB8-D5F71C897F49}">
            <x16:modelTimeGroupings>
              <x16:modelTimeGrouping tableName="Tab_concat" columnName="Dates" columnId="Dates">
                <x16:calculatedTimeColumn columnName="Dates (année)" columnId="Dates (année)" contentType="years" isSelected="1"/>
                <x16:calculatedTimeColumn columnName="Dates (trimestre)" columnId="Dates (trimestre)" contentType="quarters" isSelected="1"/>
                <x16:calculatedTimeColumn columnName="Dates (index des mois)" columnId="Dates (index des mois)" contentType="monthsindex" isSelected="1"/>
                <x16:calculatedTimeColumn columnName="Dates (mois)" columnId="Dates (mois)"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9" i="51" l="1"/>
  <c r="Q31" i="24"/>
  <c r="M26" i="12"/>
  <c r="M27" i="12"/>
  <c r="M28" i="12"/>
  <c r="M29" i="12"/>
  <c r="M30" i="12"/>
  <c r="M31" i="12"/>
  <c r="M25" i="12"/>
  <c r="H40" i="14"/>
  <c r="L40" i="14"/>
  <c r="G40" i="14"/>
  <c r="O40" i="14"/>
  <c r="K40" i="14"/>
  <c r="I40" i="14"/>
  <c r="N40" i="14"/>
  <c r="J40" i="14"/>
  <c r="E40" i="14"/>
  <c r="F40" i="14"/>
  <c r="M40" i="14"/>
  <c r="AA9" i="36" l="1"/>
  <c r="Z9" i="36"/>
  <c r="Y9" i="36"/>
  <c r="X9" i="36"/>
  <c r="W9" i="36"/>
  <c r="A4" i="4" l="1"/>
  <c r="C2" i="49" l="1"/>
  <c r="C1" i="49"/>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5" i="16"/>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5" i="15"/>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5" i="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5" i="28"/>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5" i="3"/>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5" i="2"/>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5" i="1"/>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5" i="4"/>
  <c r="A189" i="1" l="1"/>
  <c r="A180" i="1"/>
  <c r="A181" i="1"/>
  <c r="A182" i="1"/>
  <c r="A183" i="1"/>
  <c r="A184" i="1"/>
  <c r="A185" i="1"/>
  <c r="A186" i="1"/>
  <c r="A187" i="1"/>
  <c r="A188" i="1"/>
  <c r="A179" i="1"/>
  <c r="A178" i="1"/>
  <c r="A186" i="4"/>
  <c r="A187" i="4"/>
  <c r="A176" i="4"/>
  <c r="A177" i="4"/>
  <c r="A178" i="4"/>
  <c r="A179" i="4"/>
  <c r="A180" i="4"/>
  <c r="A181" i="4"/>
  <c r="A182" i="4"/>
  <c r="A183" i="4"/>
  <c r="A184" i="4"/>
  <c r="A185" i="4"/>
  <c r="A175" i="4"/>
  <c r="D5" i="22"/>
  <c r="D4" i="20"/>
  <c r="A194" i="1" l="1"/>
  <c r="A193" i="4"/>
  <c r="A192" i="4"/>
  <c r="A199" i="1"/>
  <c r="A191" i="4"/>
  <c r="A190" i="1"/>
  <c r="A190" i="4"/>
  <c r="A189" i="4"/>
  <c r="A201" i="1"/>
  <c r="A188" i="4"/>
  <c r="A195" i="1"/>
  <c r="A200" i="1"/>
  <c r="A193" i="1"/>
  <c r="A198" i="1"/>
  <c r="A195" i="4"/>
  <c r="A192" i="1"/>
  <c r="A197" i="1"/>
  <c r="A194" i="4"/>
  <c r="A191" i="1"/>
  <c r="A196" i="1"/>
  <c r="A196" i="4"/>
  <c r="B3" i="51"/>
  <c r="F10" i="14"/>
  <c r="G10" i="14"/>
  <c r="H10" i="14"/>
  <c r="I10" i="14"/>
  <c r="J10" i="14"/>
  <c r="K10" i="14"/>
  <c r="L10" i="14"/>
  <c r="M10" i="14"/>
  <c r="N10" i="14"/>
  <c r="O10" i="14"/>
  <c r="E10" i="14"/>
  <c r="M32" i="14"/>
  <c r="M18" i="14"/>
  <c r="N32" i="14"/>
  <c r="N18" i="14"/>
  <c r="O32" i="14"/>
  <c r="O18" i="14"/>
  <c r="L32" i="14"/>
  <c r="L18" i="14"/>
  <c r="N91" i="14"/>
  <c r="O91" i="14"/>
  <c r="P91" i="14"/>
  <c r="B29" i="11" l="1"/>
  <c r="B28" i="11"/>
  <c r="B27" i="11"/>
  <c r="P26" i="24"/>
  <c r="N2" i="24"/>
  <c r="G6" i="12"/>
  <c r="G7" i="12"/>
  <c r="G8" i="12"/>
  <c r="G9" i="12"/>
  <c r="G10" i="12"/>
  <c r="G11" i="12"/>
  <c r="G12" i="12"/>
  <c r="G13" i="12"/>
  <c r="G14" i="12"/>
  <c r="G15" i="12"/>
  <c r="G16" i="12"/>
  <c r="G17" i="12"/>
  <c r="G18" i="12"/>
  <c r="G5" i="12"/>
  <c r="I7" i="11"/>
  <c r="I8" i="11"/>
  <c r="I9" i="11"/>
  <c r="I10" i="11"/>
  <c r="I11" i="11"/>
  <c r="I12" i="11"/>
  <c r="I13" i="11"/>
  <c r="I14" i="11"/>
  <c r="A4" i="8"/>
  <c r="E18" i="14"/>
  <c r="P17" i="24"/>
  <c r="P15" i="24"/>
  <c r="P16" i="24"/>
  <c r="P14" i="24"/>
  <c r="P18" i="24"/>
  <c r="N15" i="24"/>
  <c r="P19" i="24" l="1"/>
  <c r="N6" i="24" a="1"/>
  <c r="N6" i="24" s="1"/>
  <c r="N7" i="24" a="1"/>
  <c r="N7" i="24" s="1"/>
  <c r="L13" i="50"/>
  <c r="D238" i="50"/>
  <c r="D237" i="50"/>
  <c r="D236" i="50"/>
  <c r="D235" i="50"/>
  <c r="D234" i="50"/>
  <c r="D233" i="50"/>
  <c r="D232" i="50"/>
  <c r="D231" i="50"/>
  <c r="D230" i="50"/>
  <c r="D229" i="50"/>
  <c r="D228" i="50"/>
  <c r="D227" i="50"/>
  <c r="D226" i="50"/>
  <c r="D225" i="50"/>
  <c r="D224" i="50"/>
  <c r="D223" i="50"/>
  <c r="D222" i="50"/>
  <c r="D221" i="50"/>
  <c r="D220" i="50"/>
  <c r="D219" i="50"/>
  <c r="D218" i="50"/>
  <c r="D217" i="50"/>
  <c r="D216" i="50"/>
  <c r="D215" i="50"/>
  <c r="D214" i="50"/>
  <c r="D213" i="50"/>
  <c r="D212" i="50"/>
  <c r="D211" i="50"/>
  <c r="D210" i="50"/>
  <c r="D209" i="50"/>
  <c r="D208" i="50"/>
  <c r="D207" i="50"/>
  <c r="D206" i="50"/>
  <c r="D205" i="50"/>
  <c r="D204" i="50"/>
  <c r="D203" i="50"/>
  <c r="D202" i="50"/>
  <c r="D201" i="50"/>
  <c r="D200" i="50"/>
  <c r="D199" i="50"/>
  <c r="D198" i="50"/>
  <c r="D197" i="50"/>
  <c r="D196" i="50"/>
  <c r="D195" i="50"/>
  <c r="D194" i="50"/>
  <c r="D193" i="50"/>
  <c r="D192" i="50"/>
  <c r="D191" i="50"/>
  <c r="D190" i="50"/>
  <c r="D189" i="50"/>
  <c r="D188" i="50"/>
  <c r="D187" i="50"/>
  <c r="D186" i="50"/>
  <c r="D185" i="50"/>
  <c r="D184" i="50"/>
  <c r="D183" i="50"/>
  <c r="D182" i="50"/>
  <c r="D181" i="50"/>
  <c r="D180" i="50"/>
  <c r="D179" i="50"/>
  <c r="D178" i="50"/>
  <c r="D177" i="50"/>
  <c r="D176" i="50"/>
  <c r="D175" i="50"/>
  <c r="D174" i="50"/>
  <c r="D173" i="50"/>
  <c r="D172" i="50"/>
  <c r="D171" i="50"/>
  <c r="D170" i="50"/>
  <c r="D169" i="50"/>
  <c r="G170" i="50" s="1"/>
  <c r="E170" i="50" s="1"/>
  <c r="D168" i="50"/>
  <c r="G169" i="50" s="1"/>
  <c r="E169" i="50" s="1"/>
  <c r="D167" i="50"/>
  <c r="G168" i="50" s="1"/>
  <c r="D166" i="50"/>
  <c r="G167" i="50" s="1"/>
  <c r="E167" i="50" s="1"/>
  <c r="D165" i="50"/>
  <c r="G166" i="50" s="1"/>
  <c r="E166" i="50" s="1"/>
  <c r="D164" i="50"/>
  <c r="G165" i="50" s="1"/>
  <c r="E165" i="50" s="1"/>
  <c r="D163" i="50"/>
  <c r="G164" i="50" s="1"/>
  <c r="E164" i="50" s="1"/>
  <c r="D162" i="50"/>
  <c r="G163" i="50" s="1"/>
  <c r="E163" i="50" s="1"/>
  <c r="D161" i="50"/>
  <c r="G162" i="50" s="1"/>
  <c r="E162" i="50" s="1"/>
  <c r="D160" i="50"/>
  <c r="G161" i="50" s="1"/>
  <c r="E161" i="50" s="1"/>
  <c r="D159" i="50"/>
  <c r="G160" i="50" s="1"/>
  <c r="E160" i="50" s="1"/>
  <c r="D158" i="50"/>
  <c r="G159" i="50" s="1"/>
  <c r="E159" i="50" s="1"/>
  <c r="D157" i="50"/>
  <c r="G158" i="50" s="1"/>
  <c r="E158" i="50" s="1"/>
  <c r="D156" i="50"/>
  <c r="G157" i="50" s="1"/>
  <c r="E157" i="50" s="1"/>
  <c r="D155" i="50"/>
  <c r="G156" i="50" s="1"/>
  <c r="E156" i="50" s="1"/>
  <c r="D154" i="50"/>
  <c r="G155" i="50" s="1"/>
  <c r="E155" i="50" s="1"/>
  <c r="D153" i="50"/>
  <c r="G154" i="50" s="1"/>
  <c r="E154" i="50" s="1"/>
  <c r="D152" i="50"/>
  <c r="G153" i="50" s="1"/>
  <c r="E153" i="50" s="1"/>
  <c r="D151" i="50"/>
  <c r="G152" i="50" s="1"/>
  <c r="D150" i="50"/>
  <c r="G151" i="50" s="1"/>
  <c r="E151" i="50" s="1"/>
  <c r="D149" i="50"/>
  <c r="G150" i="50" s="1"/>
  <c r="E150" i="50" s="1"/>
  <c r="D148" i="50"/>
  <c r="G149" i="50" s="1"/>
  <c r="E149" i="50" s="1"/>
  <c r="D147" i="50"/>
  <c r="G148" i="50" s="1"/>
  <c r="E148" i="50" s="1"/>
  <c r="D146" i="50"/>
  <c r="G147" i="50" s="1"/>
  <c r="E147" i="50" s="1"/>
  <c r="D145" i="50"/>
  <c r="G146" i="50" s="1"/>
  <c r="E146" i="50" s="1"/>
  <c r="D144" i="50"/>
  <c r="G145" i="50" s="1"/>
  <c r="E145" i="50" s="1"/>
  <c r="D143" i="50"/>
  <c r="G144" i="50" s="1"/>
  <c r="D142" i="50"/>
  <c r="G143" i="50" s="1"/>
  <c r="E143" i="50" s="1"/>
  <c r="D141" i="50"/>
  <c r="G142" i="50" s="1"/>
  <c r="E142" i="50" s="1"/>
  <c r="D140" i="50"/>
  <c r="G141" i="50" s="1"/>
  <c r="E141" i="50" s="1"/>
  <c r="D139" i="50"/>
  <c r="G140" i="50" s="1"/>
  <c r="E140" i="50" s="1"/>
  <c r="D138" i="50"/>
  <c r="G139" i="50" s="1"/>
  <c r="E139" i="50" s="1"/>
  <c r="D137" i="50"/>
  <c r="G138" i="50" s="1"/>
  <c r="E138" i="50" s="1"/>
  <c r="D136" i="50"/>
  <c r="G137" i="50" s="1"/>
  <c r="E137" i="50" s="1"/>
  <c r="D135" i="50"/>
  <c r="G136" i="50" s="1"/>
  <c r="E136" i="50" s="1"/>
  <c r="D134" i="50"/>
  <c r="G135" i="50" s="1"/>
  <c r="E135" i="50" s="1"/>
  <c r="D133" i="50"/>
  <c r="G134" i="50" s="1"/>
  <c r="E134" i="50" s="1"/>
  <c r="D132" i="50"/>
  <c r="G133" i="50" s="1"/>
  <c r="E133" i="50" s="1"/>
  <c r="D131" i="50"/>
  <c r="G132" i="50" s="1"/>
  <c r="E132" i="50" s="1"/>
  <c r="D130" i="50"/>
  <c r="G131" i="50" s="1"/>
  <c r="E131" i="50" s="1"/>
  <c r="D129" i="50"/>
  <c r="G130" i="50" s="1"/>
  <c r="E130" i="50" s="1"/>
  <c r="D128" i="50"/>
  <c r="G129" i="50" s="1"/>
  <c r="E129" i="50" s="1"/>
  <c r="D127" i="50"/>
  <c r="G128" i="50" s="1"/>
  <c r="E128" i="50" s="1"/>
  <c r="D126" i="50"/>
  <c r="G127" i="50" s="1"/>
  <c r="D125" i="50"/>
  <c r="G126" i="50" s="1"/>
  <c r="E126" i="50" s="1"/>
  <c r="D124" i="50"/>
  <c r="G125" i="50" s="1"/>
  <c r="E125" i="50" s="1"/>
  <c r="D123" i="50"/>
  <c r="G124" i="50" s="1"/>
  <c r="E124" i="50" s="1"/>
  <c r="D122" i="50"/>
  <c r="G123" i="50" s="1"/>
  <c r="E123" i="50" s="1"/>
  <c r="D121" i="50"/>
  <c r="G122" i="50" s="1"/>
  <c r="E122" i="50" s="1"/>
  <c r="D120" i="50"/>
  <c r="G121" i="50" s="1"/>
  <c r="E121" i="50" s="1"/>
  <c r="D119" i="50"/>
  <c r="G120" i="50" s="1"/>
  <c r="D118" i="50"/>
  <c r="G119" i="50" s="1"/>
  <c r="D117" i="50"/>
  <c r="G118" i="50" s="1"/>
  <c r="E118" i="50" s="1"/>
  <c r="D116" i="50"/>
  <c r="G117" i="50" s="1"/>
  <c r="E117" i="50" s="1"/>
  <c r="D115" i="50"/>
  <c r="G116" i="50" s="1"/>
  <c r="E116" i="50" s="1"/>
  <c r="D114" i="50"/>
  <c r="G115" i="50" s="1"/>
  <c r="E115" i="50" s="1"/>
  <c r="D113" i="50"/>
  <c r="G114" i="50" s="1"/>
  <c r="E114" i="50" s="1"/>
  <c r="D112" i="50"/>
  <c r="G113" i="50" s="1"/>
  <c r="E113" i="50" s="1"/>
  <c r="D111" i="50"/>
  <c r="G112" i="50" s="1"/>
  <c r="E112" i="50" s="1"/>
  <c r="D110" i="50"/>
  <c r="G111" i="50" s="1"/>
  <c r="D109" i="50"/>
  <c r="G110" i="50" s="1"/>
  <c r="E110" i="50" s="1"/>
  <c r="D108" i="50"/>
  <c r="G109" i="50" s="1"/>
  <c r="E109" i="50" s="1"/>
  <c r="D107" i="50"/>
  <c r="G108" i="50" s="1"/>
  <c r="E108" i="50" s="1"/>
  <c r="D106" i="50"/>
  <c r="G107" i="50" s="1"/>
  <c r="E107" i="50" s="1"/>
  <c r="D105" i="50"/>
  <c r="G106" i="50" s="1"/>
  <c r="E106" i="50" s="1"/>
  <c r="D104" i="50"/>
  <c r="G105" i="50" s="1"/>
  <c r="E105" i="50" s="1"/>
  <c r="D103" i="50"/>
  <c r="G104" i="50" s="1"/>
  <c r="D102" i="50"/>
  <c r="G103" i="50" s="1"/>
  <c r="D101" i="50"/>
  <c r="G102" i="50" s="1"/>
  <c r="E102" i="50" s="1"/>
  <c r="D100" i="50"/>
  <c r="G101" i="50" s="1"/>
  <c r="E101" i="50" s="1"/>
  <c r="D99" i="50"/>
  <c r="G100" i="50" s="1"/>
  <c r="E100" i="50" s="1"/>
  <c r="D98" i="50"/>
  <c r="G99" i="50" s="1"/>
  <c r="E99" i="50" s="1"/>
  <c r="D97" i="50"/>
  <c r="G98" i="50" s="1"/>
  <c r="E98" i="50" s="1"/>
  <c r="D96" i="50"/>
  <c r="G97" i="50" s="1"/>
  <c r="E97" i="50" s="1"/>
  <c r="D95" i="50"/>
  <c r="G96" i="50" s="1"/>
  <c r="D94" i="50"/>
  <c r="G95" i="50" s="1"/>
  <c r="D93" i="50"/>
  <c r="G94" i="50" s="1"/>
  <c r="E94" i="50" s="1"/>
  <c r="D92" i="50"/>
  <c r="G93" i="50" s="1"/>
  <c r="E93" i="50" s="1"/>
  <c r="D91" i="50"/>
  <c r="G92" i="50" s="1"/>
  <c r="E92" i="50" s="1"/>
  <c r="D90" i="50"/>
  <c r="G91" i="50" s="1"/>
  <c r="E91" i="50" s="1"/>
  <c r="D89" i="50"/>
  <c r="G90" i="50" s="1"/>
  <c r="E90" i="50" s="1"/>
  <c r="D88" i="50"/>
  <c r="G89" i="50" s="1"/>
  <c r="E89" i="50" s="1"/>
  <c r="D87" i="50"/>
  <c r="G88" i="50" s="1"/>
  <c r="D86" i="50"/>
  <c r="G87" i="50" s="1"/>
  <c r="D85" i="50"/>
  <c r="G86" i="50" s="1"/>
  <c r="E86" i="50" s="1"/>
  <c r="D84" i="50"/>
  <c r="G85" i="50" s="1"/>
  <c r="E85" i="50" s="1"/>
  <c r="D83" i="50"/>
  <c r="G84" i="50" s="1"/>
  <c r="E84" i="50" s="1"/>
  <c r="D82" i="50"/>
  <c r="G83" i="50" s="1"/>
  <c r="E83" i="50" s="1"/>
  <c r="D81" i="50"/>
  <c r="G82" i="50" s="1"/>
  <c r="E82" i="50" s="1"/>
  <c r="D80" i="50"/>
  <c r="G81" i="50" s="1"/>
  <c r="E81" i="50" s="1"/>
  <c r="D79" i="50"/>
  <c r="G80" i="50" s="1"/>
  <c r="E80" i="50" s="1"/>
  <c r="D78" i="50"/>
  <c r="G79" i="50" s="1"/>
  <c r="D77" i="50"/>
  <c r="G78" i="50" s="1"/>
  <c r="E78" i="50" s="1"/>
  <c r="D76" i="50"/>
  <c r="G77" i="50" s="1"/>
  <c r="E77" i="50" s="1"/>
  <c r="D75" i="50"/>
  <c r="G76" i="50" s="1"/>
  <c r="E76" i="50" s="1"/>
  <c r="D74" i="50"/>
  <c r="G75" i="50" s="1"/>
  <c r="E75" i="50" s="1"/>
  <c r="D73" i="50"/>
  <c r="G74" i="50" s="1"/>
  <c r="E74" i="50" s="1"/>
  <c r="D72" i="50"/>
  <c r="G73" i="50" s="1"/>
  <c r="E73" i="50" s="1"/>
  <c r="D71" i="50"/>
  <c r="G72" i="50" s="1"/>
  <c r="D70" i="50"/>
  <c r="G71" i="50" s="1"/>
  <c r="D69" i="50"/>
  <c r="G70" i="50" s="1"/>
  <c r="E70" i="50" s="1"/>
  <c r="D68" i="50"/>
  <c r="G69" i="50" s="1"/>
  <c r="E69" i="50" s="1"/>
  <c r="D67" i="50"/>
  <c r="G68" i="50" s="1"/>
  <c r="E68" i="50" s="1"/>
  <c r="D66" i="50"/>
  <c r="G67" i="50" s="1"/>
  <c r="E67" i="50" s="1"/>
  <c r="D65" i="50"/>
  <c r="G66" i="50" s="1"/>
  <c r="E66" i="50" s="1"/>
  <c r="D64" i="50"/>
  <c r="G65" i="50" s="1"/>
  <c r="E65" i="50" s="1"/>
  <c r="D63" i="50"/>
  <c r="G64" i="50" s="1"/>
  <c r="D62" i="50"/>
  <c r="G63" i="50" s="1"/>
  <c r="E63" i="50" s="1"/>
  <c r="D61" i="50"/>
  <c r="G62" i="50" s="1"/>
  <c r="E62" i="50" s="1"/>
  <c r="D60" i="50"/>
  <c r="G61" i="50" s="1"/>
  <c r="E61" i="50" s="1"/>
  <c r="D59" i="50"/>
  <c r="G60" i="50" s="1"/>
  <c r="E60" i="50" s="1"/>
  <c r="D58" i="50"/>
  <c r="G59" i="50" s="1"/>
  <c r="E59" i="50" s="1"/>
  <c r="D57" i="50"/>
  <c r="G58" i="50" s="1"/>
  <c r="E58" i="50" s="1"/>
  <c r="D56" i="50"/>
  <c r="G57" i="50" s="1"/>
  <c r="E57" i="50" s="1"/>
  <c r="D55" i="50"/>
  <c r="G56" i="50" s="1"/>
  <c r="D54" i="50"/>
  <c r="G55" i="50" s="1"/>
  <c r="E55" i="50" s="1"/>
  <c r="D53" i="50"/>
  <c r="G54" i="50" s="1"/>
  <c r="E54" i="50" s="1"/>
  <c r="D52" i="50"/>
  <c r="G53" i="50" s="1"/>
  <c r="E53" i="50" s="1"/>
  <c r="D51" i="50"/>
  <c r="G52" i="50" s="1"/>
  <c r="E52" i="50" s="1"/>
  <c r="D50" i="50"/>
  <c r="G51" i="50" s="1"/>
  <c r="E51" i="50" s="1"/>
  <c r="D49" i="50"/>
  <c r="G50" i="50" s="1"/>
  <c r="E50" i="50" s="1"/>
  <c r="D48" i="50"/>
  <c r="G49" i="50" s="1"/>
  <c r="E49" i="50" s="1"/>
  <c r="D47" i="50"/>
  <c r="G48" i="50" s="1"/>
  <c r="E48" i="50" s="1"/>
  <c r="D46" i="50"/>
  <c r="G47" i="50" s="1"/>
  <c r="D45" i="50"/>
  <c r="G46" i="50" s="1"/>
  <c r="E46" i="50" s="1"/>
  <c r="D44" i="50"/>
  <c r="G45" i="50" s="1"/>
  <c r="E45" i="50" s="1"/>
  <c r="D43" i="50"/>
  <c r="G44" i="50" s="1"/>
  <c r="E44" i="50" s="1"/>
  <c r="D42" i="50"/>
  <c r="G43" i="50" s="1"/>
  <c r="E43" i="50" s="1"/>
  <c r="D41" i="50"/>
  <c r="G42" i="50" s="1"/>
  <c r="E42" i="50" s="1"/>
  <c r="D40" i="50"/>
  <c r="G41" i="50" s="1"/>
  <c r="E41" i="50" s="1"/>
  <c r="D39" i="50"/>
  <c r="G40" i="50" s="1"/>
  <c r="D38" i="50"/>
  <c r="G39" i="50" s="1"/>
  <c r="E39" i="50" s="1"/>
  <c r="D37" i="50"/>
  <c r="G38" i="50" s="1"/>
  <c r="E38" i="50" s="1"/>
  <c r="D36" i="50"/>
  <c r="G37" i="50" s="1"/>
  <c r="E37" i="50" s="1"/>
  <c r="D35" i="50"/>
  <c r="G36" i="50" s="1"/>
  <c r="E36" i="50" s="1"/>
  <c r="D34" i="50"/>
  <c r="G35" i="50" s="1"/>
  <c r="E35" i="50" s="1"/>
  <c r="D33" i="50"/>
  <c r="G34" i="50" s="1"/>
  <c r="E34" i="50" s="1"/>
  <c r="D32" i="50"/>
  <c r="G33" i="50" s="1"/>
  <c r="E33" i="50" s="1"/>
  <c r="D31" i="50"/>
  <c r="G32" i="50" s="1"/>
  <c r="D30" i="50"/>
  <c r="G31" i="50" s="1"/>
  <c r="D29" i="50"/>
  <c r="G30" i="50" s="1"/>
  <c r="E30" i="50" s="1"/>
  <c r="D28" i="50"/>
  <c r="G29" i="50" s="1"/>
  <c r="E29" i="50" s="1"/>
  <c r="D27" i="50"/>
  <c r="G28" i="50" s="1"/>
  <c r="E28" i="50" s="1"/>
  <c r="D26" i="50"/>
  <c r="G27" i="50" s="1"/>
  <c r="E27" i="50" s="1"/>
  <c r="D25" i="50"/>
  <c r="G26" i="50" s="1"/>
  <c r="E26" i="50" s="1"/>
  <c r="D24" i="50"/>
  <c r="G25" i="50" s="1"/>
  <c r="E25" i="50" s="1"/>
  <c r="D23" i="50"/>
  <c r="G24" i="50" s="1"/>
  <c r="D22" i="50"/>
  <c r="G23" i="50" s="1"/>
  <c r="D21" i="50"/>
  <c r="G22" i="50" s="1"/>
  <c r="E22" i="50" s="1"/>
  <c r="D20" i="50"/>
  <c r="G21" i="50" s="1"/>
  <c r="E21" i="50" s="1"/>
  <c r="D19" i="50"/>
  <c r="G20" i="50" s="1"/>
  <c r="E20" i="50" s="1"/>
  <c r="D18" i="50"/>
  <c r="G19" i="50" s="1"/>
  <c r="E19" i="50" s="1"/>
  <c r="D17" i="50"/>
  <c r="G18" i="50" s="1"/>
  <c r="E18" i="50" s="1"/>
  <c r="D16" i="50"/>
  <c r="G17" i="50" s="1"/>
  <c r="E17" i="50" s="1"/>
  <c r="D15" i="50"/>
  <c r="G16" i="50" s="1"/>
  <c r="E16" i="50" s="1"/>
  <c r="D14" i="50"/>
  <c r="G15" i="50" s="1"/>
  <c r="E15" i="50" s="1"/>
  <c r="D13" i="50"/>
  <c r="G14" i="50" s="1"/>
  <c r="E14" i="50" s="1"/>
  <c r="D12" i="50"/>
  <c r="G13" i="50" s="1"/>
  <c r="E13" i="50" s="1"/>
  <c r="D11" i="50"/>
  <c r="G12" i="50" s="1"/>
  <c r="E12" i="50" s="1"/>
  <c r="D10" i="50"/>
  <c r="G11" i="50" s="1"/>
  <c r="E11" i="50" s="1"/>
  <c r="D9" i="50"/>
  <c r="G10" i="50" s="1"/>
  <c r="E10" i="50" s="1"/>
  <c r="D8" i="50"/>
  <c r="G9" i="50" s="1"/>
  <c r="E9" i="50" s="1"/>
  <c r="D7" i="50"/>
  <c r="G8" i="50" s="1"/>
  <c r="D6" i="50"/>
  <c r="G7" i="50" s="1"/>
  <c r="E7" i="50" s="1"/>
  <c r="D5" i="50"/>
  <c r="G6" i="50" s="1"/>
  <c r="E6" i="50" s="1"/>
  <c r="D4" i="50"/>
  <c r="G5" i="50" s="1"/>
  <c r="E5" i="50" s="1"/>
  <c r="D3" i="50"/>
  <c r="G4" i="50" s="1"/>
  <c r="E4" i="50" s="1"/>
  <c r="D2" i="50"/>
  <c r="G3" i="50" s="1"/>
  <c r="E3" i="50" s="1"/>
  <c r="G238" i="50"/>
  <c r="E238" i="50" s="1"/>
  <c r="F238" i="50"/>
  <c r="G237" i="50"/>
  <c r="E237" i="50" s="1"/>
  <c r="F237" i="50"/>
  <c r="G236" i="50"/>
  <c r="E236" i="50" s="1"/>
  <c r="F236" i="50"/>
  <c r="G235" i="50"/>
  <c r="E235" i="50" s="1"/>
  <c r="F235" i="50"/>
  <c r="G234" i="50"/>
  <c r="E234" i="50" s="1"/>
  <c r="F234" i="50"/>
  <c r="G233" i="50"/>
  <c r="E233" i="50" s="1"/>
  <c r="F233" i="50"/>
  <c r="G232" i="50"/>
  <c r="E232" i="50" s="1"/>
  <c r="F232" i="50"/>
  <c r="G231" i="50"/>
  <c r="E231" i="50" s="1"/>
  <c r="F231" i="50"/>
  <c r="G230" i="50"/>
  <c r="E230" i="50" s="1"/>
  <c r="F230" i="50"/>
  <c r="G229" i="50"/>
  <c r="E229" i="50" s="1"/>
  <c r="F229" i="50"/>
  <c r="G228" i="50"/>
  <c r="E228" i="50" s="1"/>
  <c r="F228" i="50"/>
  <c r="G227" i="50"/>
  <c r="E227" i="50" s="1"/>
  <c r="F227" i="50"/>
  <c r="G226" i="50"/>
  <c r="E226" i="50" s="1"/>
  <c r="F226" i="50"/>
  <c r="G225" i="50"/>
  <c r="E225" i="50" s="1"/>
  <c r="F225" i="50"/>
  <c r="G224" i="50"/>
  <c r="E224" i="50" s="1"/>
  <c r="F224" i="50"/>
  <c r="G223" i="50"/>
  <c r="E223" i="50" s="1"/>
  <c r="F223" i="50"/>
  <c r="G222" i="50"/>
  <c r="E222" i="50" s="1"/>
  <c r="F222" i="50"/>
  <c r="G221" i="50"/>
  <c r="E221" i="50" s="1"/>
  <c r="F221" i="50"/>
  <c r="G220" i="50"/>
  <c r="E220" i="50" s="1"/>
  <c r="F220" i="50"/>
  <c r="G219" i="50"/>
  <c r="E219" i="50" s="1"/>
  <c r="F219" i="50"/>
  <c r="G218" i="50"/>
  <c r="E218" i="50" s="1"/>
  <c r="F218" i="50"/>
  <c r="G217" i="50"/>
  <c r="E217" i="50" s="1"/>
  <c r="F217" i="50"/>
  <c r="G216" i="50"/>
  <c r="E216" i="50" s="1"/>
  <c r="F216" i="50"/>
  <c r="G215" i="50"/>
  <c r="E215" i="50" s="1"/>
  <c r="F215" i="50"/>
  <c r="G214" i="50"/>
  <c r="E214" i="50" s="1"/>
  <c r="F214" i="50"/>
  <c r="G213" i="50"/>
  <c r="E213" i="50" s="1"/>
  <c r="F213" i="50"/>
  <c r="G212" i="50"/>
  <c r="E212" i="50" s="1"/>
  <c r="F212" i="50"/>
  <c r="G211" i="50"/>
  <c r="E211" i="50" s="1"/>
  <c r="F211" i="50"/>
  <c r="G210" i="50"/>
  <c r="E210" i="50" s="1"/>
  <c r="F210" i="50"/>
  <c r="G209" i="50"/>
  <c r="E209" i="50" s="1"/>
  <c r="F209" i="50"/>
  <c r="G208" i="50"/>
  <c r="E208" i="50" s="1"/>
  <c r="F208" i="50"/>
  <c r="G207" i="50"/>
  <c r="E207" i="50" s="1"/>
  <c r="F207" i="50"/>
  <c r="G206" i="50"/>
  <c r="E206" i="50" s="1"/>
  <c r="F206" i="50"/>
  <c r="G205" i="50"/>
  <c r="E205" i="50" s="1"/>
  <c r="F205" i="50"/>
  <c r="G204" i="50"/>
  <c r="E204" i="50" s="1"/>
  <c r="F204" i="50"/>
  <c r="G203" i="50"/>
  <c r="E203" i="50" s="1"/>
  <c r="F203" i="50"/>
  <c r="G202" i="50"/>
  <c r="E202" i="50" s="1"/>
  <c r="F202" i="50"/>
  <c r="G201" i="50"/>
  <c r="E201" i="50" s="1"/>
  <c r="F201" i="50"/>
  <c r="G200" i="50"/>
  <c r="E200" i="50" s="1"/>
  <c r="F200" i="50"/>
  <c r="G199" i="50"/>
  <c r="E199" i="50" s="1"/>
  <c r="F199" i="50"/>
  <c r="G198" i="50"/>
  <c r="E198" i="50" s="1"/>
  <c r="F198" i="50"/>
  <c r="G197" i="50"/>
  <c r="E197" i="50" s="1"/>
  <c r="F197" i="50"/>
  <c r="G196" i="50"/>
  <c r="E196" i="50" s="1"/>
  <c r="F196" i="50"/>
  <c r="G195" i="50"/>
  <c r="E195" i="50" s="1"/>
  <c r="F195" i="50"/>
  <c r="G194" i="50"/>
  <c r="E194" i="50" s="1"/>
  <c r="F194" i="50"/>
  <c r="G193" i="50"/>
  <c r="E193" i="50" s="1"/>
  <c r="F193" i="50"/>
  <c r="G192" i="50"/>
  <c r="E192" i="50" s="1"/>
  <c r="F192" i="50"/>
  <c r="G191" i="50"/>
  <c r="F191" i="50"/>
  <c r="G190" i="50"/>
  <c r="E190" i="50" s="1"/>
  <c r="F190" i="50"/>
  <c r="G189" i="50"/>
  <c r="E189" i="50" s="1"/>
  <c r="F189" i="50"/>
  <c r="G188" i="50"/>
  <c r="E188" i="50" s="1"/>
  <c r="F188" i="50"/>
  <c r="G187" i="50"/>
  <c r="E187" i="50" s="1"/>
  <c r="F187" i="50"/>
  <c r="G186" i="50"/>
  <c r="E186" i="50" s="1"/>
  <c r="F186" i="50"/>
  <c r="G185" i="50"/>
  <c r="E185" i="50" s="1"/>
  <c r="F185" i="50"/>
  <c r="G184" i="50"/>
  <c r="E184" i="50" s="1"/>
  <c r="F184" i="50"/>
  <c r="G183" i="50"/>
  <c r="F183" i="50"/>
  <c r="G182" i="50"/>
  <c r="E182" i="50" s="1"/>
  <c r="F182" i="50"/>
  <c r="G181" i="50"/>
  <c r="E181" i="50" s="1"/>
  <c r="F181" i="50"/>
  <c r="G180" i="50"/>
  <c r="E180" i="50" s="1"/>
  <c r="F180" i="50"/>
  <c r="G179" i="50"/>
  <c r="E179" i="50" s="1"/>
  <c r="F179" i="50"/>
  <c r="G178" i="50"/>
  <c r="E178" i="50" s="1"/>
  <c r="F178" i="50"/>
  <c r="G177" i="50"/>
  <c r="E177" i="50" s="1"/>
  <c r="F177" i="50"/>
  <c r="G176" i="50"/>
  <c r="E176" i="50" s="1"/>
  <c r="F176" i="50"/>
  <c r="G175" i="50"/>
  <c r="E175" i="50" s="1"/>
  <c r="F175" i="50"/>
  <c r="G174" i="50"/>
  <c r="E174" i="50" s="1"/>
  <c r="F174" i="50"/>
  <c r="G173" i="50"/>
  <c r="E173" i="50" s="1"/>
  <c r="F173" i="50"/>
  <c r="G172" i="50"/>
  <c r="E172" i="50" s="1"/>
  <c r="F172" i="50"/>
  <c r="G171" i="50"/>
  <c r="E171" i="50" s="1"/>
  <c r="F171" i="50"/>
  <c r="F170" i="50"/>
  <c r="F169" i="50"/>
  <c r="F168" i="50"/>
  <c r="F167" i="50"/>
  <c r="F166" i="50"/>
  <c r="F165" i="50"/>
  <c r="F164" i="50"/>
  <c r="F163" i="50"/>
  <c r="F162" i="50"/>
  <c r="F161" i="50"/>
  <c r="F160" i="50"/>
  <c r="F159" i="50"/>
  <c r="F158" i="50"/>
  <c r="F157" i="50"/>
  <c r="F156" i="50"/>
  <c r="F155" i="50"/>
  <c r="F154" i="50"/>
  <c r="F153" i="50"/>
  <c r="F152" i="50"/>
  <c r="F151" i="50"/>
  <c r="F150" i="50"/>
  <c r="F149" i="50"/>
  <c r="F148" i="50"/>
  <c r="F147" i="50"/>
  <c r="F146" i="50"/>
  <c r="F145" i="50"/>
  <c r="F144" i="50"/>
  <c r="F143" i="50"/>
  <c r="F142" i="50"/>
  <c r="F141" i="50"/>
  <c r="F140" i="50"/>
  <c r="F139" i="50"/>
  <c r="F138" i="50"/>
  <c r="F137" i="50"/>
  <c r="F136" i="50"/>
  <c r="F135" i="50"/>
  <c r="F134" i="50"/>
  <c r="F133" i="50"/>
  <c r="F132" i="50"/>
  <c r="F131" i="50"/>
  <c r="F130" i="50"/>
  <c r="F129" i="50"/>
  <c r="F128" i="50"/>
  <c r="F127" i="50"/>
  <c r="F126" i="50"/>
  <c r="F125" i="50"/>
  <c r="F124" i="50"/>
  <c r="F123" i="50"/>
  <c r="F122" i="50"/>
  <c r="F121" i="50"/>
  <c r="F120" i="50"/>
  <c r="F119" i="50"/>
  <c r="F118" i="50"/>
  <c r="F117" i="50"/>
  <c r="F116" i="50"/>
  <c r="F115" i="50"/>
  <c r="F114" i="50"/>
  <c r="F113" i="50"/>
  <c r="F112" i="50"/>
  <c r="F111" i="50"/>
  <c r="F110" i="50"/>
  <c r="F109" i="50"/>
  <c r="F108" i="50"/>
  <c r="F107" i="50"/>
  <c r="F106" i="50"/>
  <c r="F105" i="50"/>
  <c r="F104" i="50"/>
  <c r="F103" i="50"/>
  <c r="F102" i="50"/>
  <c r="F101" i="50"/>
  <c r="F100" i="50"/>
  <c r="F99" i="50"/>
  <c r="F98" i="50"/>
  <c r="F97" i="50"/>
  <c r="F96" i="50"/>
  <c r="F95" i="50"/>
  <c r="F94" i="50"/>
  <c r="F93" i="50"/>
  <c r="F92" i="50"/>
  <c r="F91" i="50"/>
  <c r="F90" i="50"/>
  <c r="F89" i="50"/>
  <c r="F88" i="50"/>
  <c r="F87" i="50"/>
  <c r="F86" i="50"/>
  <c r="F85" i="50"/>
  <c r="F84" i="50"/>
  <c r="F83" i="50"/>
  <c r="F82" i="50"/>
  <c r="F81" i="50"/>
  <c r="F80" i="50"/>
  <c r="F79" i="50"/>
  <c r="F78" i="50"/>
  <c r="F77" i="50"/>
  <c r="F76" i="50"/>
  <c r="F75" i="50"/>
  <c r="F74" i="50"/>
  <c r="F73" i="50"/>
  <c r="F72" i="50"/>
  <c r="F71" i="50"/>
  <c r="F70" i="50"/>
  <c r="F69" i="50"/>
  <c r="F68" i="50"/>
  <c r="F67" i="50"/>
  <c r="F66" i="50"/>
  <c r="F65" i="50"/>
  <c r="F64" i="50"/>
  <c r="F63" i="50"/>
  <c r="F62" i="50"/>
  <c r="F61" i="50"/>
  <c r="F60" i="50"/>
  <c r="F59" i="50"/>
  <c r="F58" i="50"/>
  <c r="F57" i="50"/>
  <c r="F56" i="50"/>
  <c r="F55" i="50"/>
  <c r="F54" i="50"/>
  <c r="F53" i="50"/>
  <c r="F52" i="50"/>
  <c r="F51" i="50"/>
  <c r="F50" i="50"/>
  <c r="F49" i="50"/>
  <c r="F48" i="50"/>
  <c r="F47" i="50"/>
  <c r="F46" i="50"/>
  <c r="F45" i="50"/>
  <c r="F44" i="50"/>
  <c r="F43" i="50"/>
  <c r="F42" i="50"/>
  <c r="F41" i="50"/>
  <c r="F40" i="50"/>
  <c r="F39" i="50"/>
  <c r="F38" i="50"/>
  <c r="F37" i="50"/>
  <c r="F36" i="50"/>
  <c r="F35" i="50"/>
  <c r="F34" i="50"/>
  <c r="F33" i="50"/>
  <c r="F32" i="50"/>
  <c r="F31" i="50"/>
  <c r="F30" i="50"/>
  <c r="F29" i="50"/>
  <c r="F28" i="50"/>
  <c r="F27" i="50"/>
  <c r="F26" i="50"/>
  <c r="F25" i="50"/>
  <c r="F24" i="50"/>
  <c r="F23" i="50"/>
  <c r="F22" i="50"/>
  <c r="F21" i="50"/>
  <c r="F20" i="50"/>
  <c r="F19" i="50"/>
  <c r="F18" i="50"/>
  <c r="F17" i="50"/>
  <c r="F16" i="50"/>
  <c r="F15" i="50"/>
  <c r="F14" i="50"/>
  <c r="F13" i="50"/>
  <c r="F12" i="50"/>
  <c r="F11" i="50"/>
  <c r="F10" i="50"/>
  <c r="F9" i="50"/>
  <c r="F8" i="50"/>
  <c r="F7" i="50"/>
  <c r="F6" i="50"/>
  <c r="F5" i="50"/>
  <c r="F4" i="50"/>
  <c r="F3" i="50"/>
  <c r="L1" i="16"/>
  <c r="L1" i="15"/>
  <c r="L1" i="8"/>
  <c r="L1" i="28"/>
  <c r="L1" i="3"/>
  <c r="L1" i="2"/>
  <c r="L1" i="1"/>
  <c r="L1" i="4"/>
  <c r="R28" i="43"/>
  <c r="I29" i="14"/>
  <c r="K21" i="43"/>
  <c r="W41" i="43"/>
  <c r="H55" i="14"/>
  <c r="M41" i="43"/>
  <c r="O26" i="14"/>
  <c r="L26" i="14"/>
  <c r="I28" i="14"/>
  <c r="I13" i="14"/>
  <c r="N29" i="14"/>
  <c r="I68" i="14"/>
  <c r="K25" i="14"/>
  <c r="F25" i="14"/>
  <c r="G71" i="14"/>
  <c r="E27" i="14"/>
  <c r="E70" i="14"/>
  <c r="D35" i="43"/>
  <c r="D71" i="14"/>
  <c r="F56" i="14"/>
  <c r="M21" i="43"/>
  <c r="D41" i="43"/>
  <c r="F29" i="14"/>
  <c r="G27" i="14"/>
  <c r="O21" i="43"/>
  <c r="N72" i="14"/>
  <c r="F21" i="43"/>
  <c r="L72" i="14"/>
  <c r="V21" i="43"/>
  <c r="V35" i="43"/>
  <c r="H63" i="14"/>
  <c r="P55" i="14"/>
  <c r="O22" i="43"/>
  <c r="S21" i="43"/>
  <c r="K29" i="43"/>
  <c r="H25" i="14"/>
  <c r="N41" i="43"/>
  <c r="I20" i="14"/>
  <c r="F22" i="43"/>
  <c r="W29" i="43"/>
  <c r="I42" i="43"/>
  <c r="W28" i="43"/>
  <c r="I26" i="14"/>
  <c r="D56" i="14"/>
  <c r="T34" i="43"/>
  <c r="O69" i="14"/>
  <c r="T28" i="43"/>
  <c r="G11" i="49"/>
  <c r="F43" i="43"/>
  <c r="S35" i="43"/>
  <c r="P34" i="43"/>
  <c r="G22" i="43"/>
  <c r="L35" i="43"/>
  <c r="D70" i="14"/>
  <c r="L63" i="14"/>
  <c r="W43" i="43"/>
  <c r="V29" i="43"/>
  <c r="H41" i="43"/>
  <c r="N18" i="24"/>
  <c r="T21" i="43"/>
  <c r="E13" i="14"/>
  <c r="O55" i="14"/>
  <c r="G23" i="49"/>
  <c r="U43" i="43"/>
  <c r="I69" i="14"/>
  <c r="P70" i="14"/>
  <c r="L43" i="43"/>
  <c r="K27" i="14"/>
  <c r="J25" i="14"/>
  <c r="L27" i="14"/>
  <c r="G25" i="14"/>
  <c r="G27" i="49"/>
  <c r="M20" i="14"/>
  <c r="I56" i="14"/>
  <c r="M70" i="14"/>
  <c r="O12" i="14"/>
  <c r="N68" i="14"/>
  <c r="E71" i="14"/>
  <c r="K70" i="14"/>
  <c r="O14" i="24"/>
  <c r="G24" i="49"/>
  <c r="N63" i="14"/>
  <c r="G70" i="14"/>
  <c r="Q29" i="43"/>
  <c r="N56" i="14"/>
  <c r="L22" i="43"/>
  <c r="E43" i="43"/>
  <c r="K12" i="14"/>
  <c r="E28" i="43"/>
  <c r="O25" i="24"/>
  <c r="G58" i="49"/>
  <c r="J55" i="14"/>
  <c r="I70" i="14"/>
  <c r="D28" i="43"/>
  <c r="I63" i="14"/>
  <c r="G21" i="49"/>
  <c r="N71" i="14"/>
  <c r="G61" i="49"/>
  <c r="D29" i="43"/>
  <c r="F26" i="14"/>
  <c r="T42" i="43"/>
  <c r="V43" i="43"/>
  <c r="U34" i="43"/>
  <c r="Q28" i="43"/>
  <c r="G51" i="49"/>
  <c r="E25" i="14"/>
  <c r="O29" i="14"/>
  <c r="D69" i="14"/>
  <c r="E41" i="43"/>
  <c r="H70" i="14"/>
  <c r="V22" i="43"/>
  <c r="K28" i="14"/>
  <c r="M29" i="43"/>
  <c r="G47" i="49"/>
  <c r="G72" i="14"/>
  <c r="F72" i="14"/>
  <c r="I34" i="43"/>
  <c r="K41" i="43"/>
  <c r="G20" i="14"/>
  <c r="O24" i="24"/>
  <c r="F12" i="14"/>
  <c r="N26" i="14"/>
  <c r="G46" i="49"/>
  <c r="K13" i="14"/>
  <c r="G49" i="49"/>
  <c r="M55" i="14"/>
  <c r="N27" i="14"/>
  <c r="M72" i="14"/>
  <c r="O18" i="24"/>
  <c r="F69" i="14"/>
  <c r="J29" i="14"/>
  <c r="N25" i="14"/>
  <c r="E20" i="14"/>
  <c r="O63" i="14"/>
  <c r="K34" i="43"/>
  <c r="N22" i="43"/>
  <c r="D42" i="43"/>
  <c r="M27" i="14"/>
  <c r="I21" i="43"/>
  <c r="H42" i="43"/>
  <c r="H12" i="14"/>
  <c r="S42" i="43"/>
  <c r="N55" i="14"/>
  <c r="C21" i="43"/>
  <c r="J27" i="14"/>
  <c r="I35" i="43"/>
  <c r="C28" i="43"/>
  <c r="R34" i="43"/>
  <c r="N12" i="14"/>
  <c r="M29" i="14"/>
  <c r="G55" i="49"/>
  <c r="G56" i="14"/>
  <c r="E68" i="14"/>
  <c r="J69" i="14"/>
  <c r="K26" i="14"/>
  <c r="M25" i="14"/>
  <c r="M13" i="14"/>
  <c r="C34" i="43"/>
  <c r="G7" i="49"/>
  <c r="U29" i="43"/>
  <c r="O42" i="43"/>
  <c r="O71" i="14"/>
  <c r="K71" i="14"/>
  <c r="O35" i="43"/>
  <c r="E29" i="43"/>
  <c r="H71" i="14"/>
  <c r="L55" i="14"/>
  <c r="O68" i="14"/>
  <c r="G57" i="49"/>
  <c r="O17" i="24"/>
  <c r="K20" i="14"/>
  <c r="E22" i="43"/>
  <c r="N28" i="14"/>
  <c r="G16" i="49"/>
  <c r="M10" i="24"/>
  <c r="K35" i="43"/>
  <c r="K29" i="14"/>
  <c r="O28" i="14"/>
  <c r="M42" i="43"/>
  <c r="V28" i="43"/>
  <c r="N13" i="14"/>
  <c r="G40" i="49"/>
  <c r="M71" i="14"/>
  <c r="I25" i="14"/>
  <c r="P72" i="14"/>
  <c r="S28" i="43"/>
  <c r="Q34" i="43"/>
  <c r="J42" i="43"/>
  <c r="E63" i="14"/>
  <c r="N70" i="14"/>
  <c r="M26" i="14"/>
  <c r="L68" i="14"/>
  <c r="K43" i="43"/>
  <c r="E29" i="14"/>
  <c r="F41" i="43"/>
  <c r="F35" i="43"/>
  <c r="F68" i="14"/>
  <c r="E12" i="14"/>
  <c r="M22" i="43"/>
  <c r="E21" i="43"/>
  <c r="F28" i="14"/>
  <c r="S43" i="43"/>
  <c r="G22" i="49"/>
  <c r="J12" i="14"/>
  <c r="G6" i="49"/>
  <c r="H69" i="14"/>
  <c r="J72" i="14"/>
  <c r="G54" i="49"/>
  <c r="G35" i="43"/>
  <c r="L12" i="14"/>
  <c r="N21" i="43"/>
  <c r="E55" i="14"/>
  <c r="E34" i="43"/>
  <c r="J70" i="14"/>
  <c r="K28" i="43"/>
  <c r="C41" i="43"/>
  <c r="Q43" i="43"/>
  <c r="G10" i="49"/>
  <c r="L34" i="43"/>
  <c r="M34" i="43"/>
  <c r="R43" i="43"/>
  <c r="W21" i="43"/>
  <c r="H72" i="14"/>
  <c r="J43" i="43"/>
  <c r="U22" i="43"/>
  <c r="N28" i="43"/>
  <c r="K68" i="14"/>
  <c r="G48" i="49"/>
  <c r="H29" i="43"/>
  <c r="O25" i="14"/>
  <c r="G20" i="49"/>
  <c r="G4" i="49"/>
  <c r="T43" i="43"/>
  <c r="N17" i="24"/>
  <c r="M28" i="43"/>
  <c r="Q22" i="43"/>
  <c r="W42" i="43"/>
  <c r="G26" i="14"/>
  <c r="D34" i="43"/>
  <c r="P63" i="14"/>
  <c r="I55" i="14"/>
  <c r="G43" i="49"/>
  <c r="L25" i="14"/>
  <c r="O15" i="24"/>
  <c r="G19" i="49"/>
  <c r="G55" i="14"/>
  <c r="L56" i="14"/>
  <c r="O28" i="43"/>
  <c r="T41" i="43"/>
  <c r="M63" i="14"/>
  <c r="I28" i="43"/>
  <c r="U21" i="43"/>
  <c r="O27" i="14"/>
  <c r="H43" i="43"/>
  <c r="F13" i="14"/>
  <c r="G44" i="49"/>
  <c r="T22" i="43"/>
  <c r="H13" i="14"/>
  <c r="W22" i="43"/>
  <c r="L20" i="14"/>
  <c r="H21" i="43"/>
  <c r="C22" i="43"/>
  <c r="L29" i="14"/>
  <c r="O13" i="14"/>
  <c r="L69" i="14"/>
  <c r="E72" i="14"/>
  <c r="G17" i="49"/>
  <c r="L29" i="43"/>
  <c r="E28" i="14"/>
  <c r="O29" i="43"/>
  <c r="F28" i="43"/>
  <c r="Q21" i="43"/>
  <c r="V34" i="43"/>
  <c r="H34" i="43"/>
  <c r="I22" i="43"/>
  <c r="O34" i="43"/>
  <c r="N35" i="43"/>
  <c r="G26" i="49"/>
  <c r="H27" i="14"/>
  <c r="J21" i="43"/>
  <c r="F71" i="14"/>
  <c r="G56" i="49"/>
  <c r="N20" i="14"/>
  <c r="M12" i="14"/>
  <c r="J56" i="14"/>
  <c r="G69" i="14"/>
  <c r="J13" i="14"/>
  <c r="D72" i="14"/>
  <c r="M68" i="14"/>
  <c r="C35" i="43"/>
  <c r="E42" i="43"/>
  <c r="L28" i="14"/>
  <c r="F55" i="14"/>
  <c r="R21" i="43"/>
  <c r="D63" i="14"/>
  <c r="M43" i="43"/>
  <c r="P22" i="43"/>
  <c r="N29" i="43"/>
  <c r="G63" i="14"/>
  <c r="G59" i="49"/>
  <c r="H28" i="43"/>
  <c r="E26" i="14"/>
  <c r="J26" i="14"/>
  <c r="R35" i="43"/>
  <c r="H22" i="43"/>
  <c r="U35" i="43"/>
  <c r="G68" i="14"/>
  <c r="U41" i="43"/>
  <c r="G8" i="49"/>
  <c r="K55" i="14"/>
  <c r="R42" i="43"/>
  <c r="L28" i="43"/>
  <c r="H26" i="14"/>
  <c r="F70" i="14"/>
  <c r="J28" i="14"/>
  <c r="O20" i="14"/>
  <c r="L71" i="14"/>
  <c r="E35" i="43"/>
  <c r="L13" i="14"/>
  <c r="N24" i="24"/>
  <c r="D22" i="43"/>
  <c r="H28" i="14"/>
  <c r="O16" i="24"/>
  <c r="O56" i="14"/>
  <c r="H35" i="43"/>
  <c r="J20" i="14"/>
  <c r="D43" i="43"/>
  <c r="N43" i="43"/>
  <c r="G29" i="14"/>
  <c r="O43" i="43"/>
  <c r="H56" i="14"/>
  <c r="G53" i="49"/>
  <c r="G13" i="14"/>
  <c r="L42" i="43"/>
  <c r="K63" i="14"/>
  <c r="E56" i="14"/>
  <c r="F34" i="43"/>
  <c r="H68" i="14"/>
  <c r="H29" i="14"/>
  <c r="G28" i="14"/>
  <c r="I27" i="14"/>
  <c r="P68" i="14"/>
  <c r="J34" i="43"/>
  <c r="G15" i="49"/>
  <c r="G28" i="43"/>
  <c r="J29" i="43"/>
  <c r="J22" i="39" a="1"/>
  <c r="E69" i="14"/>
  <c r="P42" i="43"/>
  <c r="G42" i="49"/>
  <c r="R29" i="43"/>
  <c r="P69" i="14"/>
  <c r="G41" i="43"/>
  <c r="M28" i="14"/>
  <c r="S34" i="43"/>
  <c r="D55" i="14"/>
  <c r="N34" i="43"/>
  <c r="G5" i="49"/>
  <c r="H20" i="14"/>
  <c r="Q35" i="43"/>
  <c r="R41" i="43"/>
  <c r="G43" i="43"/>
  <c r="L41" i="43"/>
  <c r="P56" i="14"/>
  <c r="G29" i="43"/>
  <c r="N16" i="24"/>
  <c r="G45" i="49"/>
  <c r="C43" i="43"/>
  <c r="Q42" i="43"/>
  <c r="C29" i="43"/>
  <c r="J28" i="43"/>
  <c r="M35" i="43"/>
  <c r="J22" i="43"/>
  <c r="G21" i="43"/>
  <c r="J71" i="14"/>
  <c r="G25" i="49"/>
  <c r="Q41" i="43"/>
  <c r="F27" i="14"/>
  <c r="G9" i="49"/>
  <c r="N25" i="24"/>
  <c r="F63" i="14"/>
  <c r="W34" i="43"/>
  <c r="G34" i="43"/>
  <c r="N14" i="24"/>
  <c r="T29" i="43"/>
  <c r="D68" i="14"/>
  <c r="I72" i="14"/>
  <c r="G41" i="49"/>
  <c r="T35" i="43"/>
  <c r="U42" i="43"/>
  <c r="S22" i="43"/>
  <c r="G38" i="49"/>
  <c r="M56" i="14"/>
  <c r="W35" i="43"/>
  <c r="K22" i="43"/>
  <c r="J41" i="43"/>
  <c r="K42" i="43"/>
  <c r="G12" i="14"/>
  <c r="M11" i="24"/>
  <c r="K72" i="14"/>
  <c r="V41" i="43"/>
  <c r="C42" i="43"/>
  <c r="M69" i="14"/>
  <c r="K56" i="14"/>
  <c r="L21" i="43"/>
  <c r="G39" i="49"/>
  <c r="O41" i="43"/>
  <c r="I12" i="14"/>
  <c r="U28" i="43"/>
  <c r="P71" i="14"/>
  <c r="P21" i="43"/>
  <c r="I71" i="14"/>
  <c r="G12" i="49"/>
  <c r="D21" i="43"/>
  <c r="G50" i="49"/>
  <c r="P43" i="43"/>
  <c r="G42" i="43"/>
  <c r="F29" i="43"/>
  <c r="J68" i="14"/>
  <c r="G14" i="49"/>
  <c r="S29" i="43"/>
  <c r="G52" i="49"/>
  <c r="L70" i="14"/>
  <c r="P28" i="43"/>
  <c r="J35" i="43"/>
  <c r="V42" i="43"/>
  <c r="N69" i="14"/>
  <c r="I41" i="43"/>
  <c r="O70" i="14"/>
  <c r="I43" i="43"/>
  <c r="I29" i="43"/>
  <c r="J63" i="14"/>
  <c r="P29" i="43"/>
  <c r="O72" i="14"/>
  <c r="F20" i="14"/>
  <c r="G60" i="49"/>
  <c r="G13" i="49"/>
  <c r="S41" i="43"/>
  <c r="F42" i="43"/>
  <c r="G18" i="49"/>
  <c r="K69" i="14"/>
  <c r="P41" i="43"/>
  <c r="R22" i="43"/>
  <c r="P35" i="43"/>
  <c r="N42" i="43"/>
  <c r="D57" i="14" l="1"/>
  <c r="J22" i="39"/>
  <c r="J23" i="39" s="1"/>
  <c r="E183" i="50"/>
  <c r="E191" i="50"/>
  <c r="T36" i="43"/>
  <c r="W36" i="43"/>
  <c r="V36" i="43"/>
  <c r="U36" i="43"/>
  <c r="S36" i="43"/>
  <c r="W23" i="43"/>
  <c r="S23" i="43"/>
  <c r="V23" i="43"/>
  <c r="T23" i="43"/>
  <c r="U23" i="43"/>
  <c r="E95" i="50"/>
  <c r="E56" i="50"/>
  <c r="E152" i="50"/>
  <c r="E47" i="50"/>
  <c r="E71" i="50"/>
  <c r="E111" i="50"/>
  <c r="E24" i="50"/>
  <c r="E72" i="50"/>
  <c r="E88" i="50"/>
  <c r="E168" i="50"/>
  <c r="E87" i="50"/>
  <c r="E104" i="50"/>
  <c r="E23" i="50"/>
  <c r="E103" i="50"/>
  <c r="E32" i="50"/>
  <c r="E120" i="50"/>
  <c r="E31" i="50"/>
  <c r="E79" i="50"/>
  <c r="E119" i="50"/>
  <c r="E8" i="50"/>
  <c r="E40" i="50"/>
  <c r="E64" i="50"/>
  <c r="E96" i="50"/>
  <c r="E127" i="50"/>
  <c r="E144" i="50"/>
  <c r="C51" i="10"/>
  <c r="B32" i="11" s="1"/>
  <c r="H32" i="14"/>
  <c r="V25" i="14"/>
  <c r="V12" i="14"/>
  <c r="W21" i="14"/>
  <c r="W14" i="14"/>
  <c r="W20" i="14"/>
  <c r="W18" i="14"/>
  <c r="V23" i="14"/>
  <c r="V15" i="14"/>
  <c r="W26" i="14"/>
  <c r="V21" i="14"/>
  <c r="V27" i="14"/>
  <c r="V14" i="14"/>
  <c r="W25" i="14"/>
  <c r="V18" i="14"/>
  <c r="W23" i="14"/>
  <c r="W9" i="14"/>
  <c r="W16" i="14"/>
  <c r="W15" i="14"/>
  <c r="W19" i="14"/>
  <c r="V20" i="14"/>
  <c r="W24" i="14"/>
  <c r="W17" i="14"/>
  <c r="V16" i="14"/>
  <c r="V13" i="14"/>
  <c r="V24" i="14"/>
  <c r="W8" i="14"/>
  <c r="V19" i="14"/>
  <c r="W11" i="14"/>
  <c r="V22" i="14"/>
  <c r="V11" i="14"/>
  <c r="V17" i="14"/>
  <c r="V8" i="14"/>
  <c r="W22" i="14"/>
  <c r="V10" i="14"/>
  <c r="W27" i="14"/>
  <c r="W10" i="14"/>
  <c r="V9" i="14"/>
  <c r="W12" i="14"/>
  <c r="V26" i="14"/>
  <c r="W13" i="14"/>
  <c r="W7" i="14" l="1"/>
  <c r="H3" i="14" s="1"/>
  <c r="V7" i="14"/>
  <c r="J25" i="39"/>
  <c r="J24" i="39"/>
  <c r="J26" i="39"/>
  <c r="N5" i="24" a="1"/>
  <c r="N5" i="24" s="1"/>
  <c r="H18" i="14"/>
  <c r="I32" i="14"/>
  <c r="I18" i="14"/>
  <c r="E32" i="14"/>
  <c r="J32" i="14"/>
  <c r="J18" i="14"/>
  <c r="F32" i="14"/>
  <c r="F18" i="14"/>
  <c r="K32" i="14"/>
  <c r="K18" i="14"/>
  <c r="G32" i="14"/>
  <c r="G18" i="14"/>
  <c r="E183" i="52"/>
  <c r="AI6" i="52"/>
  <c r="AI22" i="52" s="1"/>
  <c r="AH6" i="52"/>
  <c r="AH252" i="52" s="1"/>
  <c r="AG6" i="52"/>
  <c r="AG292" i="52" s="1"/>
  <c r="AF6" i="52"/>
  <c r="AF380" i="52" s="1"/>
  <c r="AE6" i="52"/>
  <c r="AE300" i="52" s="1"/>
  <c r="AD6" i="52"/>
  <c r="AD101" i="52" s="1"/>
  <c r="AC6" i="52"/>
  <c r="AC267" i="52" s="1"/>
  <c r="AB6" i="52"/>
  <c r="AB44" i="52" s="1"/>
  <c r="AA6" i="52"/>
  <c r="AA380" i="52" s="1"/>
  <c r="Z6" i="52"/>
  <c r="Z52" i="52" s="1"/>
  <c r="Y6" i="52"/>
  <c r="Y194" i="52" s="1"/>
  <c r="X6" i="52"/>
  <c r="X269" i="52" s="1"/>
  <c r="W6" i="52"/>
  <c r="W118" i="52" s="1"/>
  <c r="V6" i="52"/>
  <c r="V253" i="52" s="1"/>
  <c r="U6" i="52"/>
  <c r="U177" i="52" s="1"/>
  <c r="T6" i="52"/>
  <c r="T110" i="52" s="1"/>
  <c r="S6" i="52"/>
  <c r="S243" i="52" s="1"/>
  <c r="S246" i="52" s="1"/>
  <c r="R6" i="52"/>
  <c r="R51" i="52" s="1"/>
  <c r="Q6" i="52"/>
  <c r="Q339" i="52" s="1"/>
  <c r="P6" i="52"/>
  <c r="P300" i="52" s="1"/>
  <c r="O6" i="52"/>
  <c r="O379" i="52" s="1"/>
  <c r="N6" i="52"/>
  <c r="N315" i="52" s="1"/>
  <c r="M6" i="52"/>
  <c r="M251" i="52" s="1"/>
  <c r="L6" i="52"/>
  <c r="L284" i="52" s="1"/>
  <c r="K6" i="52"/>
  <c r="K119" i="52" s="1"/>
  <c r="J6" i="52"/>
  <c r="J356" i="52" s="1"/>
  <c r="I6" i="52"/>
  <c r="I83" i="52" s="1"/>
  <c r="H6" i="52"/>
  <c r="H261" i="52" s="1"/>
  <c r="G6" i="52"/>
  <c r="G355" i="52" s="1"/>
  <c r="F6" i="52"/>
  <c r="F252" i="52" s="1"/>
  <c r="V38" i="51" a="1"/>
  <c r="V38" i="51" s="1"/>
  <c r="U38" i="51" a="1"/>
  <c r="U38" i="51" s="1"/>
  <c r="S38" i="51" a="1"/>
  <c r="S38" i="51" s="1"/>
  <c r="R38" i="51" a="1"/>
  <c r="R38" i="51" s="1"/>
  <c r="P38" i="51" a="1"/>
  <c r="P38" i="51" s="1"/>
  <c r="O38" i="51" a="1"/>
  <c r="O38" i="51" s="1"/>
  <c r="N38" i="51" a="1"/>
  <c r="N38" i="51" s="1"/>
  <c r="M38" i="51" a="1"/>
  <c r="M38" i="51" s="1"/>
  <c r="L38" i="51" a="1"/>
  <c r="L38" i="51" s="1"/>
  <c r="K38" i="51" a="1"/>
  <c r="K38" i="51" s="1"/>
  <c r="V37" i="51" a="1"/>
  <c r="V37" i="51" s="1"/>
  <c r="U37" i="51" a="1"/>
  <c r="U37" i="51" s="1"/>
  <c r="S37" i="51" a="1"/>
  <c r="S37" i="51" s="1"/>
  <c r="R37" i="51" a="1"/>
  <c r="R37" i="51" s="1"/>
  <c r="P37" i="51" a="1"/>
  <c r="P37" i="51" s="1"/>
  <c r="O37" i="51" a="1"/>
  <c r="O37" i="51" s="1"/>
  <c r="N37" i="51" a="1"/>
  <c r="N37" i="51" s="1"/>
  <c r="M37" i="51" a="1"/>
  <c r="M37" i="51" s="1"/>
  <c r="L37" i="51" a="1"/>
  <c r="L37" i="51" s="1"/>
  <c r="K37" i="51" a="1"/>
  <c r="K37" i="51" s="1"/>
  <c r="V36" i="51" a="1"/>
  <c r="V36" i="51" s="1"/>
  <c r="U36" i="51" a="1"/>
  <c r="U36" i="51" s="1"/>
  <c r="S36" i="51" a="1"/>
  <c r="S36" i="51" s="1"/>
  <c r="R36" i="51" a="1"/>
  <c r="R36" i="51" s="1"/>
  <c r="P36" i="51" a="1"/>
  <c r="P36" i="51" s="1"/>
  <c r="O36" i="51" a="1"/>
  <c r="O36" i="51" s="1"/>
  <c r="N36" i="51" a="1"/>
  <c r="N36" i="51" s="1"/>
  <c r="M36" i="51" a="1"/>
  <c r="M36" i="51" s="1"/>
  <c r="L36" i="51" a="1"/>
  <c r="L36" i="51" s="1"/>
  <c r="K36" i="51" a="1"/>
  <c r="K36" i="51" s="1"/>
  <c r="V35" i="51" a="1"/>
  <c r="V35" i="51" s="1"/>
  <c r="U35" i="51" a="1"/>
  <c r="U35" i="51" s="1"/>
  <c r="S35" i="51" a="1"/>
  <c r="S35" i="51" s="1"/>
  <c r="R35" i="51" a="1"/>
  <c r="R35" i="51" s="1"/>
  <c r="P35" i="51" a="1"/>
  <c r="P35" i="51" s="1"/>
  <c r="O35" i="51" a="1"/>
  <c r="O35" i="51" s="1"/>
  <c r="N35" i="51" a="1"/>
  <c r="N35" i="51" s="1"/>
  <c r="M35" i="51" a="1"/>
  <c r="M35" i="51" s="1"/>
  <c r="L35" i="51" a="1"/>
  <c r="L35" i="51" s="1"/>
  <c r="K35" i="51" a="1"/>
  <c r="K35" i="51" s="1"/>
  <c r="V34" i="51" a="1"/>
  <c r="V34" i="51" s="1"/>
  <c r="U34" i="51" a="1"/>
  <c r="U34" i="51" s="1"/>
  <c r="S34" i="51" a="1"/>
  <c r="S34" i="51" s="1"/>
  <c r="R34" i="51" a="1"/>
  <c r="R34" i="51" s="1"/>
  <c r="P34" i="51" a="1"/>
  <c r="P34" i="51" s="1"/>
  <c r="O34" i="51" a="1"/>
  <c r="O34" i="51" s="1"/>
  <c r="N34" i="51" a="1"/>
  <c r="N34" i="51" s="1"/>
  <c r="M34" i="51" a="1"/>
  <c r="M34" i="51" s="1"/>
  <c r="L34" i="51" a="1"/>
  <c r="L34" i="51" s="1"/>
  <c r="K34" i="51" a="1"/>
  <c r="K34" i="51" s="1"/>
  <c r="V33" i="51" a="1"/>
  <c r="V33" i="51" s="1"/>
  <c r="U33" i="51" a="1"/>
  <c r="U33" i="51" s="1"/>
  <c r="S33" i="51" a="1"/>
  <c r="S33" i="51" s="1"/>
  <c r="R33" i="51" a="1"/>
  <c r="R33" i="51" s="1"/>
  <c r="P33" i="51" a="1"/>
  <c r="P33" i="51" s="1"/>
  <c r="O33" i="51" a="1"/>
  <c r="O33" i="51" s="1"/>
  <c r="N33" i="51" a="1"/>
  <c r="N33" i="51" s="1"/>
  <c r="M33" i="51" a="1"/>
  <c r="M33" i="51" s="1"/>
  <c r="L33" i="51" a="1"/>
  <c r="L33" i="51" s="1"/>
  <c r="K33" i="51" a="1"/>
  <c r="K33" i="51" s="1"/>
  <c r="V32" i="51" a="1"/>
  <c r="V32" i="51" s="1"/>
  <c r="U32" i="51" a="1"/>
  <c r="U32" i="51" s="1"/>
  <c r="S32" i="51" a="1"/>
  <c r="S32" i="51" s="1"/>
  <c r="R32" i="51" a="1"/>
  <c r="R32" i="51" s="1"/>
  <c r="P32" i="51" a="1"/>
  <c r="P32" i="51" s="1"/>
  <c r="O32" i="51" a="1"/>
  <c r="O32" i="51" s="1"/>
  <c r="N32" i="51" a="1"/>
  <c r="N32" i="51" s="1"/>
  <c r="M32" i="51" a="1"/>
  <c r="M32" i="51" s="1"/>
  <c r="L32" i="51" a="1"/>
  <c r="L32" i="51" s="1"/>
  <c r="K32" i="51" a="1"/>
  <c r="K32" i="51" s="1"/>
  <c r="V31" i="51" a="1"/>
  <c r="V31" i="51" s="1"/>
  <c r="U31" i="51" a="1"/>
  <c r="U31" i="51" s="1"/>
  <c r="S31" i="51" a="1"/>
  <c r="S31" i="51" s="1"/>
  <c r="R31" i="51" a="1"/>
  <c r="R31" i="51" s="1"/>
  <c r="P31" i="51" a="1"/>
  <c r="P31" i="51" s="1"/>
  <c r="O31" i="51" a="1"/>
  <c r="O31" i="51" s="1"/>
  <c r="N31" i="51" a="1"/>
  <c r="N31" i="51" s="1"/>
  <c r="M31" i="51" a="1"/>
  <c r="M31" i="51" s="1"/>
  <c r="L31" i="51" a="1"/>
  <c r="L31" i="51" s="1"/>
  <c r="K31" i="51" a="1"/>
  <c r="K31" i="51" s="1"/>
  <c r="V30" i="51" a="1"/>
  <c r="V30" i="51" s="1"/>
  <c r="U30" i="51" a="1"/>
  <c r="U30" i="51" s="1"/>
  <c r="S30" i="51" a="1"/>
  <c r="S30" i="51" s="1"/>
  <c r="R30" i="51" a="1"/>
  <c r="R30" i="51" s="1"/>
  <c r="P30" i="51" a="1"/>
  <c r="P30" i="51" s="1"/>
  <c r="O30" i="51" a="1"/>
  <c r="O30" i="51" s="1"/>
  <c r="N30" i="51" a="1"/>
  <c r="N30" i="51" s="1"/>
  <c r="M30" i="51" a="1"/>
  <c r="M30" i="51" s="1"/>
  <c r="L30" i="51" a="1"/>
  <c r="L30" i="51" s="1"/>
  <c r="K30" i="51" a="1"/>
  <c r="K30" i="51" s="1"/>
  <c r="V29" i="51" a="1"/>
  <c r="V29" i="51" s="1"/>
  <c r="U29" i="51" a="1"/>
  <c r="U29" i="51" s="1"/>
  <c r="S29" i="51" a="1"/>
  <c r="S29" i="51" s="1"/>
  <c r="R29" i="51" a="1"/>
  <c r="R29" i="51" s="1"/>
  <c r="P29" i="51" a="1"/>
  <c r="P29" i="51" s="1"/>
  <c r="O29" i="51" a="1"/>
  <c r="O29" i="51" s="1"/>
  <c r="N29" i="51" a="1"/>
  <c r="N29" i="51" s="1"/>
  <c r="M29" i="51" a="1"/>
  <c r="M29" i="51" s="1"/>
  <c r="L29" i="51" a="1"/>
  <c r="L29" i="51" s="1"/>
  <c r="K29" i="51" a="1"/>
  <c r="K29" i="51" s="1"/>
  <c r="V28" i="51" a="1"/>
  <c r="V28" i="51" s="1"/>
  <c r="U28" i="51" a="1"/>
  <c r="U28" i="51" s="1"/>
  <c r="S28" i="51" a="1"/>
  <c r="S28" i="51" s="1"/>
  <c r="R28" i="51" a="1"/>
  <c r="R28" i="51" s="1"/>
  <c r="P28" i="51" a="1"/>
  <c r="P28" i="51" s="1"/>
  <c r="O28" i="51" a="1"/>
  <c r="O28" i="51" s="1"/>
  <c r="N28" i="51" a="1"/>
  <c r="N28" i="51" s="1"/>
  <c r="M28" i="51" a="1"/>
  <c r="M28" i="51" s="1"/>
  <c r="L28" i="51" a="1"/>
  <c r="L28" i="51" s="1"/>
  <c r="K28" i="51" a="1"/>
  <c r="K28" i="51" s="1"/>
  <c r="V27" i="51" a="1"/>
  <c r="V27" i="51" s="1"/>
  <c r="U27" i="51" a="1"/>
  <c r="U27" i="51" s="1"/>
  <c r="S27" i="51" a="1"/>
  <c r="S27" i="51" s="1"/>
  <c r="R27" i="51" a="1"/>
  <c r="R27" i="51" s="1"/>
  <c r="P27" i="51" a="1"/>
  <c r="P27" i="51" s="1"/>
  <c r="O27" i="51" a="1"/>
  <c r="O27" i="51" s="1"/>
  <c r="N27" i="51" a="1"/>
  <c r="N27" i="51" s="1"/>
  <c r="M27" i="51" a="1"/>
  <c r="M27" i="51" s="1"/>
  <c r="L27" i="51" a="1"/>
  <c r="L27" i="51" s="1"/>
  <c r="K27" i="51" a="1"/>
  <c r="K27" i="51" s="1"/>
  <c r="V26" i="51" a="1"/>
  <c r="V26" i="51" s="1"/>
  <c r="U26" i="51" a="1"/>
  <c r="U26" i="51" s="1"/>
  <c r="S26" i="51" a="1"/>
  <c r="S26" i="51" s="1"/>
  <c r="R26" i="51" a="1"/>
  <c r="R26" i="51" s="1"/>
  <c r="P26" i="51" a="1"/>
  <c r="P26" i="51" s="1"/>
  <c r="O26" i="51" a="1"/>
  <c r="O26" i="51" s="1"/>
  <c r="N26" i="51" a="1"/>
  <c r="N26" i="51" s="1"/>
  <c r="M26" i="51" a="1"/>
  <c r="M26" i="51" s="1"/>
  <c r="L26" i="51" a="1"/>
  <c r="L26" i="51" s="1"/>
  <c r="K26" i="51" a="1"/>
  <c r="K26" i="51" s="1"/>
  <c r="V25" i="51" a="1"/>
  <c r="V25" i="51" s="1"/>
  <c r="U25" i="51" a="1"/>
  <c r="U25" i="51" s="1"/>
  <c r="S25" i="51" a="1"/>
  <c r="S25" i="51" s="1"/>
  <c r="R25" i="51" a="1"/>
  <c r="R25" i="51" s="1"/>
  <c r="P25" i="51" a="1"/>
  <c r="P25" i="51" s="1"/>
  <c r="O25" i="51" a="1"/>
  <c r="O25" i="51" s="1"/>
  <c r="N25" i="51" a="1"/>
  <c r="N25" i="51" s="1"/>
  <c r="M25" i="51" a="1"/>
  <c r="M25" i="51" s="1"/>
  <c r="L25" i="51" a="1"/>
  <c r="L25" i="51" s="1"/>
  <c r="K25" i="51" a="1"/>
  <c r="K25" i="51" s="1"/>
  <c r="V24" i="51" a="1"/>
  <c r="V24" i="51" s="1"/>
  <c r="U24" i="51" a="1"/>
  <c r="U24" i="51" s="1"/>
  <c r="S24" i="51" a="1"/>
  <c r="S24" i="51" s="1"/>
  <c r="R24" i="51" a="1"/>
  <c r="R24" i="51" s="1"/>
  <c r="P24" i="51" a="1"/>
  <c r="P24" i="51" s="1"/>
  <c r="O24" i="51" a="1"/>
  <c r="O24" i="51" s="1"/>
  <c r="N24" i="51" a="1"/>
  <c r="N24" i="51" s="1"/>
  <c r="L24" i="51" a="1"/>
  <c r="L24" i="51" s="1"/>
  <c r="V23" i="51" a="1"/>
  <c r="V23" i="51" s="1"/>
  <c r="U23" i="51" a="1"/>
  <c r="U23" i="51" s="1"/>
  <c r="S23" i="51" a="1"/>
  <c r="S23" i="51" s="1"/>
  <c r="R23" i="51" a="1"/>
  <c r="R23" i="51" s="1"/>
  <c r="P23" i="51" a="1"/>
  <c r="P23" i="51" s="1"/>
  <c r="O23" i="51" a="1"/>
  <c r="O23" i="51" s="1"/>
  <c r="N23" i="51" a="1"/>
  <c r="N23" i="51" s="1"/>
  <c r="M23" i="51" a="1"/>
  <c r="M23" i="51" s="1"/>
  <c r="L23" i="51" a="1"/>
  <c r="L23" i="51" s="1"/>
  <c r="K23" i="51" a="1"/>
  <c r="K23" i="51" s="1"/>
  <c r="V22" i="51" a="1"/>
  <c r="V22" i="51" s="1"/>
  <c r="U22" i="51" a="1"/>
  <c r="U22" i="51" s="1"/>
  <c r="S22" i="51" a="1"/>
  <c r="S22" i="51" s="1"/>
  <c r="R22" i="51" a="1"/>
  <c r="R22" i="51" s="1"/>
  <c r="P22" i="51" a="1"/>
  <c r="P22" i="51" s="1"/>
  <c r="O22" i="51" a="1"/>
  <c r="O22" i="51" s="1"/>
  <c r="N22" i="51" a="1"/>
  <c r="N22" i="51" s="1"/>
  <c r="L22" i="51" a="1"/>
  <c r="L22" i="51" s="1"/>
  <c r="V21" i="51" a="1"/>
  <c r="V21" i="51" s="1"/>
  <c r="U21" i="51" a="1"/>
  <c r="U21" i="51" s="1"/>
  <c r="S21" i="51" a="1"/>
  <c r="S21" i="51" s="1"/>
  <c r="R21" i="51" a="1"/>
  <c r="R21" i="51" s="1"/>
  <c r="P21" i="51" a="1"/>
  <c r="P21" i="51" s="1"/>
  <c r="O21" i="51" a="1"/>
  <c r="O21" i="51" s="1"/>
  <c r="N21" i="51" a="1"/>
  <c r="N21" i="51" s="1"/>
  <c r="L21" i="51" a="1"/>
  <c r="L21" i="51" s="1"/>
  <c r="V20" i="51" a="1"/>
  <c r="V20" i="51" s="1"/>
  <c r="U20" i="51" a="1"/>
  <c r="U20" i="51" s="1"/>
  <c r="S20" i="51" a="1"/>
  <c r="S20" i="51" s="1"/>
  <c r="R20" i="51" a="1"/>
  <c r="R20" i="51" s="1"/>
  <c r="P20" i="51" a="1"/>
  <c r="P20" i="51" s="1"/>
  <c r="O20" i="51" a="1"/>
  <c r="O20" i="51" s="1"/>
  <c r="N20" i="51" a="1"/>
  <c r="N20" i="51" s="1"/>
  <c r="L20" i="51" a="1"/>
  <c r="L20" i="51" s="1"/>
  <c r="V19" i="51" a="1"/>
  <c r="V19" i="51" s="1"/>
  <c r="U19" i="51" a="1"/>
  <c r="U19" i="51" s="1"/>
  <c r="S19" i="51" a="1"/>
  <c r="S19" i="51" s="1"/>
  <c r="R19" i="51" a="1"/>
  <c r="R19" i="51" s="1"/>
  <c r="P19" i="51" a="1"/>
  <c r="P19" i="51" s="1"/>
  <c r="O19" i="51" a="1"/>
  <c r="O19" i="51" s="1"/>
  <c r="N19" i="51" a="1"/>
  <c r="N19" i="51" s="1"/>
  <c r="L19" i="51" a="1"/>
  <c r="L19" i="51" s="1"/>
  <c r="V18" i="51" a="1"/>
  <c r="V18" i="51" s="1"/>
  <c r="U18" i="51" a="1"/>
  <c r="U18" i="51" s="1"/>
  <c r="S18" i="51" a="1"/>
  <c r="S18" i="51" s="1"/>
  <c r="R18" i="51" a="1"/>
  <c r="R18" i="51" s="1"/>
  <c r="P18" i="51" a="1"/>
  <c r="P18" i="51" s="1"/>
  <c r="O18" i="51" a="1"/>
  <c r="O18" i="51" s="1"/>
  <c r="N18" i="51" a="1"/>
  <c r="N18" i="51" s="1"/>
  <c r="L18" i="51" a="1"/>
  <c r="L18" i="51" s="1"/>
  <c r="V17" i="51" a="1"/>
  <c r="V17" i="51" s="1"/>
  <c r="U17" i="51" a="1"/>
  <c r="U17" i="51" s="1"/>
  <c r="S17" i="51" a="1"/>
  <c r="S17" i="51" s="1"/>
  <c r="R17" i="51" a="1"/>
  <c r="R17" i="51" s="1"/>
  <c r="P17" i="51" a="1"/>
  <c r="P17" i="51" s="1"/>
  <c r="O17" i="51" a="1"/>
  <c r="O17" i="51" s="1"/>
  <c r="N17" i="51" a="1"/>
  <c r="N17" i="51" s="1"/>
  <c r="L17" i="51" a="1"/>
  <c r="L17" i="51" s="1"/>
  <c r="V16" i="51" a="1"/>
  <c r="V16" i="51" s="1"/>
  <c r="U16" i="51" a="1"/>
  <c r="U16" i="51" s="1"/>
  <c r="S16" i="51" a="1"/>
  <c r="S16" i="51" s="1"/>
  <c r="R16" i="51" a="1"/>
  <c r="R16" i="51" s="1"/>
  <c r="P16" i="51" a="1"/>
  <c r="P16" i="51" s="1"/>
  <c r="O16" i="51" a="1"/>
  <c r="O16" i="51" s="1"/>
  <c r="N16" i="51" a="1"/>
  <c r="N16" i="51" s="1"/>
  <c r="L16" i="51" a="1"/>
  <c r="L16" i="51" s="1"/>
  <c r="V15" i="51" a="1"/>
  <c r="V15" i="51" s="1"/>
  <c r="U15" i="51" a="1"/>
  <c r="U15" i="51" s="1"/>
  <c r="S15" i="51" a="1"/>
  <c r="S15" i="51" s="1"/>
  <c r="R15" i="51" a="1"/>
  <c r="R15" i="51" s="1"/>
  <c r="P15" i="51" a="1"/>
  <c r="P15" i="51" s="1"/>
  <c r="O15" i="51" a="1"/>
  <c r="O15" i="51" s="1"/>
  <c r="N15" i="51" a="1"/>
  <c r="N15" i="51" s="1"/>
  <c r="L15" i="51" a="1"/>
  <c r="L15" i="51" s="1"/>
  <c r="V14" i="51" a="1"/>
  <c r="V14" i="51" s="1"/>
  <c r="U14" i="51" a="1"/>
  <c r="U14" i="51" s="1"/>
  <c r="S14" i="51" a="1"/>
  <c r="S14" i="51" s="1"/>
  <c r="R14" i="51" a="1"/>
  <c r="R14" i="51" s="1"/>
  <c r="P14" i="51" a="1"/>
  <c r="P14" i="51" s="1"/>
  <c r="O14" i="51" a="1"/>
  <c r="O14" i="51" s="1"/>
  <c r="N14" i="51" a="1"/>
  <c r="N14" i="51" s="1"/>
  <c r="L14" i="51" a="1"/>
  <c r="L14" i="51" s="1"/>
  <c r="V13" i="51" a="1"/>
  <c r="V13" i="51" s="1"/>
  <c r="U13" i="51" a="1"/>
  <c r="U13" i="51" s="1"/>
  <c r="S13" i="51" a="1"/>
  <c r="S13" i="51" s="1"/>
  <c r="R13" i="51" a="1"/>
  <c r="R13" i="51" s="1"/>
  <c r="P13" i="51" a="1"/>
  <c r="P13" i="51" s="1"/>
  <c r="O13" i="51" a="1"/>
  <c r="O13" i="51" s="1"/>
  <c r="N13" i="51" a="1"/>
  <c r="N13" i="51" s="1"/>
  <c r="L13" i="51" a="1"/>
  <c r="L13" i="51" s="1"/>
  <c r="V12" i="51" a="1"/>
  <c r="V12" i="51" s="1"/>
  <c r="U12" i="51" a="1"/>
  <c r="U12" i="51" s="1"/>
  <c r="S12" i="51" a="1"/>
  <c r="S12" i="51" s="1"/>
  <c r="R12" i="51" a="1"/>
  <c r="R12" i="51" s="1"/>
  <c r="P12" i="51" a="1"/>
  <c r="P12" i="51" s="1"/>
  <c r="O12" i="51" a="1"/>
  <c r="O12" i="51" s="1"/>
  <c r="N12" i="51" a="1"/>
  <c r="N12" i="51" s="1"/>
  <c r="L12" i="51" a="1"/>
  <c r="L12" i="51" s="1"/>
  <c r="V11" i="51" a="1"/>
  <c r="V11" i="51" s="1"/>
  <c r="U11" i="51" a="1"/>
  <c r="U11" i="51" s="1"/>
  <c r="S11" i="51" a="1"/>
  <c r="S11" i="51" s="1"/>
  <c r="R11" i="51" a="1"/>
  <c r="R11" i="51" s="1"/>
  <c r="P11" i="51" a="1"/>
  <c r="P11" i="51" s="1"/>
  <c r="O11" i="51" a="1"/>
  <c r="O11" i="51" s="1"/>
  <c r="N11" i="51" a="1"/>
  <c r="N11" i="51" s="1"/>
  <c r="L11" i="51" a="1"/>
  <c r="L11" i="51" s="1"/>
  <c r="V10" i="51" a="1"/>
  <c r="V10" i="51" s="1"/>
  <c r="U10" i="51" a="1"/>
  <c r="U10" i="51" s="1"/>
  <c r="S10" i="51" a="1"/>
  <c r="S10" i="51" s="1"/>
  <c r="R10" i="51" a="1"/>
  <c r="R10" i="51" s="1"/>
  <c r="P10" i="51" a="1"/>
  <c r="P10" i="51" s="1"/>
  <c r="O10" i="51" a="1"/>
  <c r="O10" i="51" s="1"/>
  <c r="N10" i="51" a="1"/>
  <c r="N10" i="51" s="1"/>
  <c r="L10" i="51" a="1"/>
  <c r="L10" i="51" s="1"/>
  <c r="V9" i="51" a="1"/>
  <c r="V9" i="51" s="1"/>
  <c r="U9" i="51" a="1"/>
  <c r="U9" i="51" s="1"/>
  <c r="S9" i="51" a="1"/>
  <c r="S9" i="51" s="1"/>
  <c r="R9" i="51" a="1"/>
  <c r="R9" i="51" s="1"/>
  <c r="P9" i="51" a="1"/>
  <c r="P9" i="51" s="1"/>
  <c r="O9" i="51" a="1"/>
  <c r="O9" i="51" s="1"/>
  <c r="N9" i="51" a="1"/>
  <c r="N9" i="51" s="1"/>
  <c r="L9" i="51" a="1"/>
  <c r="L9" i="51" s="1"/>
  <c r="F6" i="51"/>
  <c r="N4" i="24" l="1" a="1"/>
  <c r="N4" i="24" s="1"/>
  <c r="N3" i="24" a="1"/>
  <c r="N3" i="24" s="1"/>
  <c r="G3" i="14"/>
  <c r="N20" i="24"/>
  <c r="H236" i="52"/>
  <c r="Y90" i="52"/>
  <c r="AA76" i="52"/>
  <c r="L275" i="52"/>
  <c r="Z90" i="52"/>
  <c r="V100" i="52"/>
  <c r="M141" i="52"/>
  <c r="U253" i="52"/>
  <c r="Y269" i="52"/>
  <c r="AG28" i="52"/>
  <c r="AH154" i="52"/>
  <c r="G393" i="52"/>
  <c r="U331" i="52"/>
  <c r="G29" i="52"/>
  <c r="U29" i="52"/>
  <c r="M162" i="52"/>
  <c r="U161" i="52"/>
  <c r="M35" i="52"/>
  <c r="AI59" i="52"/>
  <c r="AI212" i="52"/>
  <c r="AI76" i="52"/>
  <c r="M253" i="52"/>
  <c r="G15" i="52"/>
  <c r="G339" i="52"/>
  <c r="L21" i="52"/>
  <c r="H339" i="52"/>
  <c r="G118" i="52"/>
  <c r="L134" i="52"/>
  <c r="M28" i="52"/>
  <c r="H154" i="52"/>
  <c r="G340" i="52"/>
  <c r="AH393" i="52"/>
  <c r="F43" i="52"/>
  <c r="AI100" i="52"/>
  <c r="M275" i="52"/>
  <c r="U111" i="52"/>
  <c r="S277" i="52"/>
  <c r="L14" i="52"/>
  <c r="H44" i="52"/>
  <c r="AG111" i="52"/>
  <c r="AA193" i="52"/>
  <c r="M284" i="52"/>
  <c r="P89" i="52"/>
  <c r="P253" i="52"/>
  <c r="P37" i="52"/>
  <c r="F170" i="52"/>
  <c r="AA7" i="52" a="1"/>
  <c r="AA7" i="52" s="1"/>
  <c r="J30" i="51" s="1"/>
  <c r="I30" i="51" s="1"/>
  <c r="X30" i="51" s="1"/>
  <c r="G177" i="52"/>
  <c r="AI7" i="52" a="1"/>
  <c r="AI7" i="52" s="1"/>
  <c r="J38" i="51" s="1"/>
  <c r="I38" i="51" s="1"/>
  <c r="X38" i="51" s="1"/>
  <c r="AI43" i="52"/>
  <c r="AI110" i="52"/>
  <c r="AI177" i="52"/>
  <c r="Q277" i="52"/>
  <c r="AI13" i="52"/>
  <c r="G44" i="52"/>
  <c r="M14" i="52"/>
  <c r="U59" i="52"/>
  <c r="AA112" i="52"/>
  <c r="Z212" i="52"/>
  <c r="S284" i="52"/>
  <c r="T316" i="52"/>
  <c r="AI118" i="52"/>
  <c r="H76" i="52"/>
  <c r="G235" i="52"/>
  <c r="G238" i="52" s="1"/>
  <c r="H323" i="52"/>
  <c r="M21" i="52"/>
  <c r="V76" i="52"/>
  <c r="AI235" i="52"/>
  <c r="AI238" i="52" s="1"/>
  <c r="M331" i="52"/>
  <c r="AC52" i="52"/>
  <c r="AC372" i="52"/>
  <c r="AC28" i="52"/>
  <c r="AC37" i="52"/>
  <c r="AC58" i="52"/>
  <c r="AC89" i="52"/>
  <c r="O111" i="52"/>
  <c r="O134" i="52"/>
  <c r="AC154" i="52"/>
  <c r="O171" i="52"/>
  <c r="AC212" i="52"/>
  <c r="AD28" i="52"/>
  <c r="AD58" i="52"/>
  <c r="AC134" i="52"/>
  <c r="AE28" i="52"/>
  <c r="O59" i="52"/>
  <c r="O135" i="52"/>
  <c r="AC253" i="52"/>
  <c r="O284" i="52"/>
  <c r="O394" i="52"/>
  <c r="P59" i="52"/>
  <c r="AC14" i="52"/>
  <c r="O82" i="52"/>
  <c r="O261" i="52"/>
  <c r="AC284" i="52"/>
  <c r="T141" i="52"/>
  <c r="O178" i="52"/>
  <c r="Q15" i="52"/>
  <c r="AI44" i="52"/>
  <c r="AC82" i="52"/>
  <c r="P126" i="52"/>
  <c r="F163" i="52"/>
  <c r="AC243" i="52"/>
  <c r="AC246" i="52" s="1"/>
  <c r="U292" i="52"/>
  <c r="V35" i="52"/>
  <c r="G66" i="52"/>
  <c r="G102" i="52"/>
  <c r="R147" i="52"/>
  <c r="AH243" i="52"/>
  <c r="AH246" i="52" s="1"/>
  <c r="U300" i="52"/>
  <c r="U51" i="52"/>
  <c r="AC83" i="52"/>
  <c r="AI126" i="52"/>
  <c r="U163" i="52"/>
  <c r="AC193" i="52"/>
  <c r="AI243" i="52"/>
  <c r="AI246" i="52" s="1"/>
  <c r="Q356" i="52"/>
  <c r="O36" i="52"/>
  <c r="AC66" i="52"/>
  <c r="AI102" i="52"/>
  <c r="AC307" i="52"/>
  <c r="AC7" i="52" a="1"/>
  <c r="AC7" i="52" s="1"/>
  <c r="J32" i="51" s="1"/>
  <c r="I32" i="51" s="1"/>
  <c r="X32" i="51" s="1"/>
  <c r="U21" i="52"/>
  <c r="M37" i="52"/>
  <c r="O52" i="52"/>
  <c r="AD66" i="52"/>
  <c r="G89" i="52"/>
  <c r="U110" i="52"/>
  <c r="U127" i="52"/>
  <c r="F154" i="52"/>
  <c r="AD169" i="52"/>
  <c r="O194" i="52"/>
  <c r="Q251" i="52"/>
  <c r="O275" i="52"/>
  <c r="AD307" i="52"/>
  <c r="AC371" i="52"/>
  <c r="AD37" i="52"/>
  <c r="AC76" i="52"/>
  <c r="AC155" i="52"/>
  <c r="AC177" i="52"/>
  <c r="O14" i="52"/>
  <c r="AC90" i="52"/>
  <c r="AC135" i="52"/>
  <c r="AD177" i="52"/>
  <c r="O235" i="52"/>
  <c r="O238" i="52" s="1"/>
  <c r="AC259" i="52"/>
  <c r="P82" i="52"/>
  <c r="O162" i="52"/>
  <c r="P261" i="52"/>
  <c r="AC291" i="52"/>
  <c r="O15" i="52"/>
  <c r="Q44" i="52"/>
  <c r="U65" i="52"/>
  <c r="T82" i="52"/>
  <c r="AE101" i="52"/>
  <c r="O125" i="52"/>
  <c r="U141" i="52"/>
  <c r="U162" i="52"/>
  <c r="Q243" i="52"/>
  <c r="Q246" i="52" s="1"/>
  <c r="U261" i="52"/>
  <c r="AI291" i="52"/>
  <c r="AI347" i="52"/>
  <c r="O35" i="52"/>
  <c r="AI65" i="52"/>
  <c r="AF101" i="52"/>
  <c r="Q147" i="52"/>
  <c r="AC185" i="52"/>
  <c r="AC188" i="52" s="1"/>
  <c r="O267" i="52"/>
  <c r="AC355" i="52"/>
  <c r="O51" i="52"/>
  <c r="G83" i="52"/>
  <c r="AC126" i="52"/>
  <c r="G163" i="52"/>
  <c r="P356" i="52"/>
  <c r="AE35" i="52"/>
  <c r="O66" i="52"/>
  <c r="H102" i="52"/>
  <c r="U147" i="52"/>
  <c r="O307" i="52"/>
  <c r="T21" i="52"/>
  <c r="H52" i="52"/>
  <c r="AI83" i="52"/>
  <c r="F127" i="52"/>
  <c r="AE153" i="52"/>
  <c r="AC163" i="52"/>
  <c r="AI193" i="52"/>
  <c r="T244" i="52"/>
  <c r="Q364" i="52"/>
  <c r="AE7" i="52" a="1"/>
  <c r="AE7" i="52" s="1"/>
  <c r="J34" i="51" s="1"/>
  <c r="I34" i="51" s="1"/>
  <c r="X34" i="51" s="1"/>
  <c r="L28" i="52"/>
  <c r="O37" i="52"/>
  <c r="U52" i="52"/>
  <c r="AI66" i="52"/>
  <c r="H89" i="52"/>
  <c r="AC110" i="52"/>
  <c r="G133" i="52"/>
  <c r="G154" i="52"/>
  <c r="AE169" i="52"/>
  <c r="Y212" i="52"/>
  <c r="L253" i="52"/>
  <c r="AC276" i="52"/>
  <c r="AC315" i="52"/>
  <c r="AG371" i="52"/>
  <c r="Y118" i="52"/>
  <c r="AA14" i="52"/>
  <c r="K276" i="52"/>
  <c r="AD14" i="52"/>
  <c r="Z21" i="52"/>
  <c r="AF28" i="52"/>
  <c r="AC35" i="52"/>
  <c r="AE37" i="52"/>
  <c r="O44" i="52"/>
  <c r="P52" i="52"/>
  <c r="AC59" i="52"/>
  <c r="AE66" i="52"/>
  <c r="S82" i="52"/>
  <c r="Q89" i="52"/>
  <c r="U100" i="52"/>
  <c r="L102" i="52"/>
  <c r="P111" i="52"/>
  <c r="G119" i="52"/>
  <c r="O127" i="52"/>
  <c r="AD134" i="52"/>
  <c r="T147" i="52"/>
  <c r="AE154" i="52"/>
  <c r="H163" i="52"/>
  <c r="AI170" i="52"/>
  <c r="AC178" i="52"/>
  <c r="M194" i="52"/>
  <c r="M235" i="52"/>
  <c r="M238" i="52" s="1"/>
  <c r="M244" i="52"/>
  <c r="K259" i="52"/>
  <c r="G267" i="52"/>
  <c r="U276" i="52"/>
  <c r="AE291" i="52"/>
  <c r="S316" i="52"/>
  <c r="P339" i="52"/>
  <c r="U364" i="52"/>
  <c r="X134" i="52"/>
  <c r="K52" i="52"/>
  <c r="K100" i="52"/>
  <c r="K194" i="52"/>
  <c r="Y261" i="52"/>
  <c r="AA394" i="52"/>
  <c r="Y21" i="52"/>
  <c r="M13" i="52"/>
  <c r="AD21" i="52"/>
  <c r="AD59" i="52"/>
  <c r="Z89" i="52"/>
  <c r="M102" i="52"/>
  <c r="L119" i="52"/>
  <c r="M259" i="52"/>
  <c r="Z339" i="52"/>
  <c r="O13" i="52"/>
  <c r="M15" i="52"/>
  <c r="AI21" i="52"/>
  <c r="AI28" i="52"/>
  <c r="G36" i="52"/>
  <c r="G43" i="52"/>
  <c r="AC44" i="52"/>
  <c r="Y52" i="52"/>
  <c r="AE59" i="52"/>
  <c r="G76" i="52"/>
  <c r="U82" i="52"/>
  <c r="AA89" i="52"/>
  <c r="Y100" i="52"/>
  <c r="O102" i="52"/>
  <c r="AC111" i="52"/>
  <c r="L125" i="52"/>
  <c r="AC127" i="52"/>
  <c r="P135" i="52"/>
  <c r="Y147" i="52"/>
  <c r="O155" i="52"/>
  <c r="Z163" i="52"/>
  <c r="Z171" i="52"/>
  <c r="G185" i="52"/>
  <c r="G188" i="52" s="1"/>
  <c r="Q194" i="52"/>
  <c r="AC235" i="52"/>
  <c r="AC238" i="52" s="1"/>
  <c r="P251" i="52"/>
  <c r="Y259" i="52"/>
  <c r="AA267" i="52"/>
  <c r="P277" i="52"/>
  <c r="T292" i="52"/>
  <c r="AA316" i="52"/>
  <c r="AA339" i="52"/>
  <c r="AE371" i="52"/>
  <c r="J35" i="52"/>
  <c r="AA118" i="52"/>
  <c r="Y170" i="52"/>
  <c r="Z35" i="52"/>
  <c r="L100" i="52"/>
  <c r="AA13" i="52"/>
  <c r="K22" i="52"/>
  <c r="K43" i="52"/>
  <c r="AA100" i="52"/>
  <c r="Y102" i="52"/>
  <c r="AD111" i="52"/>
  <c r="AH127" i="52"/>
  <c r="AA147" i="52"/>
  <c r="AA171" i="52"/>
  <c r="Z185" i="52"/>
  <c r="Z188" i="52" s="1"/>
  <c r="AH194" i="52"/>
  <c r="Z259" i="52"/>
  <c r="K268" i="52"/>
  <c r="AC13" i="52"/>
  <c r="P15" i="52"/>
  <c r="U22" i="52"/>
  <c r="O29" i="52"/>
  <c r="P36" i="52"/>
  <c r="L43" i="52"/>
  <c r="G51" i="52"/>
  <c r="AI52" i="52"/>
  <c r="M65" i="52"/>
  <c r="U76" i="52"/>
  <c r="AI82" i="52"/>
  <c r="AI89" i="52"/>
  <c r="AC100" i="52"/>
  <c r="Z102" i="52"/>
  <c r="AE111" i="52"/>
  <c r="U125" i="52"/>
  <c r="AI127" i="52"/>
  <c r="AD135" i="52"/>
  <c r="K153" i="52"/>
  <c r="T161" i="52"/>
  <c r="AI163" i="52"/>
  <c r="AC171" i="52"/>
  <c r="AA185" i="52"/>
  <c r="AA188" i="52" s="1"/>
  <c r="AD203" i="52"/>
  <c r="G236" i="52"/>
  <c r="U251" i="52"/>
  <c r="AA259" i="52"/>
  <c r="L268" i="52"/>
  <c r="R277" i="52"/>
  <c r="Y299" i="52"/>
  <c r="O323" i="52"/>
  <c r="AE340" i="52"/>
  <c r="AI371" i="52"/>
  <c r="Y51" i="52"/>
  <c r="K44" i="52"/>
  <c r="M127" i="52"/>
  <c r="F14" i="52"/>
  <c r="AC15" i="52"/>
  <c r="Z22" i="52"/>
  <c r="AC29" i="52"/>
  <c r="AC36" i="52"/>
  <c r="O43" i="52"/>
  <c r="Q51" i="52"/>
  <c r="O58" i="52"/>
  <c r="Z65" i="52"/>
  <c r="W76" i="52"/>
  <c r="O83" i="52"/>
  <c r="G90" i="52"/>
  <c r="K101" i="52"/>
  <c r="O110" i="52"/>
  <c r="O112" i="52"/>
  <c r="AC125" i="52"/>
  <c r="K133" i="52"/>
  <c r="G141" i="52"/>
  <c r="M153" i="52"/>
  <c r="AA161" i="52"/>
  <c r="M169" i="52"/>
  <c r="K177" i="52"/>
  <c r="G193" i="52"/>
  <c r="O211" i="52"/>
  <c r="M236" i="52"/>
  <c r="G252" i="52"/>
  <c r="AD259" i="52"/>
  <c r="V269" i="52"/>
  <c r="U277" i="52"/>
  <c r="V300" i="52"/>
  <c r="O324" i="52"/>
  <c r="Q348" i="52"/>
  <c r="G380" i="52"/>
  <c r="Y110" i="52"/>
  <c r="Y331" i="52"/>
  <c r="Y134" i="52"/>
  <c r="M315" i="52"/>
  <c r="Z170" i="52"/>
  <c r="G14" i="52"/>
  <c r="AE15" i="52"/>
  <c r="AC22" i="52"/>
  <c r="G35" i="52"/>
  <c r="AI36" i="52"/>
  <c r="AA43" i="52"/>
  <c r="T58" i="52"/>
  <c r="AA65" i="52"/>
  <c r="X76" i="52"/>
  <c r="U83" i="52"/>
  <c r="H90" i="52"/>
  <c r="M101" i="52"/>
  <c r="S110" i="52"/>
  <c r="Q112" i="52"/>
  <c r="AI125" i="52"/>
  <c r="M133" i="52"/>
  <c r="H141" i="52"/>
  <c r="U153" i="52"/>
  <c r="AI161" i="52"/>
  <c r="AA169" i="52"/>
  <c r="M177" i="52"/>
  <c r="K193" i="52"/>
  <c r="Y211" i="52"/>
  <c r="U236" i="52"/>
  <c r="AG252" i="52"/>
  <c r="AA260" i="52"/>
  <c r="W269" i="52"/>
  <c r="O283" i="52"/>
  <c r="AC300" i="52"/>
  <c r="AC324" i="52"/>
  <c r="V348" i="52"/>
  <c r="Q380" i="52"/>
  <c r="M44" i="52"/>
  <c r="K102" i="52"/>
  <c r="Y178" i="52"/>
  <c r="L194" i="52"/>
  <c r="L244" i="52"/>
  <c r="Z261" i="52"/>
  <c r="Y22" i="52"/>
  <c r="Z36" i="52"/>
  <c r="M43" i="52"/>
  <c r="M58" i="52"/>
  <c r="F90" i="52"/>
  <c r="AA125" i="52"/>
  <c r="F141" i="52"/>
  <c r="L153" i="52"/>
  <c r="L169" i="52"/>
  <c r="M211" i="52"/>
  <c r="M268" i="52"/>
  <c r="M324" i="52"/>
  <c r="H14" i="52"/>
  <c r="K21" i="52"/>
  <c r="I35" i="52"/>
  <c r="K37" i="52"/>
  <c r="AC43" i="52"/>
  <c r="T51" i="52"/>
  <c r="U58" i="52"/>
  <c r="AE65" i="52"/>
  <c r="Z76" i="52"/>
  <c r="Z83" i="52"/>
  <c r="K90" i="52"/>
  <c r="O101" i="52"/>
  <c r="U112" i="52"/>
  <c r="K126" i="52"/>
  <c r="O133" i="52"/>
  <c r="K141" i="52"/>
  <c r="AA153" i="52"/>
  <c r="L162" i="52"/>
  <c r="AC169" i="52"/>
  <c r="O193" i="52"/>
  <c r="V212" i="52"/>
  <c r="G261" i="52"/>
  <c r="AE283" i="52"/>
  <c r="L307" i="52"/>
  <c r="AD324" i="52"/>
  <c r="AC380" i="52"/>
  <c r="AB316" i="52"/>
  <c r="R308" i="52"/>
  <c r="R21" i="52"/>
  <c r="R14" i="52"/>
  <c r="AB110" i="52"/>
  <c r="AB170" i="52"/>
  <c r="AB161" i="52"/>
  <c r="F380" i="52"/>
  <c r="F259" i="52"/>
  <c r="F153" i="52"/>
  <c r="F111" i="52"/>
  <c r="F65" i="52"/>
  <c r="F58" i="52"/>
  <c r="T89" i="52"/>
  <c r="T35" i="52"/>
  <c r="T7" i="52" a="1"/>
  <c r="T7" i="52" s="1"/>
  <c r="J23" i="51" s="1"/>
  <c r="I23" i="51" s="1"/>
  <c r="X23" i="51" s="1"/>
  <c r="T101" i="52"/>
  <c r="T36" i="52"/>
  <c r="T13" i="52"/>
  <c r="T235" i="52"/>
  <c r="T238" i="52" s="1"/>
  <c r="AH162" i="52"/>
  <c r="AH379" i="52"/>
  <c r="AH299" i="52"/>
  <c r="AH275" i="52"/>
  <c r="AH111" i="52"/>
  <c r="F13" i="52"/>
  <c r="F37" i="52"/>
  <c r="N52" i="52"/>
  <c r="V58" i="52"/>
  <c r="AF59" i="52"/>
  <c r="AB100" i="52"/>
  <c r="H119" i="52"/>
  <c r="AB127" i="52"/>
  <c r="AB147" i="52"/>
  <c r="F171" i="52"/>
  <c r="AF185" i="52"/>
  <c r="AF188" i="52" s="1"/>
  <c r="F251" i="52"/>
  <c r="N253" i="52"/>
  <c r="AB267" i="52"/>
  <c r="N283" i="52"/>
  <c r="AB307" i="52"/>
  <c r="S356" i="52"/>
  <c r="V380" i="52"/>
  <c r="G112" i="52"/>
  <c r="G52" i="52"/>
  <c r="G291" i="52"/>
  <c r="G259" i="52"/>
  <c r="G153" i="52"/>
  <c r="G111" i="52"/>
  <c r="G65" i="52"/>
  <c r="G58" i="52"/>
  <c r="G269" i="52"/>
  <c r="G212" i="52"/>
  <c r="G59" i="52"/>
  <c r="U269" i="52"/>
  <c r="U212" i="52"/>
  <c r="U89" i="52"/>
  <c r="U35" i="52"/>
  <c r="U28" i="52"/>
  <c r="U14" i="52"/>
  <c r="U323" i="52"/>
  <c r="U260" i="52"/>
  <c r="U118" i="52"/>
  <c r="U90" i="52"/>
  <c r="U36" i="52"/>
  <c r="U15" i="52"/>
  <c r="U13" i="52"/>
  <c r="U363" i="52"/>
  <c r="U308" i="52"/>
  <c r="U252" i="52"/>
  <c r="U235" i="52"/>
  <c r="U238" i="52" s="1"/>
  <c r="U193" i="52"/>
  <c r="U44" i="52"/>
  <c r="U43" i="52"/>
  <c r="AI275" i="52"/>
  <c r="AI141" i="52"/>
  <c r="AI277" i="52"/>
  <c r="AI111" i="52"/>
  <c r="AI51" i="52"/>
  <c r="AI284" i="52"/>
  <c r="AI155" i="52"/>
  <c r="AI356" i="52"/>
  <c r="AI340" i="52"/>
  <c r="AI268" i="52"/>
  <c r="AI253" i="52"/>
  <c r="G13" i="52"/>
  <c r="N14" i="52"/>
  <c r="AA21" i="52"/>
  <c r="G28" i="52"/>
  <c r="V29" i="52"/>
  <c r="AB35" i="52"/>
  <c r="H37" i="52"/>
  <c r="AA58" i="52"/>
  <c r="AG59" i="52"/>
  <c r="U66" i="52"/>
  <c r="Y76" i="52"/>
  <c r="AH82" i="52"/>
  <c r="AA90" i="52"/>
  <c r="U102" i="52"/>
  <c r="M111" i="52"/>
  <c r="R112" i="52"/>
  <c r="F126" i="52"/>
  <c r="AA134" i="52"/>
  <c r="N141" i="52"/>
  <c r="AI147" i="52"/>
  <c r="G162" i="52"/>
  <c r="H169" i="52"/>
  <c r="F178" i="52"/>
  <c r="AH185" i="52"/>
  <c r="AH188" i="52" s="1"/>
  <c r="AA212" i="52"/>
  <c r="AI236" i="52"/>
  <c r="F260" i="52"/>
  <c r="AI267" i="52"/>
  <c r="N275" i="52"/>
  <c r="F292" i="52"/>
  <c r="N324" i="52"/>
  <c r="AI339" i="52"/>
  <c r="U356" i="52"/>
  <c r="AB260" i="52"/>
  <c r="AB393" i="52"/>
  <c r="AB347" i="52"/>
  <c r="AB291" i="52"/>
  <c r="AB235" i="52"/>
  <c r="AB238" i="52" s="1"/>
  <c r="AB135" i="52"/>
  <c r="AB37" i="52"/>
  <c r="AB29" i="52"/>
  <c r="AB102" i="52"/>
  <c r="AB244" i="52"/>
  <c r="AB299" i="52"/>
  <c r="N13" i="52"/>
  <c r="AB14" i="52"/>
  <c r="AH15" i="52"/>
  <c r="AH29" i="52"/>
  <c r="AH35" i="52"/>
  <c r="N37" i="52"/>
  <c r="N65" i="52"/>
  <c r="AB76" i="52"/>
  <c r="H83" i="52"/>
  <c r="AG90" i="52"/>
  <c r="T119" i="52"/>
  <c r="S126" i="52"/>
  <c r="V141" i="52"/>
  <c r="N155" i="52"/>
  <c r="AB171" i="52"/>
  <c r="Z178" i="52"/>
  <c r="T203" i="52"/>
  <c r="N243" i="52"/>
  <c r="N246" i="52" s="1"/>
  <c r="AH283" i="52"/>
  <c r="AF340" i="52"/>
  <c r="N299" i="52"/>
  <c r="N364" i="52"/>
  <c r="N267" i="52"/>
  <c r="N171" i="52"/>
  <c r="N83" i="52"/>
  <c r="N82" i="52"/>
  <c r="N66" i="52"/>
  <c r="N347" i="52"/>
  <c r="N100" i="52"/>
  <c r="N393" i="52"/>
  <c r="N379" i="52"/>
  <c r="N260" i="52"/>
  <c r="N169" i="52"/>
  <c r="N154" i="52"/>
  <c r="N22" i="52"/>
  <c r="N21" i="52"/>
  <c r="N185" i="52"/>
  <c r="N188" i="52" s="1"/>
  <c r="N259" i="52"/>
  <c r="N394" i="52"/>
  <c r="AB59" i="52"/>
  <c r="AB65" i="52"/>
  <c r="AB300" i="52"/>
  <c r="N35" i="52"/>
  <c r="AB36" i="52"/>
  <c r="N127" i="52"/>
  <c r="AF355" i="52"/>
  <c r="AF252" i="52"/>
  <c r="AF194" i="52"/>
  <c r="AF119" i="52"/>
  <c r="AF277" i="52"/>
  <c r="AF162" i="52"/>
  <c r="AF372" i="52"/>
  <c r="AF275" i="52"/>
  <c r="AB269" i="52"/>
  <c r="AG364" i="52"/>
  <c r="AG162" i="52"/>
  <c r="AG275" i="52"/>
  <c r="AG211" i="52"/>
  <c r="AG22" i="52"/>
  <c r="AB82" i="52"/>
  <c r="N236" i="52"/>
  <c r="H259" i="52"/>
  <c r="H153" i="52"/>
  <c r="H185" i="52"/>
  <c r="H188" i="52" s="1"/>
  <c r="H118" i="52"/>
  <c r="H82" i="52"/>
  <c r="H308" i="52"/>
  <c r="H260" i="52"/>
  <c r="H252" i="52"/>
  <c r="V260" i="52"/>
  <c r="V118" i="52"/>
  <c r="V90" i="52"/>
  <c r="V36" i="52"/>
  <c r="V13" i="52"/>
  <c r="V252" i="52"/>
  <c r="V193" i="52"/>
  <c r="V133" i="52"/>
  <c r="V43" i="52"/>
  <c r="V177" i="52"/>
  <c r="V277" i="52"/>
  <c r="H13" i="52"/>
  <c r="AF15" i="52"/>
  <c r="H28" i="52"/>
  <c r="AB66" i="52"/>
  <c r="AB90" i="52"/>
  <c r="N111" i="52"/>
  <c r="S253" i="52"/>
  <c r="AG15" i="52"/>
  <c r="R119" i="52"/>
  <c r="H203" i="52"/>
  <c r="AG283" i="52"/>
  <c r="T364" i="52"/>
  <c r="K291" i="52"/>
  <c r="K185" i="52"/>
  <c r="K188" i="52" s="1"/>
  <c r="K243" i="52"/>
  <c r="K246" i="52" s="1"/>
  <c r="K76" i="52"/>
  <c r="K66" i="52"/>
  <c r="K267" i="52"/>
  <c r="Y252" i="52"/>
  <c r="Y43" i="52"/>
  <c r="Y332" i="52"/>
  <c r="Y177" i="52"/>
  <c r="Y44" i="52"/>
  <c r="Y127" i="52"/>
  <c r="Y37" i="52"/>
  <c r="AI15" i="52"/>
  <c r="G22" i="52"/>
  <c r="AI29" i="52"/>
  <c r="AI35" i="52"/>
  <c r="N51" i="52"/>
  <c r="AI58" i="52"/>
  <c r="T65" i="52"/>
  <c r="AB89" i="52"/>
  <c r="AI90" i="52"/>
  <c r="N101" i="52"/>
  <c r="G110" i="52"/>
  <c r="R111" i="52"/>
  <c r="Y112" i="52"/>
  <c r="U119" i="52"/>
  <c r="U126" i="52"/>
  <c r="H133" i="52"/>
  <c r="G147" i="52"/>
  <c r="N153" i="52"/>
  <c r="AB169" i="52"/>
  <c r="U203" i="52"/>
  <c r="L235" i="52"/>
  <c r="L238" i="52" s="1"/>
  <c r="V251" i="52"/>
  <c r="U268" i="52"/>
  <c r="L276" i="52"/>
  <c r="U299" i="52"/>
  <c r="AI324" i="52"/>
  <c r="AG340" i="52"/>
  <c r="AF364" i="52"/>
  <c r="Y387" i="52"/>
  <c r="L90" i="52"/>
  <c r="L315" i="52"/>
  <c r="L283" i="52"/>
  <c r="L286" i="52" s="1"/>
  <c r="L111" i="52"/>
  <c r="L65" i="52"/>
  <c r="L58" i="52"/>
  <c r="L243" i="52"/>
  <c r="L246" i="52" s="1"/>
  <c r="L82" i="52"/>
  <c r="L66" i="52"/>
  <c r="L59" i="52"/>
  <c r="L267" i="52"/>
  <c r="L171" i="52"/>
  <c r="L126" i="52"/>
  <c r="Z277" i="52"/>
  <c r="Z193" i="52"/>
  <c r="Z169" i="52"/>
  <c r="Z154" i="52"/>
  <c r="Z127" i="52"/>
  <c r="Z37" i="52"/>
  <c r="Z135" i="52"/>
  <c r="Z29" i="52"/>
  <c r="Z331" i="52"/>
  <c r="Z194" i="52"/>
  <c r="F21" i="52"/>
  <c r="N59" i="52"/>
  <c r="AG66" i="52"/>
  <c r="F100" i="52"/>
  <c r="H110" i="52"/>
  <c r="AH119" i="52"/>
  <c r="H147" i="52"/>
  <c r="T155" i="52"/>
  <c r="AH171" i="52"/>
  <c r="V203" i="52"/>
  <c r="AH251" i="52"/>
  <c r="V268" i="52"/>
  <c r="H316" i="52"/>
  <c r="Z371" i="52"/>
  <c r="AB155" i="52"/>
  <c r="AB83" i="52"/>
  <c r="N133" i="52"/>
  <c r="AB7" i="52" a="1"/>
  <c r="AB7" i="52" s="1"/>
  <c r="J31" i="51" s="1"/>
  <c r="I31" i="51" s="1"/>
  <c r="X31" i="51" s="1"/>
  <c r="N15" i="52"/>
  <c r="N58" i="52"/>
  <c r="AB22" i="52"/>
  <c r="AB118" i="52"/>
  <c r="N44" i="52"/>
  <c r="N112" i="52"/>
  <c r="AB125" i="52"/>
  <c r="AB185" i="52"/>
  <c r="AB188" i="52" s="1"/>
  <c r="S36" i="52"/>
  <c r="S21" i="52"/>
  <c r="S89" i="52"/>
  <c r="S35" i="52"/>
  <c r="S15" i="52"/>
  <c r="S29" i="52"/>
  <c r="AB154" i="52"/>
  <c r="AF291" i="52"/>
  <c r="AB21" i="52"/>
  <c r="S43" i="52"/>
  <c r="AB58" i="52"/>
  <c r="V89" i="52"/>
  <c r="S112" i="52"/>
  <c r="AB134" i="52"/>
  <c r="H162" i="52"/>
  <c r="AB380" i="52"/>
  <c r="AG29" i="52"/>
  <c r="T43" i="52"/>
  <c r="T112" i="52"/>
  <c r="H155" i="52"/>
  <c r="V275" i="52"/>
  <c r="M243" i="52"/>
  <c r="M246" i="52" s="1"/>
  <c r="M185" i="52"/>
  <c r="M188" i="52" s="1"/>
  <c r="M59" i="52"/>
  <c r="M364" i="52"/>
  <c r="M267" i="52"/>
  <c r="M212" i="52"/>
  <c r="M171" i="52"/>
  <c r="M161" i="52"/>
  <c r="M126" i="52"/>
  <c r="M83" i="52"/>
  <c r="M76" i="52"/>
  <c r="M347" i="52"/>
  <c r="M100" i="52"/>
  <c r="M90" i="52"/>
  <c r="M393" i="52"/>
  <c r="AA177" i="52"/>
  <c r="AA127" i="52"/>
  <c r="AA44" i="52"/>
  <c r="AA15" i="52"/>
  <c r="AA393" i="52"/>
  <c r="AA308" i="52"/>
  <c r="AA235" i="52"/>
  <c r="AA238" i="52" s="1"/>
  <c r="AA135" i="52"/>
  <c r="AA29" i="52"/>
  <c r="AA194" i="52"/>
  <c r="AA141" i="52"/>
  <c r="AA102" i="52"/>
  <c r="AA244" i="52"/>
  <c r="AB13" i="52"/>
  <c r="AI14" i="52"/>
  <c r="G21" i="52"/>
  <c r="L22" i="52"/>
  <c r="H35" i="52"/>
  <c r="H36" i="52"/>
  <c r="F44" i="52"/>
  <c r="AG52" i="52"/>
  <c r="Y65" i="52"/>
  <c r="AH66" i="52"/>
  <c r="G82" i="52"/>
  <c r="V83" i="52"/>
  <c r="AH89" i="52"/>
  <c r="G100" i="52"/>
  <c r="V111" i="52"/>
  <c r="AI112" i="52"/>
  <c r="AI119" i="52"/>
  <c r="AH126" i="52"/>
  <c r="L133" i="52"/>
  <c r="Y135" i="52"/>
  <c r="M147" i="52"/>
  <c r="V153" i="52"/>
  <c r="AA155" i="52"/>
  <c r="AI162" i="52"/>
  <c r="AI171" i="52"/>
  <c r="F185" i="52"/>
  <c r="F188" i="52" s="1"/>
  <c r="AB193" i="52"/>
  <c r="Z203" i="52"/>
  <c r="U243" i="52"/>
  <c r="U246" i="52" s="1"/>
  <c r="AI251" i="52"/>
  <c r="L259" i="52"/>
  <c r="R261" i="52"/>
  <c r="AA268" i="52"/>
  <c r="AB276" i="52"/>
  <c r="N284" i="52"/>
  <c r="R300" i="52"/>
  <c r="N316" i="52"/>
  <c r="N318" i="52" s="1"/>
  <c r="R331" i="52"/>
  <c r="L393" i="52"/>
  <c r="Q14" i="52"/>
  <c r="O28" i="52"/>
  <c r="AC51" i="52"/>
  <c r="AD119" i="52"/>
  <c r="Q133" i="52"/>
  <c r="AC299" i="52"/>
  <c r="Q323" i="52"/>
  <c r="AC331" i="52"/>
  <c r="O22" i="52"/>
  <c r="P28" i="52"/>
  <c r="AC101" i="52"/>
  <c r="AE119" i="52"/>
  <c r="AC141" i="52"/>
  <c r="O154" i="52"/>
  <c r="O169" i="52"/>
  <c r="AD194" i="52"/>
  <c r="AC244" i="52"/>
  <c r="O269" i="52"/>
  <c r="P22" i="52"/>
  <c r="O76" i="52"/>
  <c r="O100" i="52"/>
  <c r="AC102" i="52"/>
  <c r="O126" i="52"/>
  <c r="AC133" i="52"/>
  <c r="O161" i="52"/>
  <c r="AC323" i="52"/>
  <c r="AC332" i="52"/>
  <c r="J393" i="52"/>
  <c r="J380" i="52"/>
  <c r="J339" i="52"/>
  <c r="J364" i="52"/>
  <c r="J387" i="52"/>
  <c r="J348" i="52"/>
  <c r="J347" i="52"/>
  <c r="J277" i="52"/>
  <c r="J276" i="52"/>
  <c r="J372" i="52"/>
  <c r="J292" i="52"/>
  <c r="J243" i="52"/>
  <c r="J246" i="52" s="1"/>
  <c r="J193" i="52"/>
  <c r="J177" i="52"/>
  <c r="J323" i="52"/>
  <c r="J253" i="52"/>
  <c r="J332" i="52"/>
  <c r="J275" i="52"/>
  <c r="J244" i="52"/>
  <c r="J300" i="52"/>
  <c r="J379" i="52"/>
  <c r="J331" i="52"/>
  <c r="J211" i="52"/>
  <c r="J324" i="52"/>
  <c r="J269" i="52"/>
  <c r="J251" i="52"/>
  <c r="J394" i="52"/>
  <c r="J162" i="52"/>
  <c r="J100" i="52"/>
  <c r="J236" i="52"/>
  <c r="J111" i="52"/>
  <c r="J58" i="52"/>
  <c r="J14" i="52"/>
  <c r="J284" i="52"/>
  <c r="J283" i="52"/>
  <c r="J171" i="52"/>
  <c r="J153" i="52"/>
  <c r="J13" i="52"/>
  <c r="J316" i="52"/>
  <c r="J261" i="52"/>
  <c r="J252" i="52"/>
  <c r="J235" i="52"/>
  <c r="J238" i="52" s="1"/>
  <c r="J163" i="52"/>
  <c r="J147" i="52"/>
  <c r="J59" i="52"/>
  <c r="J15" i="52"/>
  <c r="J308" i="52"/>
  <c r="J259" i="52"/>
  <c r="J268" i="52"/>
  <c r="J161" i="52"/>
  <c r="J82" i="52"/>
  <c r="J118" i="52"/>
  <c r="J110" i="52"/>
  <c r="J89" i="52"/>
  <c r="J36" i="52"/>
  <c r="J307" i="52"/>
  <c r="J170" i="52"/>
  <c r="J340" i="52"/>
  <c r="J212" i="52"/>
  <c r="J125" i="52"/>
  <c r="J28" i="52"/>
  <c r="J299" i="52"/>
  <c r="J203" i="52"/>
  <c r="J355" i="52"/>
  <c r="J291" i="52"/>
  <c r="J135" i="52"/>
  <c r="J112" i="52"/>
  <c r="J51" i="52"/>
  <c r="J102" i="52"/>
  <c r="J83" i="52"/>
  <c r="J21" i="52"/>
  <c r="J178" i="52"/>
  <c r="J363" i="52"/>
  <c r="J134" i="52"/>
  <c r="J133" i="52"/>
  <c r="J44" i="52"/>
  <c r="J76" i="52"/>
  <c r="J371" i="52"/>
  <c r="J260" i="52"/>
  <c r="J169" i="52"/>
  <c r="J119" i="52"/>
  <c r="J29" i="52"/>
  <c r="J194" i="52"/>
  <c r="J315" i="52"/>
  <c r="J101" i="52"/>
  <c r="J43" i="52"/>
  <c r="J155" i="52"/>
  <c r="J141" i="52"/>
  <c r="J127" i="52"/>
  <c r="J267" i="52"/>
  <c r="J185" i="52"/>
  <c r="J188" i="52" s="1"/>
  <c r="J154" i="52"/>
  <c r="J66" i="52"/>
  <c r="J65" i="52"/>
  <c r="J126" i="52"/>
  <c r="J90" i="52"/>
  <c r="J37" i="52"/>
  <c r="X393" i="52"/>
  <c r="X380" i="52"/>
  <c r="X339" i="52"/>
  <c r="X356" i="52"/>
  <c r="X355" i="52"/>
  <c r="X308" i="52"/>
  <c r="X307" i="52"/>
  <c r="X300" i="52"/>
  <c r="X324" i="52"/>
  <c r="X372" i="52"/>
  <c r="X332" i="52"/>
  <c r="X316" i="52"/>
  <c r="X315" i="52"/>
  <c r="X299" i="52"/>
  <c r="X243" i="52"/>
  <c r="X246" i="52" s="1"/>
  <c r="X193" i="52"/>
  <c r="X177" i="52"/>
  <c r="X253" i="52"/>
  <c r="X394" i="52"/>
  <c r="X291" i="52"/>
  <c r="X194" i="52"/>
  <c r="X348" i="52"/>
  <c r="X364" i="52"/>
  <c r="X268" i="52"/>
  <c r="X260" i="52"/>
  <c r="X244" i="52"/>
  <c r="X284" i="52"/>
  <c r="X261" i="52"/>
  <c r="X259" i="52"/>
  <c r="X235" i="52"/>
  <c r="X238" i="52" s="1"/>
  <c r="X178" i="52"/>
  <c r="X127" i="52"/>
  <c r="X126" i="52"/>
  <c r="X125" i="52"/>
  <c r="X169" i="52"/>
  <c r="X161" i="52"/>
  <c r="X100" i="52"/>
  <c r="X283" i="52"/>
  <c r="X267" i="52"/>
  <c r="X111" i="52"/>
  <c r="X58" i="52"/>
  <c r="X14" i="52"/>
  <c r="X340" i="52"/>
  <c r="X323" i="52"/>
  <c r="X135" i="52"/>
  <c r="X371" i="52"/>
  <c r="X185" i="52"/>
  <c r="X188" i="52" s="1"/>
  <c r="X13" i="52"/>
  <c r="X7" i="52" a="1"/>
  <c r="X7" i="52" s="1"/>
  <c r="J27" i="51" s="1"/>
  <c r="I27" i="51" s="1"/>
  <c r="X27" i="51" s="1"/>
  <c r="X171" i="52"/>
  <c r="X147" i="52"/>
  <c r="X90" i="52"/>
  <c r="X89" i="52"/>
  <c r="X44" i="52"/>
  <c r="X43" i="52"/>
  <c r="X35" i="52"/>
  <c r="X101" i="52"/>
  <c r="X15" i="52"/>
  <c r="X236" i="52"/>
  <c r="X379" i="52"/>
  <c r="X275" i="52"/>
  <c r="X154" i="52"/>
  <c r="X141" i="52"/>
  <c r="X59" i="52"/>
  <c r="X363" i="52"/>
  <c r="X252" i="52"/>
  <c r="X251" i="52"/>
  <c r="X162" i="52"/>
  <c r="X153" i="52"/>
  <c r="X133" i="52"/>
  <c r="X119" i="52"/>
  <c r="X66" i="52"/>
  <c r="X292" i="52"/>
  <c r="X82" i="52"/>
  <c r="X387" i="52"/>
  <c r="X276" i="52"/>
  <c r="X65" i="52"/>
  <c r="X83" i="52"/>
  <c r="X29" i="52"/>
  <c r="X211" i="52"/>
  <c r="X37" i="52"/>
  <c r="X36" i="52"/>
  <c r="X347" i="52"/>
  <c r="X170" i="52"/>
  <c r="X163" i="52"/>
  <c r="X52" i="52"/>
  <c r="X51" i="52"/>
  <c r="X110" i="52"/>
  <c r="X277" i="52"/>
  <c r="X155" i="52"/>
  <c r="X22" i="52"/>
  <c r="X212" i="52"/>
  <c r="X203" i="52"/>
  <c r="X21" i="52"/>
  <c r="X331" i="52"/>
  <c r="X112" i="52"/>
  <c r="X28" i="52"/>
  <c r="J52" i="52"/>
  <c r="W102" i="52"/>
  <c r="I394" i="52"/>
  <c r="I364" i="52"/>
  <c r="I315" i="52"/>
  <c r="I356" i="52"/>
  <c r="I355" i="52"/>
  <c r="I308" i="52"/>
  <c r="I307" i="52"/>
  <c r="I393" i="52"/>
  <c r="I387" i="52"/>
  <c r="I380" i="52"/>
  <c r="I324" i="52"/>
  <c r="I348" i="52"/>
  <c r="I340" i="52"/>
  <c r="I316" i="52"/>
  <c r="I291" i="52"/>
  <c r="I292" i="52"/>
  <c r="I275" i="52"/>
  <c r="I284" i="52"/>
  <c r="I276" i="52"/>
  <c r="I372" i="52"/>
  <c r="I243" i="52"/>
  <c r="I246" i="52" s="1"/>
  <c r="I193" i="52"/>
  <c r="I177" i="52"/>
  <c r="I283" i="52"/>
  <c r="I277" i="52"/>
  <c r="I268" i="52"/>
  <c r="I260" i="52"/>
  <c r="I203" i="52"/>
  <c r="I171" i="52"/>
  <c r="I332" i="52"/>
  <c r="I300" i="52"/>
  <c r="I251" i="52"/>
  <c r="I133" i="52"/>
  <c r="I371" i="52"/>
  <c r="I331" i="52"/>
  <c r="I299" i="52"/>
  <c r="I161" i="52"/>
  <c r="I127" i="52"/>
  <c r="I126" i="52"/>
  <c r="I125" i="52"/>
  <c r="I269" i="52"/>
  <c r="I211" i="52"/>
  <c r="I112" i="52"/>
  <c r="I339" i="52"/>
  <c r="I162" i="52"/>
  <c r="I100" i="52"/>
  <c r="I36" i="52"/>
  <c r="I253" i="52"/>
  <c r="I111" i="52"/>
  <c r="I244" i="52"/>
  <c r="I153" i="52"/>
  <c r="I58" i="52"/>
  <c r="I14" i="52"/>
  <c r="I13" i="52"/>
  <c r="I363" i="52"/>
  <c r="I141" i="52"/>
  <c r="I118" i="52"/>
  <c r="I90" i="52"/>
  <c r="I89" i="52"/>
  <c r="I44" i="52"/>
  <c r="I43" i="52"/>
  <c r="I267" i="52"/>
  <c r="I347" i="52"/>
  <c r="I147" i="52"/>
  <c r="I82" i="52"/>
  <c r="I15" i="52"/>
  <c r="I212" i="52"/>
  <c r="I28" i="52"/>
  <c r="I379" i="52"/>
  <c r="I110" i="52"/>
  <c r="I194" i="52"/>
  <c r="I185" i="52"/>
  <c r="I188" i="52" s="1"/>
  <c r="I178" i="52"/>
  <c r="I169" i="52"/>
  <c r="I163" i="52"/>
  <c r="I155" i="52"/>
  <c r="I323" i="52"/>
  <c r="I22" i="52"/>
  <c r="I252" i="52"/>
  <c r="I170" i="52"/>
  <c r="I59" i="52"/>
  <c r="I37" i="52"/>
  <c r="I259" i="52"/>
  <c r="I134" i="52"/>
  <c r="I235" i="52"/>
  <c r="I238" i="52" s="1"/>
  <c r="I119" i="52"/>
  <c r="I29" i="52"/>
  <c r="I21" i="52"/>
  <c r="I236" i="52"/>
  <c r="I135" i="52"/>
  <c r="I261" i="52"/>
  <c r="I102" i="52"/>
  <c r="I101" i="52"/>
  <c r="I76" i="52"/>
  <c r="I154" i="52"/>
  <c r="I66" i="52"/>
  <c r="I65" i="52"/>
  <c r="W394" i="52"/>
  <c r="W364" i="52"/>
  <c r="W315" i="52"/>
  <c r="W363" i="52"/>
  <c r="W356" i="52"/>
  <c r="W355" i="52"/>
  <c r="W347" i="52"/>
  <c r="W292" i="52"/>
  <c r="W291" i="52"/>
  <c r="W380" i="52"/>
  <c r="W307" i="52"/>
  <c r="W277" i="52"/>
  <c r="W276" i="52"/>
  <c r="W275" i="52"/>
  <c r="W308" i="52"/>
  <c r="W339" i="52"/>
  <c r="W299" i="52"/>
  <c r="W243" i="52"/>
  <c r="W246" i="52" s="1"/>
  <c r="W193" i="52"/>
  <c r="W177" i="52"/>
  <c r="W371" i="52"/>
  <c r="W324" i="52"/>
  <c r="W170" i="52"/>
  <c r="W348" i="52"/>
  <c r="W203" i="52"/>
  <c r="W171" i="52"/>
  <c r="W133" i="52"/>
  <c r="W194" i="52"/>
  <c r="W155" i="52"/>
  <c r="W284" i="52"/>
  <c r="W261" i="52"/>
  <c r="W259" i="52"/>
  <c r="W235" i="52"/>
  <c r="W238" i="52" s="1"/>
  <c r="W178" i="52"/>
  <c r="W127" i="52"/>
  <c r="W126" i="52"/>
  <c r="W125" i="52"/>
  <c r="W112" i="52"/>
  <c r="W253" i="52"/>
  <c r="W169" i="52"/>
  <c r="W161" i="52"/>
  <c r="W100" i="52"/>
  <c r="W36" i="52"/>
  <c r="W379" i="52"/>
  <c r="W211" i="52"/>
  <c r="W154" i="52"/>
  <c r="W110" i="52"/>
  <c r="W66" i="52"/>
  <c r="W65" i="52"/>
  <c r="W22" i="52"/>
  <c r="W21" i="52"/>
  <c r="W393" i="52"/>
  <c r="W340" i="52"/>
  <c r="W323" i="52"/>
  <c r="W135" i="52"/>
  <c r="W283" i="52"/>
  <c r="W153" i="52"/>
  <c r="W185" i="52"/>
  <c r="W188" i="52" s="1"/>
  <c r="W163" i="52"/>
  <c r="W134" i="52"/>
  <c r="W52" i="52"/>
  <c r="W37" i="52"/>
  <c r="W162" i="52"/>
  <c r="W119" i="52"/>
  <c r="W120" i="52" s="1"/>
  <c r="W260" i="52"/>
  <c r="W244" i="52"/>
  <c r="W111" i="52"/>
  <c r="W35" i="52"/>
  <c r="W372" i="52"/>
  <c r="W141" i="52"/>
  <c r="W59" i="52"/>
  <c r="W300" i="52"/>
  <c r="W252" i="52"/>
  <c r="W251" i="52"/>
  <c r="W101" i="52"/>
  <c r="W331" i="52"/>
  <c r="W267" i="52"/>
  <c r="W316" i="52"/>
  <c r="W29" i="52"/>
  <c r="W13" i="52"/>
  <c r="W387" i="52"/>
  <c r="W43" i="52"/>
  <c r="W332" i="52"/>
  <c r="W58" i="52"/>
  <c r="W90" i="52"/>
  <c r="W15" i="52"/>
  <c r="W89" i="52"/>
  <c r="W268" i="52"/>
  <c r="W83" i="52"/>
  <c r="W51" i="52"/>
  <c r="W82" i="52"/>
  <c r="W14" i="52"/>
  <c r="W7" i="52" a="1"/>
  <c r="W7" i="52" s="1"/>
  <c r="J26" i="51" s="1"/>
  <c r="I26" i="51" s="1"/>
  <c r="X26" i="51" s="1"/>
  <c r="W212" i="52"/>
  <c r="W147" i="52"/>
  <c r="W44" i="52"/>
  <c r="W28" i="52"/>
  <c r="I52" i="52"/>
  <c r="I51" i="52"/>
  <c r="X102" i="52"/>
  <c r="X118" i="52"/>
  <c r="J22" i="52"/>
  <c r="W236" i="52"/>
  <c r="AE194" i="52"/>
  <c r="P371" i="52"/>
  <c r="P308" i="52"/>
  <c r="P332" i="52"/>
  <c r="P331" i="52"/>
  <c r="P379" i="52"/>
  <c r="P323" i="52"/>
  <c r="P364" i="52"/>
  <c r="P269" i="52"/>
  <c r="P380" i="52"/>
  <c r="P236" i="52"/>
  <c r="P162" i="52"/>
  <c r="P340" i="52"/>
  <c r="P268" i="52"/>
  <c r="P267" i="52"/>
  <c r="P185" i="52"/>
  <c r="P188" i="52" s="1"/>
  <c r="P171" i="52"/>
  <c r="P235" i="52"/>
  <c r="P238" i="52" s="1"/>
  <c r="P355" i="52"/>
  <c r="P316" i="52"/>
  <c r="P393" i="52"/>
  <c r="P387" i="52"/>
  <c r="P284" i="52"/>
  <c r="P276" i="52"/>
  <c r="P163" i="52"/>
  <c r="P127" i="52"/>
  <c r="P244" i="52"/>
  <c r="P177" i="52"/>
  <c r="P147" i="52"/>
  <c r="P372" i="52"/>
  <c r="P292" i="52"/>
  <c r="P203" i="52"/>
  <c r="P118" i="52"/>
  <c r="P347" i="52"/>
  <c r="P212" i="52"/>
  <c r="P153" i="52"/>
  <c r="P90" i="52"/>
  <c r="P291" i="52"/>
  <c r="P259" i="52"/>
  <c r="P243" i="52"/>
  <c r="P246" i="52" s="1"/>
  <c r="P141" i="52"/>
  <c r="P100" i="52"/>
  <c r="P44" i="52"/>
  <c r="P43" i="52"/>
  <c r="P307" i="52"/>
  <c r="P260" i="52"/>
  <c r="P169" i="52"/>
  <c r="P194" i="52"/>
  <c r="P133" i="52"/>
  <c r="P119" i="52"/>
  <c r="P299" i="52"/>
  <c r="P302" i="52" s="1"/>
  <c r="P112" i="52"/>
  <c r="P51" i="52"/>
  <c r="P275" i="52"/>
  <c r="P178" i="52"/>
  <c r="P170" i="52"/>
  <c r="P76" i="52"/>
  <c r="P102" i="52"/>
  <c r="P58" i="52"/>
  <c r="P21" i="52"/>
  <c r="P315" i="52"/>
  <c r="P283" i="52"/>
  <c r="P193" i="52"/>
  <c r="P155" i="52"/>
  <c r="P83" i="52"/>
  <c r="P65" i="52"/>
  <c r="P13" i="52"/>
  <c r="P154" i="52"/>
  <c r="P134" i="52"/>
  <c r="P348" i="52"/>
  <c r="P35" i="52"/>
  <c r="P14" i="52"/>
  <c r="AD371" i="52"/>
  <c r="AD308" i="52"/>
  <c r="AD372" i="52"/>
  <c r="AD332" i="52"/>
  <c r="AD331" i="52"/>
  <c r="AD393" i="52"/>
  <c r="AD387" i="52"/>
  <c r="AD380" i="52"/>
  <c r="AD348" i="52"/>
  <c r="AD339" i="52"/>
  <c r="AD299" i="52"/>
  <c r="AD269" i="52"/>
  <c r="AD394" i="52"/>
  <c r="AD356" i="52"/>
  <c r="AD236" i="52"/>
  <c r="AD162" i="52"/>
  <c r="AD364" i="52"/>
  <c r="AD277" i="52"/>
  <c r="AD185" i="52"/>
  <c r="AD188" i="52" s="1"/>
  <c r="AD171" i="52"/>
  <c r="AD363" i="52"/>
  <c r="AD212" i="52"/>
  <c r="AD178" i="52"/>
  <c r="AD235" i="52"/>
  <c r="AD238" i="52" s="1"/>
  <c r="AD127" i="52"/>
  <c r="AD379" i="52"/>
  <c r="AD283" i="52"/>
  <c r="AD211" i="52"/>
  <c r="AD251" i="52"/>
  <c r="AD170" i="52"/>
  <c r="AD118" i="52"/>
  <c r="AD316" i="52"/>
  <c r="AD193" i="52"/>
  <c r="AD163" i="52"/>
  <c r="AD147" i="52"/>
  <c r="AD90" i="52"/>
  <c r="AD267" i="52"/>
  <c r="AD153" i="52"/>
  <c r="AD89" i="52"/>
  <c r="AD355" i="52"/>
  <c r="AD276" i="52"/>
  <c r="AD275" i="52"/>
  <c r="AD44" i="52"/>
  <c r="AD43" i="52"/>
  <c r="AD260" i="52"/>
  <c r="AD102" i="52"/>
  <c r="AD300" i="52"/>
  <c r="AD252" i="52"/>
  <c r="AD244" i="52"/>
  <c r="AD82" i="52"/>
  <c r="AD161" i="52"/>
  <c r="AD112" i="52"/>
  <c r="AD51" i="52"/>
  <c r="AD323" i="52"/>
  <c r="AD292" i="52"/>
  <c r="AD243" i="52"/>
  <c r="AD246" i="52" s="1"/>
  <c r="AD29" i="52"/>
  <c r="AD125" i="52"/>
  <c r="AD36" i="52"/>
  <c r="AD284" i="52"/>
  <c r="AD261" i="52"/>
  <c r="AD110" i="52"/>
  <c r="AD100" i="52"/>
  <c r="AD268" i="52"/>
  <c r="AD83" i="52"/>
  <c r="AD65" i="52"/>
  <c r="AD13" i="52"/>
  <c r="R15" i="52"/>
  <c r="R58" i="52"/>
  <c r="AD76" i="52"/>
  <c r="AF111" i="52"/>
  <c r="P125" i="52"/>
  <c r="AD133" i="52"/>
  <c r="AG134" i="52"/>
  <c r="R163" i="52"/>
  <c r="P211" i="52"/>
  <c r="AG243" i="52"/>
  <c r="AG246" i="52" s="1"/>
  <c r="AF259" i="52"/>
  <c r="Q261" i="52"/>
  <c r="AF283" i="52"/>
  <c r="P324" i="52"/>
  <c r="Q363" i="52"/>
  <c r="Q387" i="52"/>
  <c r="Q394" i="52"/>
  <c r="Q332" i="52"/>
  <c r="Q379" i="52"/>
  <c r="Q292" i="52"/>
  <c r="Q340" i="52"/>
  <c r="Q342" i="52" s="1"/>
  <c r="Q331" i="52"/>
  <c r="Q316" i="52"/>
  <c r="Q393" i="52"/>
  <c r="Q371" i="52"/>
  <c r="Q300" i="52"/>
  <c r="Q259" i="52"/>
  <c r="Q268" i="52"/>
  <c r="Q267" i="52"/>
  <c r="Q185" i="52"/>
  <c r="Q188" i="52" s="1"/>
  <c r="Q171" i="52"/>
  <c r="Q235" i="52"/>
  <c r="Q238" i="52" s="1"/>
  <c r="Q355" i="52"/>
  <c r="Q308" i="52"/>
  <c r="Q253" i="52"/>
  <c r="Q284" i="52"/>
  <c r="Q276" i="52"/>
  <c r="Q372" i="52"/>
  <c r="Q299" i="52"/>
  <c r="Q291" i="52"/>
  <c r="Q169" i="52"/>
  <c r="Q155" i="52"/>
  <c r="Q154" i="52"/>
  <c r="Q153" i="52"/>
  <c r="Q203" i="52"/>
  <c r="Q118" i="52"/>
  <c r="Q347" i="52"/>
  <c r="Q212" i="52"/>
  <c r="Q275" i="52"/>
  <c r="Q252" i="52"/>
  <c r="Q141" i="52"/>
  <c r="Q52" i="52"/>
  <c r="Q307" i="52"/>
  <c r="Q260" i="52"/>
  <c r="Q163" i="52"/>
  <c r="Q101" i="52"/>
  <c r="Q83" i="52"/>
  <c r="Q82" i="52"/>
  <c r="Q37" i="52"/>
  <c r="Q36" i="52"/>
  <c r="Q35" i="52"/>
  <c r="Q324" i="52"/>
  <c r="Q110" i="52"/>
  <c r="Q66" i="52"/>
  <c r="Q65" i="52"/>
  <c r="Q269" i="52"/>
  <c r="Q102" i="52"/>
  <c r="Q100" i="52"/>
  <c r="Q58" i="52"/>
  <c r="Q43" i="52"/>
  <c r="Q21" i="52"/>
  <c r="Q22" i="52"/>
  <c r="Q90" i="52"/>
  <c r="Q315" i="52"/>
  <c r="Q283" i="52"/>
  <c r="Q193" i="52"/>
  <c r="Q13" i="52"/>
  <c r="Q178" i="52"/>
  <c r="Q177" i="52"/>
  <c r="Q170" i="52"/>
  <c r="Q134" i="52"/>
  <c r="Q76" i="52"/>
  <c r="Q127" i="52"/>
  <c r="Q126" i="52"/>
  <c r="Q111" i="52"/>
  <c r="Q59" i="52"/>
  <c r="AE13" i="52"/>
  <c r="Q125" i="52"/>
  <c r="AE133" i="52"/>
  <c r="AE82" i="52"/>
  <c r="R125" i="52"/>
  <c r="AF133" i="52"/>
  <c r="AE178" i="52"/>
  <c r="AE203" i="52"/>
  <c r="R211" i="52"/>
  <c r="R332" i="52"/>
  <c r="S393" i="52"/>
  <c r="S380" i="52"/>
  <c r="S331" i="52"/>
  <c r="S324" i="52"/>
  <c r="S323" i="52"/>
  <c r="S291" i="52"/>
  <c r="S394" i="52"/>
  <c r="S300" i="52"/>
  <c r="S347" i="52"/>
  <c r="S379" i="52"/>
  <c r="S170" i="52"/>
  <c r="S283" i="52"/>
  <c r="S269" i="52"/>
  <c r="S261" i="52"/>
  <c r="S260" i="52"/>
  <c r="S259" i="52"/>
  <c r="S212" i="52"/>
  <c r="S372" i="52"/>
  <c r="S299" i="52"/>
  <c r="S185" i="52"/>
  <c r="S188" i="52" s="1"/>
  <c r="S169" i="52"/>
  <c r="S387" i="52"/>
  <c r="S340" i="52"/>
  <c r="S339" i="52"/>
  <c r="S315" i="52"/>
  <c r="S307" i="52"/>
  <c r="S267" i="52"/>
  <c r="S147" i="52"/>
  <c r="S135" i="52"/>
  <c r="S275" i="52"/>
  <c r="S268" i="52"/>
  <c r="S252" i="52"/>
  <c r="S153" i="52"/>
  <c r="S141" i="52"/>
  <c r="S194" i="52"/>
  <c r="S348" i="52"/>
  <c r="S171" i="52"/>
  <c r="S154" i="52"/>
  <c r="S134" i="52"/>
  <c r="S133" i="52"/>
  <c r="S102" i="52"/>
  <c r="S51" i="52"/>
  <c r="S177" i="52"/>
  <c r="S363" i="52"/>
  <c r="S251" i="52"/>
  <c r="S76" i="52"/>
  <c r="S28" i="52"/>
  <c r="S364" i="52"/>
  <c r="S111" i="52"/>
  <c r="S59" i="52"/>
  <c r="S58" i="52"/>
  <c r="S203" i="52"/>
  <c r="S193" i="52"/>
  <c r="S178" i="52"/>
  <c r="S155" i="52"/>
  <c r="S65" i="52"/>
  <c r="S52" i="52"/>
  <c r="S44" i="52"/>
  <c r="S37" i="52"/>
  <c r="S14" i="52"/>
  <c r="S355" i="52"/>
  <c r="S127" i="52"/>
  <c r="S83" i="52"/>
  <c r="S22" i="52"/>
  <c r="S90" i="52"/>
  <c r="S163" i="52"/>
  <c r="S292" i="52"/>
  <c r="S244" i="52"/>
  <c r="S162" i="52"/>
  <c r="S119" i="52"/>
  <c r="S101" i="52"/>
  <c r="AG393" i="52"/>
  <c r="AG380" i="52"/>
  <c r="AG331" i="52"/>
  <c r="AG379" i="52"/>
  <c r="AG291" i="52"/>
  <c r="AG294" i="52" s="1"/>
  <c r="AG324" i="52"/>
  <c r="AG323" i="52"/>
  <c r="AG387" i="52"/>
  <c r="AG316" i="52"/>
  <c r="AG394" i="52"/>
  <c r="AG268" i="52"/>
  <c r="AG170" i="52"/>
  <c r="AG372" i="52"/>
  <c r="AG307" i="52"/>
  <c r="AG300" i="52"/>
  <c r="AG212" i="52"/>
  <c r="AG347" i="52"/>
  <c r="AG253" i="52"/>
  <c r="AG269" i="52"/>
  <c r="AG332" i="52"/>
  <c r="AG185" i="52"/>
  <c r="AG188" i="52" s="1"/>
  <c r="AG169" i="52"/>
  <c r="AG135" i="52"/>
  <c r="AG260" i="52"/>
  <c r="AG163" i="52"/>
  <c r="AG363" i="52"/>
  <c r="AG315" i="52"/>
  <c r="AG244" i="52"/>
  <c r="AG177" i="52"/>
  <c r="AG141" i="52"/>
  <c r="AG203" i="52"/>
  <c r="AG153" i="52"/>
  <c r="AG102" i="52"/>
  <c r="AG51" i="52"/>
  <c r="AG299" i="52"/>
  <c r="AG171" i="52"/>
  <c r="AG161" i="52"/>
  <c r="AG155" i="52"/>
  <c r="AG147" i="52"/>
  <c r="AG83" i="52"/>
  <c r="AG82" i="52"/>
  <c r="AG37" i="52"/>
  <c r="AG36" i="52"/>
  <c r="AG35" i="52"/>
  <c r="AG277" i="52"/>
  <c r="AG193" i="52"/>
  <c r="AG101" i="52"/>
  <c r="AG339" i="52"/>
  <c r="AG259" i="52"/>
  <c r="AG154" i="52"/>
  <c r="AG126" i="52"/>
  <c r="AG119" i="52"/>
  <c r="AG110" i="52"/>
  <c r="AG251" i="52"/>
  <c r="AG89" i="52"/>
  <c r="AG118" i="52"/>
  <c r="AG100" i="52"/>
  <c r="AG7" i="52" a="1"/>
  <c r="AG7" i="52" s="1"/>
  <c r="J36" i="51" s="1"/>
  <c r="I36" i="51" s="1"/>
  <c r="X36" i="51" s="1"/>
  <c r="AG356" i="52"/>
  <c r="AG65" i="52"/>
  <c r="AG348" i="52"/>
  <c r="AG284" i="52"/>
  <c r="AG276" i="52"/>
  <c r="AG261" i="52"/>
  <c r="AG125" i="52"/>
  <c r="AG112" i="52"/>
  <c r="AG21" i="52"/>
  <c r="AG308" i="52"/>
  <c r="AG236" i="52"/>
  <c r="AG235" i="52"/>
  <c r="AG238" i="52" s="1"/>
  <c r="AG76" i="52"/>
  <c r="AG58" i="52"/>
  <c r="AG43" i="52"/>
  <c r="AG13" i="52"/>
  <c r="AG267" i="52"/>
  <c r="AG194" i="52"/>
  <c r="AG127" i="52"/>
  <c r="AG14" i="52"/>
  <c r="AF44" i="52"/>
  <c r="R59" i="52"/>
  <c r="S125" i="52"/>
  <c r="AG133" i="52"/>
  <c r="Q162" i="52"/>
  <c r="AF178" i="52"/>
  <c r="S211" i="52"/>
  <c r="S276" i="52"/>
  <c r="AE307" i="52"/>
  <c r="AE324" i="52"/>
  <c r="S332" i="52"/>
  <c r="AF339" i="52"/>
  <c r="F372" i="52"/>
  <c r="F355" i="52"/>
  <c r="F316" i="52"/>
  <c r="F315" i="52"/>
  <c r="F394" i="52"/>
  <c r="F363" i="52"/>
  <c r="F356" i="52"/>
  <c r="F347" i="52"/>
  <c r="F299" i="52"/>
  <c r="F277" i="52"/>
  <c r="F324" i="52"/>
  <c r="F340" i="52"/>
  <c r="F332" i="52"/>
  <c r="F307" i="52"/>
  <c r="F291" i="52"/>
  <c r="F267" i="52"/>
  <c r="F364" i="52"/>
  <c r="F212" i="52"/>
  <c r="F276" i="52"/>
  <c r="F169" i="52"/>
  <c r="F243" i="52"/>
  <c r="F246" i="52" s="1"/>
  <c r="F194" i="52"/>
  <c r="F283" i="52"/>
  <c r="F244" i="52"/>
  <c r="F125" i="52"/>
  <c r="F235" i="52"/>
  <c r="F238" i="52" s="1"/>
  <c r="F134" i="52"/>
  <c r="F133" i="52"/>
  <c r="F331" i="52"/>
  <c r="F323" i="52"/>
  <c r="F308" i="52"/>
  <c r="F300" i="52"/>
  <c r="F253" i="52"/>
  <c r="F155" i="52"/>
  <c r="F135" i="52"/>
  <c r="F102" i="52"/>
  <c r="F371" i="52"/>
  <c r="F211" i="52"/>
  <c r="F76" i="52"/>
  <c r="F28" i="52"/>
  <c r="F236" i="52"/>
  <c r="F29" i="52"/>
  <c r="F348" i="52"/>
  <c r="F339" i="52"/>
  <c r="F284" i="52"/>
  <c r="F110" i="52"/>
  <c r="F393" i="52"/>
  <c r="F177" i="52"/>
  <c r="F261" i="52"/>
  <c r="F162" i="52"/>
  <c r="F101" i="52"/>
  <c r="F59" i="52"/>
  <c r="F35" i="52"/>
  <c r="F15" i="52"/>
  <c r="F379" i="52"/>
  <c r="F269" i="52"/>
  <c r="F203" i="52"/>
  <c r="F147" i="52"/>
  <c r="F268" i="52"/>
  <c r="F161" i="52"/>
  <c r="F119" i="52"/>
  <c r="F66" i="52"/>
  <c r="F82" i="52"/>
  <c r="F193" i="52"/>
  <c r="F118" i="52"/>
  <c r="F112" i="52"/>
  <c r="F89" i="52"/>
  <c r="F36" i="52"/>
  <c r="T372" i="52"/>
  <c r="T355" i="52"/>
  <c r="T393" i="52"/>
  <c r="T380" i="52"/>
  <c r="T394" i="52"/>
  <c r="T379" i="52"/>
  <c r="T277" i="52"/>
  <c r="T339" i="52"/>
  <c r="T331" i="52"/>
  <c r="T315" i="52"/>
  <c r="T284" i="52"/>
  <c r="T283" i="52"/>
  <c r="T267" i="52"/>
  <c r="T347" i="52"/>
  <c r="T291" i="52"/>
  <c r="T269" i="52"/>
  <c r="T261" i="52"/>
  <c r="T260" i="52"/>
  <c r="T259" i="52"/>
  <c r="T212" i="52"/>
  <c r="T332" i="52"/>
  <c r="T275" i="52"/>
  <c r="T169" i="52"/>
  <c r="T387" i="52"/>
  <c r="T340" i="52"/>
  <c r="T236" i="52"/>
  <c r="T193" i="52"/>
  <c r="T307" i="52"/>
  <c r="T371" i="52"/>
  <c r="T324" i="52"/>
  <c r="T243" i="52"/>
  <c r="T246" i="52" s="1"/>
  <c r="T194" i="52"/>
  <c r="T125" i="52"/>
  <c r="T348" i="52"/>
  <c r="T185" i="52"/>
  <c r="T188" i="52" s="1"/>
  <c r="T171" i="52"/>
  <c r="T154" i="52"/>
  <c r="T134" i="52"/>
  <c r="T133" i="52"/>
  <c r="T102" i="52"/>
  <c r="T178" i="52"/>
  <c r="T135" i="52"/>
  <c r="T76" i="52"/>
  <c r="T28" i="52"/>
  <c r="T363" i="52"/>
  <c r="T251" i="52"/>
  <c r="T211" i="52"/>
  <c r="T126" i="52"/>
  <c r="T29" i="52"/>
  <c r="T299" i="52"/>
  <c r="T276" i="52"/>
  <c r="T268" i="52"/>
  <c r="T127" i="52"/>
  <c r="T83" i="52"/>
  <c r="T22" i="52"/>
  <c r="T163" i="52"/>
  <c r="T323" i="52"/>
  <c r="T253" i="52"/>
  <c r="T111" i="52"/>
  <c r="T177" i="52"/>
  <c r="T170" i="52"/>
  <c r="T90" i="52"/>
  <c r="T52" i="52"/>
  <c r="T44" i="52"/>
  <c r="T37" i="52"/>
  <c r="T14" i="52"/>
  <c r="T66" i="52"/>
  <c r="T59" i="52"/>
  <c r="T356" i="52"/>
  <c r="T308" i="52"/>
  <c r="T300" i="52"/>
  <c r="T252" i="52"/>
  <c r="T15" i="52"/>
  <c r="AH372" i="52"/>
  <c r="AH355" i="52"/>
  <c r="AH324" i="52"/>
  <c r="AH323" i="52"/>
  <c r="AH363" i="52"/>
  <c r="AH340" i="52"/>
  <c r="AH277" i="52"/>
  <c r="AH268" i="52"/>
  <c r="AH371" i="52"/>
  <c r="AH300" i="52"/>
  <c r="AH267" i="52"/>
  <c r="AH307" i="52"/>
  <c r="AH212" i="52"/>
  <c r="AH348" i="52"/>
  <c r="AH261" i="52"/>
  <c r="AH260" i="52"/>
  <c r="AH259" i="52"/>
  <c r="AH169" i="52"/>
  <c r="AH269" i="52"/>
  <c r="AH235" i="52"/>
  <c r="AH238" i="52" s="1"/>
  <c r="AH332" i="52"/>
  <c r="AH292" i="52"/>
  <c r="AH236" i="52"/>
  <c r="AH193" i="52"/>
  <c r="AH147" i="52"/>
  <c r="AH125" i="52"/>
  <c r="AH315" i="52"/>
  <c r="AH244" i="52"/>
  <c r="AH177" i="52"/>
  <c r="AH141" i="52"/>
  <c r="AH316" i="52"/>
  <c r="AH203" i="52"/>
  <c r="AH153" i="52"/>
  <c r="AH102" i="52"/>
  <c r="AH380" i="52"/>
  <c r="AH308" i="52"/>
  <c r="AH134" i="52"/>
  <c r="AH133" i="52"/>
  <c r="AH76" i="52"/>
  <c r="AH28" i="52"/>
  <c r="AH253" i="52"/>
  <c r="AH101" i="52"/>
  <c r="AH387" i="52"/>
  <c r="AH364" i="52"/>
  <c r="AH178" i="52"/>
  <c r="AH118" i="52"/>
  <c r="AH291" i="52"/>
  <c r="AH59" i="52"/>
  <c r="AH58" i="52"/>
  <c r="AH331" i="52"/>
  <c r="AH284" i="52"/>
  <c r="AH276" i="52"/>
  <c r="AH112" i="52"/>
  <c r="AH36" i="52"/>
  <c r="AH21" i="52"/>
  <c r="AH65" i="52"/>
  <c r="AH22" i="52"/>
  <c r="AH339" i="52"/>
  <c r="AH211" i="52"/>
  <c r="AH110" i="52"/>
  <c r="AH51" i="52"/>
  <c r="AH43" i="52"/>
  <c r="AH13" i="52"/>
  <c r="AH394" i="52"/>
  <c r="AH161" i="52"/>
  <c r="AH100" i="52"/>
  <c r="AH7" i="52" a="1"/>
  <c r="AH7" i="52" s="1"/>
  <c r="J37" i="51" s="1"/>
  <c r="I37" i="51" s="1"/>
  <c r="X37" i="51" s="1"/>
  <c r="AH356" i="52"/>
  <c r="AH135" i="52"/>
  <c r="AH90" i="52"/>
  <c r="AH83" i="52"/>
  <c r="AH52" i="52"/>
  <c r="AH44" i="52"/>
  <c r="AH37" i="52"/>
  <c r="AE14" i="52"/>
  <c r="F22" i="52"/>
  <c r="Q28" i="52"/>
  <c r="AG44" i="52"/>
  <c r="R100" i="52"/>
  <c r="S118" i="52"/>
  <c r="Q135" i="52"/>
  <c r="AD155" i="52"/>
  <c r="P161" i="52"/>
  <c r="R162" i="52"/>
  <c r="AG178" i="52"/>
  <c r="Q236" i="52"/>
  <c r="AD347" i="52"/>
  <c r="F387" i="52"/>
  <c r="AE363" i="52"/>
  <c r="AE387" i="52"/>
  <c r="AE394" i="52"/>
  <c r="AE332" i="52"/>
  <c r="AE372" i="52"/>
  <c r="AE331" i="52"/>
  <c r="AE292" i="52"/>
  <c r="AE380" i="52"/>
  <c r="AE315" i="52"/>
  <c r="AE356" i="52"/>
  <c r="AE348" i="52"/>
  <c r="AE259" i="52"/>
  <c r="AE364" i="52"/>
  <c r="AE277" i="52"/>
  <c r="AE185" i="52"/>
  <c r="AE188" i="52" s="1"/>
  <c r="AE171" i="52"/>
  <c r="AE393" i="52"/>
  <c r="AE323" i="52"/>
  <c r="AE316" i="52"/>
  <c r="AE268" i="52"/>
  <c r="AE267" i="52"/>
  <c r="AE235" i="52"/>
  <c r="AE238" i="52" s="1"/>
  <c r="AE261" i="52"/>
  <c r="AE252" i="52"/>
  <c r="AE347" i="52"/>
  <c r="AE269" i="52"/>
  <c r="AE253" i="52"/>
  <c r="AE251" i="52"/>
  <c r="AE170" i="52"/>
  <c r="AE118" i="52"/>
  <c r="AE236" i="52"/>
  <c r="AE193" i="52"/>
  <c r="AE163" i="52"/>
  <c r="AE147" i="52"/>
  <c r="AE260" i="52"/>
  <c r="AE52" i="52"/>
  <c r="AE355" i="52"/>
  <c r="AE276" i="52"/>
  <c r="AE275" i="52"/>
  <c r="AE127" i="52"/>
  <c r="AE90" i="52"/>
  <c r="AE44" i="52"/>
  <c r="AE43" i="52"/>
  <c r="AE299" i="52"/>
  <c r="AE302" i="52" s="1"/>
  <c r="AE244" i="52"/>
  <c r="AE161" i="52"/>
  <c r="AE155" i="52"/>
  <c r="AE134" i="52"/>
  <c r="AE125" i="52"/>
  <c r="AE100" i="52"/>
  <c r="AE284" i="52"/>
  <c r="AE243" i="52"/>
  <c r="AE246" i="52" s="1"/>
  <c r="AE212" i="52"/>
  <c r="AE177" i="52"/>
  <c r="AE379" i="52"/>
  <c r="AE162" i="52"/>
  <c r="AE29" i="52"/>
  <c r="AE112" i="52"/>
  <c r="AE110" i="52"/>
  <c r="AE51" i="52"/>
  <c r="AE21" i="52"/>
  <c r="AE135" i="52"/>
  <c r="AE76" i="52"/>
  <c r="AE89" i="52"/>
  <c r="AE36" i="52"/>
  <c r="AE58" i="52"/>
  <c r="AE308" i="52"/>
  <c r="AE102" i="52"/>
  <c r="AE339" i="52"/>
  <c r="AE22" i="52"/>
  <c r="Q211" i="52"/>
  <c r="AF14" i="52"/>
  <c r="AD22" i="52"/>
  <c r="R28" i="52"/>
  <c r="P29" i="52"/>
  <c r="F51" i="52"/>
  <c r="F52" i="52"/>
  <c r="AD52" i="52"/>
  <c r="P66" i="52"/>
  <c r="F83" i="52"/>
  <c r="AE83" i="52"/>
  <c r="S100" i="52"/>
  <c r="R102" i="52"/>
  <c r="P110" i="52"/>
  <c r="T118" i="52"/>
  <c r="AD126" i="52"/>
  <c r="R135" i="52"/>
  <c r="AD141" i="52"/>
  <c r="T153" i="52"/>
  <c r="AH155" i="52"/>
  <c r="Q161" i="52"/>
  <c r="T162" i="52"/>
  <c r="AH163" i="52"/>
  <c r="S236" i="52"/>
  <c r="Q244" i="52"/>
  <c r="R260" i="52"/>
  <c r="F275" i="52"/>
  <c r="AH347" i="52"/>
  <c r="S371" i="52"/>
  <c r="P394" i="52"/>
  <c r="R387" i="52"/>
  <c r="R356" i="52"/>
  <c r="R307" i="52"/>
  <c r="R393" i="52"/>
  <c r="R324" i="52"/>
  <c r="R323" i="52"/>
  <c r="R371" i="52"/>
  <c r="R355" i="52"/>
  <c r="R364" i="52"/>
  <c r="R269" i="52"/>
  <c r="R380" i="52"/>
  <c r="R339" i="52"/>
  <c r="R315" i="52"/>
  <c r="R268" i="52"/>
  <c r="R340" i="52"/>
  <c r="R235" i="52"/>
  <c r="R238" i="52" s="1"/>
  <c r="R161" i="52"/>
  <c r="R379" i="52"/>
  <c r="R347" i="52"/>
  <c r="R291" i="52"/>
  <c r="R170" i="52"/>
  <c r="R316" i="52"/>
  <c r="R284" i="52"/>
  <c r="R276" i="52"/>
  <c r="R372" i="52"/>
  <c r="R299" i="52"/>
  <c r="R394" i="52"/>
  <c r="R259" i="52"/>
  <c r="R236" i="52"/>
  <c r="R193" i="52"/>
  <c r="R126" i="52"/>
  <c r="R292" i="52"/>
  <c r="R212" i="52"/>
  <c r="R275" i="52"/>
  <c r="R252" i="52"/>
  <c r="R153" i="52"/>
  <c r="R141" i="52"/>
  <c r="R194" i="52"/>
  <c r="R185" i="52"/>
  <c r="R188" i="52" s="1"/>
  <c r="R89" i="52"/>
  <c r="R29" i="52"/>
  <c r="R169" i="52"/>
  <c r="R118" i="52"/>
  <c r="R101" i="52"/>
  <c r="R83" i="52"/>
  <c r="R82" i="52"/>
  <c r="R37" i="52"/>
  <c r="R36" i="52"/>
  <c r="R35" i="52"/>
  <c r="R177" i="52"/>
  <c r="R283" i="52"/>
  <c r="R13" i="52"/>
  <c r="R90" i="52"/>
  <c r="R363" i="52"/>
  <c r="R348" i="52"/>
  <c r="R133" i="52"/>
  <c r="R203" i="52"/>
  <c r="R178" i="52"/>
  <c r="R171" i="52"/>
  <c r="R155" i="52"/>
  <c r="R134" i="52"/>
  <c r="R76" i="52"/>
  <c r="R65" i="52"/>
  <c r="R154" i="52"/>
  <c r="R127" i="52"/>
  <c r="R22" i="52"/>
  <c r="R52" i="52"/>
  <c r="R44" i="52"/>
  <c r="R253" i="52"/>
  <c r="R251" i="52"/>
  <c r="R243" i="52"/>
  <c r="R246" i="52" s="1"/>
  <c r="R66" i="52"/>
  <c r="AF387" i="52"/>
  <c r="AF356" i="52"/>
  <c r="AF307" i="52"/>
  <c r="AF332" i="52"/>
  <c r="AF379" i="52"/>
  <c r="AF308" i="52"/>
  <c r="AF299" i="52"/>
  <c r="AF269" i="52"/>
  <c r="AF323" i="52"/>
  <c r="AF268" i="52"/>
  <c r="AF393" i="52"/>
  <c r="AF316" i="52"/>
  <c r="AF267" i="52"/>
  <c r="AF235" i="52"/>
  <c r="AF238" i="52" s="1"/>
  <c r="AF161" i="52"/>
  <c r="AF170" i="52"/>
  <c r="AF347" i="52"/>
  <c r="AF300" i="52"/>
  <c r="AF163" i="52"/>
  <c r="AF155" i="52"/>
  <c r="AF154" i="52"/>
  <c r="AF153" i="52"/>
  <c r="AF126" i="52"/>
  <c r="AF236" i="52"/>
  <c r="AF193" i="52"/>
  <c r="AF147" i="52"/>
  <c r="AF260" i="52"/>
  <c r="AF363" i="52"/>
  <c r="AF315" i="52"/>
  <c r="AF244" i="52"/>
  <c r="AF177" i="52"/>
  <c r="AF141" i="52"/>
  <c r="AF89" i="52"/>
  <c r="AF29" i="52"/>
  <c r="AF134" i="52"/>
  <c r="AF125" i="52"/>
  <c r="AF100" i="52"/>
  <c r="AF7" i="52" a="1"/>
  <c r="AF7" i="52" s="1"/>
  <c r="J35" i="51" s="1"/>
  <c r="I35" i="51" s="1"/>
  <c r="X35" i="51" s="1"/>
  <c r="AF253" i="52"/>
  <c r="AF171" i="52"/>
  <c r="AF83" i="52"/>
  <c r="AF82" i="52"/>
  <c r="AF37" i="52"/>
  <c r="AF36" i="52"/>
  <c r="AF35" i="52"/>
  <c r="AF169" i="52"/>
  <c r="AF135" i="52"/>
  <c r="AF66" i="52"/>
  <c r="AF65" i="52"/>
  <c r="AF292" i="52"/>
  <c r="AF243" i="52"/>
  <c r="AF246" i="52" s="1"/>
  <c r="AF102" i="52"/>
  <c r="AF76" i="52"/>
  <c r="AF58" i="52"/>
  <c r="AF43" i="52"/>
  <c r="AF13" i="52"/>
  <c r="AF212" i="52"/>
  <c r="AF118" i="52"/>
  <c r="AF331" i="52"/>
  <c r="AF251" i="52"/>
  <c r="AF348" i="52"/>
  <c r="AF284" i="52"/>
  <c r="AF276" i="52"/>
  <c r="AF261" i="52"/>
  <c r="AF112" i="52"/>
  <c r="AF110" i="52"/>
  <c r="AF51" i="52"/>
  <c r="AF21" i="52"/>
  <c r="AF394" i="52"/>
  <c r="AF371" i="52"/>
  <c r="AF324" i="52"/>
  <c r="AF211" i="52"/>
  <c r="AF203" i="52"/>
  <c r="AF90" i="52"/>
  <c r="AD7" i="52" a="1"/>
  <c r="AD7" i="52" s="1"/>
  <c r="J33" i="51" s="1"/>
  <c r="I33" i="51" s="1"/>
  <c r="X33" i="51" s="1"/>
  <c r="S13" i="52"/>
  <c r="AH14" i="52"/>
  <c r="AD15" i="52"/>
  <c r="AF22" i="52"/>
  <c r="Q29" i="52"/>
  <c r="AD35" i="52"/>
  <c r="R43" i="52"/>
  <c r="AF52" i="52"/>
  <c r="S66" i="52"/>
  <c r="T100" i="52"/>
  <c r="P101" i="52"/>
  <c r="R110" i="52"/>
  <c r="Q119" i="52"/>
  <c r="AE126" i="52"/>
  <c r="AF127" i="52"/>
  <c r="AE141" i="52"/>
  <c r="AD154" i="52"/>
  <c r="S161" i="52"/>
  <c r="AH170" i="52"/>
  <c r="AE211" i="52"/>
  <c r="S235" i="52"/>
  <c r="S238" i="52" s="1"/>
  <c r="R244" i="52"/>
  <c r="P252" i="52"/>
  <c r="AD253" i="52"/>
  <c r="R267" i="52"/>
  <c r="AD291" i="52"/>
  <c r="S308" i="52"/>
  <c r="AD315" i="52"/>
  <c r="AD340" i="52"/>
  <c r="AG355" i="52"/>
  <c r="P363" i="52"/>
  <c r="H371" i="52"/>
  <c r="H394" i="52"/>
  <c r="H340" i="52"/>
  <c r="H364" i="52"/>
  <c r="H356" i="52"/>
  <c r="H355" i="52"/>
  <c r="H393" i="52"/>
  <c r="H387" i="52"/>
  <c r="H300" i="52"/>
  <c r="H292" i="52"/>
  <c r="H291" i="52"/>
  <c r="H276" i="52"/>
  <c r="H379" i="52"/>
  <c r="H372" i="52"/>
  <c r="H363" i="52"/>
  <c r="H332" i="52"/>
  <c r="H307" i="52"/>
  <c r="H277" i="52"/>
  <c r="H331" i="52"/>
  <c r="H244" i="52"/>
  <c r="H211" i="52"/>
  <c r="H194" i="52"/>
  <c r="H178" i="52"/>
  <c r="H284" i="52"/>
  <c r="H347" i="52"/>
  <c r="H283" i="52"/>
  <c r="H275" i="52"/>
  <c r="H268" i="52"/>
  <c r="H380" i="52"/>
  <c r="H177" i="52"/>
  <c r="H315" i="52"/>
  <c r="H243" i="52"/>
  <c r="H246" i="52" s="1"/>
  <c r="H324" i="52"/>
  <c r="H299" i="52"/>
  <c r="H251" i="52"/>
  <c r="H161" i="52"/>
  <c r="H127" i="52"/>
  <c r="H126" i="52"/>
  <c r="H125" i="52"/>
  <c r="H101" i="52"/>
  <c r="H269" i="52"/>
  <c r="H112" i="52"/>
  <c r="H59" i="52"/>
  <c r="H15" i="52"/>
  <c r="H348" i="52"/>
  <c r="H193" i="52"/>
  <c r="H66" i="52"/>
  <c r="H65" i="52"/>
  <c r="H22" i="52"/>
  <c r="H21" i="52"/>
  <c r="H253" i="52"/>
  <c r="H171" i="52"/>
  <c r="H111" i="52"/>
  <c r="H212" i="52"/>
  <c r="H134" i="52"/>
  <c r="H100" i="52"/>
  <c r="V371" i="52"/>
  <c r="V394" i="52"/>
  <c r="V340" i="52"/>
  <c r="V316" i="52"/>
  <c r="V363" i="52"/>
  <c r="V379" i="52"/>
  <c r="V364" i="52"/>
  <c r="V332" i="52"/>
  <c r="V323" i="52"/>
  <c r="V299" i="52"/>
  <c r="V276" i="52"/>
  <c r="V284" i="52"/>
  <c r="V283" i="52"/>
  <c r="V324" i="52"/>
  <c r="V291" i="52"/>
  <c r="V244" i="52"/>
  <c r="V211" i="52"/>
  <c r="V194" i="52"/>
  <c r="V178" i="52"/>
  <c r="V147" i="52"/>
  <c r="V315" i="52"/>
  <c r="V308" i="52"/>
  <c r="V393" i="52"/>
  <c r="V339" i="52"/>
  <c r="V267" i="52"/>
  <c r="V259" i="52"/>
  <c r="V243" i="52"/>
  <c r="V246" i="52" s="1"/>
  <c r="V387" i="52"/>
  <c r="V347" i="52"/>
  <c r="V135" i="52"/>
  <c r="V134" i="52"/>
  <c r="V155" i="52"/>
  <c r="V101" i="52"/>
  <c r="V356" i="52"/>
  <c r="V261" i="52"/>
  <c r="V235" i="52"/>
  <c r="V238" i="52" s="1"/>
  <c r="V127" i="52"/>
  <c r="V126" i="52"/>
  <c r="V125" i="52"/>
  <c r="V112" i="52"/>
  <c r="V59" i="52"/>
  <c r="V15" i="52"/>
  <c r="V331" i="52"/>
  <c r="V292" i="52"/>
  <c r="V162" i="52"/>
  <c r="V119" i="52"/>
  <c r="V102" i="52"/>
  <c r="V154" i="52"/>
  <c r="V110" i="52"/>
  <c r="V66" i="52"/>
  <c r="V65" i="52"/>
  <c r="V22" i="52"/>
  <c r="V21" i="52"/>
  <c r="V372" i="52"/>
  <c r="V161" i="52"/>
  <c r="V52" i="52"/>
  <c r="V51" i="52"/>
  <c r="V7" i="52" a="1"/>
  <c r="V7" i="52" s="1"/>
  <c r="J25" i="51" s="1"/>
  <c r="I25" i="51" s="1"/>
  <c r="X25" i="51" s="1"/>
  <c r="K13" i="52"/>
  <c r="V28" i="52"/>
  <c r="H29" i="52"/>
  <c r="Y29" i="52"/>
  <c r="Y36" i="52"/>
  <c r="H43" i="52"/>
  <c r="Z43" i="52"/>
  <c r="H51" i="52"/>
  <c r="Z51" i="52"/>
  <c r="H58" i="52"/>
  <c r="K65" i="52"/>
  <c r="L76" i="52"/>
  <c r="V82" i="52"/>
  <c r="Y89" i="52"/>
  <c r="Z112" i="52"/>
  <c r="Y125" i="52"/>
  <c r="K134" i="52"/>
  <c r="H135" i="52"/>
  <c r="Z147" i="52"/>
  <c r="K154" i="52"/>
  <c r="Z161" i="52"/>
  <c r="H170" i="52"/>
  <c r="K171" i="52"/>
  <c r="Y235" i="52"/>
  <c r="Y238" i="52" s="1"/>
  <c r="V236" i="52"/>
  <c r="K283" i="52"/>
  <c r="K315" i="52"/>
  <c r="Y316" i="52"/>
  <c r="N363" i="52"/>
  <c r="Y126" i="52"/>
  <c r="K135" i="52"/>
  <c r="Y236" i="52"/>
  <c r="Y243" i="52"/>
  <c r="Y246" i="52" s="1"/>
  <c r="Y260" i="52"/>
  <c r="K372" i="52"/>
  <c r="L387" i="52"/>
  <c r="L324" i="52"/>
  <c r="L371" i="52"/>
  <c r="L300" i="52"/>
  <c r="L380" i="52"/>
  <c r="L348" i="52"/>
  <c r="L299" i="52"/>
  <c r="L363" i="52"/>
  <c r="L316" i="52"/>
  <c r="L252" i="52"/>
  <c r="L379" i="52"/>
  <c r="L331" i="52"/>
  <c r="L211" i="52"/>
  <c r="L177" i="52"/>
  <c r="L356" i="52"/>
  <c r="L308" i="52"/>
  <c r="L269" i="52"/>
  <c r="L212" i="52"/>
  <c r="L178" i="52"/>
  <c r="L141" i="52"/>
  <c r="L394" i="52"/>
  <c r="L236" i="52"/>
  <c r="L340" i="52"/>
  <c r="L339" i="52"/>
  <c r="L332" i="52"/>
  <c r="L277" i="52"/>
  <c r="L260" i="52"/>
  <c r="L170" i="52"/>
  <c r="L163" i="52"/>
  <c r="L372" i="52"/>
  <c r="L292" i="52"/>
  <c r="L193" i="52"/>
  <c r="L110" i="52"/>
  <c r="L44" i="52"/>
  <c r="L13" i="52"/>
  <c r="L261" i="52"/>
  <c r="L203" i="52"/>
  <c r="L161" i="52"/>
  <c r="L127" i="52"/>
  <c r="L291" i="52"/>
  <c r="L155" i="52"/>
  <c r="L112" i="52"/>
  <c r="L52" i="52"/>
  <c r="L51" i="52"/>
  <c r="L323" i="52"/>
  <c r="L251" i="52"/>
  <c r="L185" i="52"/>
  <c r="L188" i="52" s="1"/>
  <c r="L154" i="52"/>
  <c r="L101" i="52"/>
  <c r="L83" i="52"/>
  <c r="L37" i="52"/>
  <c r="L36" i="52"/>
  <c r="L35" i="52"/>
  <c r="Z387" i="52"/>
  <c r="Z324" i="52"/>
  <c r="Z394" i="52"/>
  <c r="Z364" i="52"/>
  <c r="Z348" i="52"/>
  <c r="Z347" i="52"/>
  <c r="Z299" i="52"/>
  <c r="Z284" i="52"/>
  <c r="Z332" i="52"/>
  <c r="Z316" i="52"/>
  <c r="Z307" i="52"/>
  <c r="Z379" i="52"/>
  <c r="Z363" i="52"/>
  <c r="Z276" i="52"/>
  <c r="Z252" i="52"/>
  <c r="Z315" i="52"/>
  <c r="Z268" i="52"/>
  <c r="Z260" i="52"/>
  <c r="Z244" i="52"/>
  <c r="Z323" i="52"/>
  <c r="Z283" i="52"/>
  <c r="Z211" i="52"/>
  <c r="Z177" i="52"/>
  <c r="Z141" i="52"/>
  <c r="Z267" i="52"/>
  <c r="Z356" i="52"/>
  <c r="Z253" i="52"/>
  <c r="Z162" i="52"/>
  <c r="Z355" i="52"/>
  <c r="Z251" i="52"/>
  <c r="Z243" i="52"/>
  <c r="Z246" i="52" s="1"/>
  <c r="Z110" i="52"/>
  <c r="Z44" i="52"/>
  <c r="Z13" i="52"/>
  <c r="Z393" i="52"/>
  <c r="Z308" i="52"/>
  <c r="Z133" i="52"/>
  <c r="Z59" i="52"/>
  <c r="Z58" i="52"/>
  <c r="Z15" i="52"/>
  <c r="Z14" i="52"/>
  <c r="Z269" i="52"/>
  <c r="Z236" i="52"/>
  <c r="Z111" i="52"/>
  <c r="Z380" i="52"/>
  <c r="Z300" i="52"/>
  <c r="Z235" i="52"/>
  <c r="Z238" i="52" s="1"/>
  <c r="Z155" i="52"/>
  <c r="Z134" i="52"/>
  <c r="Z125" i="52"/>
  <c r="Z118" i="52"/>
  <c r="Z100" i="52"/>
  <c r="Z82" i="52"/>
  <c r="Y7" i="52" a="1"/>
  <c r="Y7" i="52" s="1"/>
  <c r="J28" i="51" s="1"/>
  <c r="I28" i="51" s="1"/>
  <c r="X28" i="51" s="1"/>
  <c r="Z28" i="52"/>
  <c r="L29" i="52"/>
  <c r="K36" i="52"/>
  <c r="K89" i="52"/>
  <c r="Y101" i="52"/>
  <c r="K110" i="52"/>
  <c r="K118" i="52"/>
  <c r="K120" i="52" s="1"/>
  <c r="Z126" i="52"/>
  <c r="L135" i="52"/>
  <c r="K269" i="52"/>
  <c r="Z292" i="52"/>
  <c r="L355" i="52"/>
  <c r="K393" i="52"/>
  <c r="K380" i="52"/>
  <c r="K363" i="52"/>
  <c r="K300" i="52"/>
  <c r="K387" i="52"/>
  <c r="K348" i="52"/>
  <c r="K347" i="52"/>
  <c r="K299" i="52"/>
  <c r="K371" i="52"/>
  <c r="K339" i="52"/>
  <c r="K307" i="52"/>
  <c r="K284" i="52"/>
  <c r="K292" i="52"/>
  <c r="K275" i="52"/>
  <c r="K394" i="52"/>
  <c r="K356" i="52"/>
  <c r="K308" i="52"/>
  <c r="K323" i="52"/>
  <c r="K253" i="52"/>
  <c r="K155" i="52"/>
  <c r="K251" i="52"/>
  <c r="K379" i="52"/>
  <c r="K331" i="52"/>
  <c r="K261" i="52"/>
  <c r="K252" i="52"/>
  <c r="K211" i="52"/>
  <c r="K162" i="52"/>
  <c r="K236" i="52"/>
  <c r="K111" i="52"/>
  <c r="K340" i="52"/>
  <c r="K332" i="52"/>
  <c r="K277" i="52"/>
  <c r="K260" i="52"/>
  <c r="K170" i="52"/>
  <c r="K163" i="52"/>
  <c r="K83" i="52"/>
  <c r="K35" i="52"/>
  <c r="K316" i="52"/>
  <c r="K244" i="52"/>
  <c r="K235" i="52"/>
  <c r="K238" i="52" s="1"/>
  <c r="K147" i="52"/>
  <c r="K59" i="52"/>
  <c r="K58" i="52"/>
  <c r="K15" i="52"/>
  <c r="K14" i="52"/>
  <c r="K203" i="52"/>
  <c r="K178" i="52"/>
  <c r="K161" i="52"/>
  <c r="K127" i="52"/>
  <c r="K355" i="52"/>
  <c r="K169" i="52"/>
  <c r="K82" i="52"/>
  <c r="M379" i="52"/>
  <c r="M348" i="52"/>
  <c r="M299" i="52"/>
  <c r="M372" i="52"/>
  <c r="M340" i="52"/>
  <c r="M339" i="52"/>
  <c r="M308" i="52"/>
  <c r="M283" i="52"/>
  <c r="M394" i="52"/>
  <c r="M356" i="52"/>
  <c r="M323" i="52"/>
  <c r="M261" i="52"/>
  <c r="M363" i="52"/>
  <c r="M316" i="52"/>
  <c r="M252" i="52"/>
  <c r="M154" i="52"/>
  <c r="M387" i="52"/>
  <c r="M371" i="52"/>
  <c r="M307" i="52"/>
  <c r="M277" i="52"/>
  <c r="M163" i="52"/>
  <c r="M300" i="52"/>
  <c r="M380" i="52"/>
  <c r="M269" i="52"/>
  <c r="M355" i="52"/>
  <c r="M292" i="52"/>
  <c r="M332" i="52"/>
  <c r="M260" i="52"/>
  <c r="M170" i="52"/>
  <c r="M193" i="52"/>
  <c r="M110" i="52"/>
  <c r="M291" i="52"/>
  <c r="M276" i="52"/>
  <c r="M203" i="52"/>
  <c r="M119" i="52"/>
  <c r="M82" i="52"/>
  <c r="M66" i="52"/>
  <c r="M22" i="52"/>
  <c r="M178" i="52"/>
  <c r="M155" i="52"/>
  <c r="M112" i="52"/>
  <c r="M52" i="52"/>
  <c r="M51" i="52"/>
  <c r="M134" i="52"/>
  <c r="M125" i="52"/>
  <c r="AA379" i="52"/>
  <c r="AA348" i="52"/>
  <c r="AA299" i="52"/>
  <c r="AA300" i="52"/>
  <c r="AA371" i="52"/>
  <c r="AA324" i="52"/>
  <c r="AA307" i="52"/>
  <c r="AA283" i="52"/>
  <c r="AA372" i="52"/>
  <c r="AA340" i="52"/>
  <c r="AA292" i="52"/>
  <c r="AA387" i="52"/>
  <c r="AA261" i="52"/>
  <c r="AA276" i="52"/>
  <c r="AA252" i="52"/>
  <c r="AA154" i="52"/>
  <c r="AA331" i="52"/>
  <c r="AA284" i="52"/>
  <c r="AA163" i="52"/>
  <c r="AA323" i="52"/>
  <c r="AA251" i="52"/>
  <c r="AA364" i="52"/>
  <c r="AA363" i="52"/>
  <c r="AA277" i="52"/>
  <c r="AA275" i="52"/>
  <c r="AA356" i="52"/>
  <c r="AA253" i="52"/>
  <c r="AA162" i="52"/>
  <c r="AA355" i="52"/>
  <c r="AA243" i="52"/>
  <c r="AA246" i="52" s="1"/>
  <c r="AA110" i="52"/>
  <c r="AA211" i="52"/>
  <c r="AA119" i="52"/>
  <c r="AA82" i="52"/>
  <c r="AA66" i="52"/>
  <c r="AA22" i="52"/>
  <c r="AA269" i="52"/>
  <c r="AA236" i="52"/>
  <c r="AA111" i="52"/>
  <c r="AA332" i="52"/>
  <c r="AA52" i="52"/>
  <c r="AA51" i="52"/>
  <c r="AA347" i="52"/>
  <c r="AA315" i="52"/>
  <c r="AA203" i="52"/>
  <c r="AA178" i="52"/>
  <c r="AA170" i="52"/>
  <c r="AA83" i="52"/>
  <c r="AA37" i="52"/>
  <c r="AA36" i="52"/>
  <c r="AA35" i="52"/>
  <c r="AB15" i="52"/>
  <c r="AA28" i="52"/>
  <c r="M29" i="52"/>
  <c r="M36" i="52"/>
  <c r="V37" i="52"/>
  <c r="Y66" i="52"/>
  <c r="L89" i="52"/>
  <c r="Z101" i="52"/>
  <c r="N110" i="52"/>
  <c r="L118" i="52"/>
  <c r="Y119" i="52"/>
  <c r="AA126" i="52"/>
  <c r="AA133" i="52"/>
  <c r="M135" i="52"/>
  <c r="Y153" i="52"/>
  <c r="AB162" i="52"/>
  <c r="V163" i="52"/>
  <c r="V185" i="52"/>
  <c r="V188" i="52" s="1"/>
  <c r="N194" i="52"/>
  <c r="N211" i="52"/>
  <c r="AB253" i="52"/>
  <c r="AB259" i="52"/>
  <c r="H267" i="52"/>
  <c r="Z291" i="52"/>
  <c r="V307" i="52"/>
  <c r="K364" i="52"/>
  <c r="Z372" i="52"/>
  <c r="Y393" i="52"/>
  <c r="Y380" i="52"/>
  <c r="Y363" i="52"/>
  <c r="Y300" i="52"/>
  <c r="Y394" i="52"/>
  <c r="Y364" i="52"/>
  <c r="Y348" i="52"/>
  <c r="Y347" i="52"/>
  <c r="Y372" i="52"/>
  <c r="Y356" i="52"/>
  <c r="Y284" i="52"/>
  <c r="Y355" i="52"/>
  <c r="Y291" i="52"/>
  <c r="Y277" i="52"/>
  <c r="Y276" i="52"/>
  <c r="Y275" i="52"/>
  <c r="Y340" i="52"/>
  <c r="Y292" i="52"/>
  <c r="Y339" i="52"/>
  <c r="Y253" i="52"/>
  <c r="Y155" i="52"/>
  <c r="Y324" i="52"/>
  <c r="Y203" i="52"/>
  <c r="Y171" i="52"/>
  <c r="Y315" i="52"/>
  <c r="Y268" i="52"/>
  <c r="Y323" i="52"/>
  <c r="Y251" i="52"/>
  <c r="Y169" i="52"/>
  <c r="Y161" i="52"/>
  <c r="Y283" i="52"/>
  <c r="Y267" i="52"/>
  <c r="Y111" i="52"/>
  <c r="Y379" i="52"/>
  <c r="Y162" i="52"/>
  <c r="Y83" i="52"/>
  <c r="Y35" i="52"/>
  <c r="Y371" i="52"/>
  <c r="Y185" i="52"/>
  <c r="Y188" i="52" s="1"/>
  <c r="Y13" i="52"/>
  <c r="Y308" i="52"/>
  <c r="Y133" i="52"/>
  <c r="Y59" i="52"/>
  <c r="Y58" i="52"/>
  <c r="Y15" i="52"/>
  <c r="Y14" i="52"/>
  <c r="Y244" i="52"/>
  <c r="Y193" i="52"/>
  <c r="Y198" i="52" s="1"/>
  <c r="Y163" i="52"/>
  <c r="Y28" i="52"/>
  <c r="K29" i="52"/>
  <c r="K51" i="52"/>
  <c r="Y82" i="52"/>
  <c r="K112" i="52"/>
  <c r="N372" i="52"/>
  <c r="N323" i="52"/>
  <c r="N340" i="52"/>
  <c r="N339" i="52"/>
  <c r="N308" i="52"/>
  <c r="N371" i="52"/>
  <c r="N331" i="52"/>
  <c r="N387" i="52"/>
  <c r="N307" i="52"/>
  <c r="N277" i="52"/>
  <c r="N163" i="52"/>
  <c r="N355" i="52"/>
  <c r="N348" i="52"/>
  <c r="N300" i="52"/>
  <c r="N251" i="52"/>
  <c r="N203" i="52"/>
  <c r="N380" i="52"/>
  <c r="N269" i="52"/>
  <c r="N261" i="52"/>
  <c r="N212" i="52"/>
  <c r="N178" i="52"/>
  <c r="N356" i="52"/>
  <c r="N292" i="52"/>
  <c r="N235" i="52"/>
  <c r="N238" i="52" s="1"/>
  <c r="N162" i="52"/>
  <c r="N161" i="52"/>
  <c r="N193" i="52"/>
  <c r="N291" i="52"/>
  <c r="N276" i="52"/>
  <c r="N119" i="52"/>
  <c r="N268" i="52"/>
  <c r="N244" i="52"/>
  <c r="N177" i="52"/>
  <c r="N147" i="52"/>
  <c r="N43" i="52"/>
  <c r="N252" i="52"/>
  <c r="N134" i="52"/>
  <c r="N125" i="52"/>
  <c r="N170" i="52"/>
  <c r="N118" i="52"/>
  <c r="N90" i="52"/>
  <c r="N89" i="52"/>
  <c r="N332" i="52"/>
  <c r="N135" i="52"/>
  <c r="N126" i="52"/>
  <c r="N102" i="52"/>
  <c r="N76" i="52"/>
  <c r="N29" i="52"/>
  <c r="N28" i="52"/>
  <c r="AB372" i="52"/>
  <c r="AB323" i="52"/>
  <c r="AB371" i="52"/>
  <c r="AB387" i="52"/>
  <c r="AB340" i="52"/>
  <c r="AB339" i="52"/>
  <c r="AB363" i="52"/>
  <c r="AB348" i="52"/>
  <c r="AB308" i="52"/>
  <c r="AB331" i="52"/>
  <c r="AB324" i="52"/>
  <c r="AB284" i="52"/>
  <c r="AB163" i="52"/>
  <c r="AB356" i="52"/>
  <c r="AB292" i="52"/>
  <c r="AB251" i="52"/>
  <c r="AB203" i="52"/>
  <c r="AB364" i="52"/>
  <c r="AB211" i="52"/>
  <c r="AB177" i="52"/>
  <c r="AB283" i="52"/>
  <c r="AB277" i="52"/>
  <c r="AB275" i="52"/>
  <c r="AB212" i="52"/>
  <c r="AB178" i="52"/>
  <c r="AB355" i="52"/>
  <c r="AB243" i="52"/>
  <c r="AB246" i="52" s="1"/>
  <c r="AB379" i="52"/>
  <c r="AB119" i="52"/>
  <c r="AB236" i="52"/>
  <c r="AB43" i="52"/>
  <c r="AB332" i="52"/>
  <c r="AB52" i="52"/>
  <c r="AB51" i="52"/>
  <c r="AB268" i="52"/>
  <c r="AB194" i="52"/>
  <c r="AB153" i="52"/>
  <c r="AB112" i="52"/>
  <c r="AB394" i="52"/>
  <c r="AB261" i="52"/>
  <c r="AB252" i="52"/>
  <c r="AB141" i="52"/>
  <c r="AB101" i="52"/>
  <c r="Z7" i="52" a="1"/>
  <c r="Z7" i="52" s="1"/>
  <c r="J29" i="51" s="1"/>
  <c r="I29" i="51" s="1"/>
  <c r="X29" i="51" s="1"/>
  <c r="V14" i="52"/>
  <c r="L15" i="52"/>
  <c r="K28" i="52"/>
  <c r="AB28" i="52"/>
  <c r="N36" i="52"/>
  <c r="V44" i="52"/>
  <c r="AA59" i="52"/>
  <c r="Z66" i="52"/>
  <c r="M89" i="52"/>
  <c r="AA101" i="52"/>
  <c r="AB111" i="52"/>
  <c r="M118" i="52"/>
  <c r="Z119" i="52"/>
  <c r="K125" i="52"/>
  <c r="AB126" i="52"/>
  <c r="AB133" i="52"/>
  <c r="Y141" i="52"/>
  <c r="L147" i="52"/>
  <c r="Z153" i="52"/>
  <c r="Y154" i="52"/>
  <c r="V169" i="52"/>
  <c r="V170" i="52"/>
  <c r="V171" i="52"/>
  <c r="K212" i="52"/>
  <c r="H235" i="52"/>
  <c r="H238" i="52" s="1"/>
  <c r="Z275" i="52"/>
  <c r="AA291" i="52"/>
  <c r="Y307" i="52"/>
  <c r="AB315" i="52"/>
  <c r="K324" i="52"/>
  <c r="Z340" i="52"/>
  <c r="L347" i="52"/>
  <c r="V355" i="52"/>
  <c r="L364" i="52"/>
  <c r="AC316" i="52"/>
  <c r="O141" i="52"/>
  <c r="AC147" i="52"/>
  <c r="O212" i="52"/>
  <c r="O243" i="52"/>
  <c r="O246" i="52" s="1"/>
  <c r="O259" i="52"/>
  <c r="O364" i="52"/>
  <c r="O347" i="52"/>
  <c r="O372" i="52"/>
  <c r="O332" i="52"/>
  <c r="O331" i="52"/>
  <c r="O363" i="52"/>
  <c r="O315" i="52"/>
  <c r="O299" i="52"/>
  <c r="O393" i="52"/>
  <c r="O260" i="52"/>
  <c r="O371" i="52"/>
  <c r="O355" i="52"/>
  <c r="O348" i="52"/>
  <c r="O300" i="52"/>
  <c r="O251" i="52"/>
  <c r="O203" i="52"/>
  <c r="O153" i="52"/>
  <c r="O380" i="52"/>
  <c r="O236" i="52"/>
  <c r="O356" i="52"/>
  <c r="O292" i="52"/>
  <c r="O252" i="52"/>
  <c r="O308" i="52"/>
  <c r="O340" i="52"/>
  <c r="O316" i="52"/>
  <c r="O253" i="52"/>
  <c r="O185" i="52"/>
  <c r="O188" i="52" s="1"/>
  <c r="O339" i="52"/>
  <c r="O291" i="52"/>
  <c r="O277" i="52"/>
  <c r="O276" i="52"/>
  <c r="O163" i="52"/>
  <c r="O119" i="52"/>
  <c r="O268" i="52"/>
  <c r="O244" i="52"/>
  <c r="O177" i="52"/>
  <c r="O147" i="52"/>
  <c r="O387" i="52"/>
  <c r="O118" i="52"/>
  <c r="O65" i="52"/>
  <c r="O21" i="52"/>
  <c r="AC364" i="52"/>
  <c r="AC347" i="52"/>
  <c r="AC387" i="52"/>
  <c r="AC340" i="52"/>
  <c r="AC339" i="52"/>
  <c r="AC393" i="52"/>
  <c r="AC308" i="52"/>
  <c r="AC379" i="52"/>
  <c r="AC356" i="52"/>
  <c r="AC260" i="52"/>
  <c r="AC292" i="52"/>
  <c r="AC251" i="52"/>
  <c r="AC203" i="52"/>
  <c r="AC153" i="52"/>
  <c r="AC394" i="52"/>
  <c r="AC236" i="52"/>
  <c r="AC348" i="52"/>
  <c r="AC283" i="52"/>
  <c r="AC277" i="52"/>
  <c r="AC275" i="52"/>
  <c r="AC363" i="52"/>
  <c r="AC261" i="52"/>
  <c r="AC252" i="52"/>
  <c r="AC162" i="52"/>
  <c r="AC161" i="52"/>
  <c r="AC119" i="52"/>
  <c r="AC211" i="52"/>
  <c r="AC269" i="52"/>
  <c r="AC170" i="52"/>
  <c r="AC118" i="52"/>
  <c r="AC65" i="52"/>
  <c r="AC21" i="52"/>
  <c r="O89" i="52"/>
  <c r="O90" i="52"/>
  <c r="AC112" i="52"/>
  <c r="O170" i="52"/>
  <c r="AC194" i="52"/>
  <c r="AC268" i="52"/>
  <c r="G379" i="52"/>
  <c r="G316" i="52"/>
  <c r="G394" i="52"/>
  <c r="G363" i="52"/>
  <c r="G372" i="52"/>
  <c r="G387" i="52"/>
  <c r="G284" i="52"/>
  <c r="G283" i="52"/>
  <c r="G348" i="52"/>
  <c r="G276" i="52"/>
  <c r="G356" i="52"/>
  <c r="G169" i="52"/>
  <c r="G331" i="52"/>
  <c r="G292" i="52"/>
  <c r="G244" i="52"/>
  <c r="G211" i="52"/>
  <c r="G194" i="52"/>
  <c r="G178" i="52"/>
  <c r="G170" i="52"/>
  <c r="G347" i="52"/>
  <c r="G277" i="52"/>
  <c r="G332" i="52"/>
  <c r="G275" i="52"/>
  <c r="G268" i="52"/>
  <c r="G260" i="52"/>
  <c r="G203" i="52"/>
  <c r="G171" i="52"/>
  <c r="G134" i="52"/>
  <c r="U379" i="52"/>
  <c r="U316" i="52"/>
  <c r="U380" i="52"/>
  <c r="U315" i="52"/>
  <c r="U347" i="52"/>
  <c r="U355" i="52"/>
  <c r="U332" i="52"/>
  <c r="U283" i="52"/>
  <c r="U275" i="52"/>
  <c r="U169" i="52"/>
  <c r="U244" i="52"/>
  <c r="U211" i="52"/>
  <c r="U194" i="52"/>
  <c r="U178" i="52"/>
  <c r="U307" i="52"/>
  <c r="U394" i="52"/>
  <c r="U393" i="52"/>
  <c r="U371" i="52"/>
  <c r="U339" i="52"/>
  <c r="U324" i="52"/>
  <c r="U291" i="52"/>
  <c r="U267" i="52"/>
  <c r="U170" i="52"/>
  <c r="U134" i="52"/>
  <c r="AI379" i="52"/>
  <c r="AI316" i="52"/>
  <c r="AI331" i="52"/>
  <c r="AI394" i="52"/>
  <c r="AI387" i="52"/>
  <c r="AI364" i="52"/>
  <c r="AI315" i="52"/>
  <c r="AI283" i="52"/>
  <c r="AI372" i="52"/>
  <c r="AI348" i="52"/>
  <c r="AI323" i="52"/>
  <c r="AI300" i="52"/>
  <c r="AI261" i="52"/>
  <c r="AI260" i="52"/>
  <c r="AI259" i="52"/>
  <c r="AI169" i="52"/>
  <c r="AI363" i="52"/>
  <c r="AI355" i="52"/>
  <c r="AI269" i="52"/>
  <c r="AI244" i="52"/>
  <c r="AI211" i="52"/>
  <c r="AI194" i="52"/>
  <c r="AI178" i="52"/>
  <c r="AI332" i="52"/>
  <c r="AI185" i="52"/>
  <c r="AI188" i="52" s="1"/>
  <c r="AI292" i="52"/>
  <c r="AI276" i="52"/>
  <c r="AI134" i="52"/>
  <c r="G37" i="52"/>
  <c r="U37" i="52"/>
  <c r="AI37" i="52"/>
  <c r="G101" i="52"/>
  <c r="U101" i="52"/>
  <c r="AI101" i="52"/>
  <c r="G125" i="52"/>
  <c r="G126" i="52"/>
  <c r="G127" i="52"/>
  <c r="AI135" i="52"/>
  <c r="AI154" i="52"/>
  <c r="U155" i="52"/>
  <c r="G161" i="52"/>
  <c r="G251" i="52"/>
  <c r="AI252" i="52"/>
  <c r="U259" i="52"/>
  <c r="U284" i="52"/>
  <c r="G299" i="52"/>
  <c r="AI299" i="52"/>
  <c r="AI307" i="52"/>
  <c r="G324" i="52"/>
  <c r="AI393" i="52"/>
  <c r="AI133" i="52"/>
  <c r="U135" i="52"/>
  <c r="G243" i="52"/>
  <c r="G246" i="52" s="1"/>
  <c r="AI308" i="52"/>
  <c r="G315" i="52"/>
  <c r="G371" i="52"/>
  <c r="AI380" i="52"/>
  <c r="U387" i="52"/>
  <c r="U133" i="52"/>
  <c r="G135" i="52"/>
  <c r="AI153" i="52"/>
  <c r="U154" i="52"/>
  <c r="G155" i="52"/>
  <c r="U171" i="52"/>
  <c r="U185" i="52"/>
  <c r="U188" i="52" s="1"/>
  <c r="AI203" i="52"/>
  <c r="G253" i="52"/>
  <c r="G300" i="52"/>
  <c r="G307" i="52"/>
  <c r="G308" i="52"/>
  <c r="G323" i="52"/>
  <c r="U340" i="52"/>
  <c r="U348" i="52"/>
  <c r="G364" i="52"/>
  <c r="U372" i="52"/>
  <c r="P27" i="24" l="1"/>
  <c r="P35" i="24"/>
  <c r="F198" i="52"/>
  <c r="X334" i="52"/>
  <c r="H342" i="52"/>
  <c r="AA198" i="52"/>
  <c r="AI120" i="52"/>
  <c r="G342" i="52"/>
  <c r="U334" i="52"/>
  <c r="M334" i="52"/>
  <c r="AC198" i="52"/>
  <c r="M286" i="52"/>
  <c r="T318" i="52"/>
  <c r="S286" i="52"/>
  <c r="G120" i="52"/>
  <c r="K294" i="52"/>
  <c r="AF342" i="52"/>
  <c r="AC310" i="52"/>
  <c r="H326" i="52"/>
  <c r="V198" i="52"/>
  <c r="AC326" i="52"/>
  <c r="K198" i="52"/>
  <c r="P310" i="52"/>
  <c r="O286" i="52"/>
  <c r="J302" i="52"/>
  <c r="AI198" i="52"/>
  <c r="M16" i="52"/>
  <c r="O198" i="52"/>
  <c r="U294" i="52"/>
  <c r="AI294" i="52"/>
  <c r="M294" i="52"/>
  <c r="AF294" i="52"/>
  <c r="AD198" i="52"/>
  <c r="AE286" i="52"/>
  <c r="U310" i="52"/>
  <c r="F294" i="52"/>
  <c r="H120" i="52"/>
  <c r="AC294" i="52"/>
  <c r="T294" i="52"/>
  <c r="AC16" i="52"/>
  <c r="AD310" i="52"/>
  <c r="G294" i="52"/>
  <c r="Y334" i="52"/>
  <c r="L302" i="52"/>
  <c r="AE342" i="52"/>
  <c r="U16" i="52"/>
  <c r="O310" i="52"/>
  <c r="AE294" i="52"/>
  <c r="L120" i="52"/>
  <c r="AH286" i="52"/>
  <c r="T286" i="52"/>
  <c r="AD326" i="52"/>
  <c r="Q198" i="52"/>
  <c r="N16" i="52"/>
  <c r="AB120" i="52"/>
  <c r="AA318" i="52"/>
  <c r="L318" i="52"/>
  <c r="H334" i="52"/>
  <c r="R286" i="52"/>
  <c r="Z198" i="52"/>
  <c r="O326" i="52"/>
  <c r="AH198" i="52"/>
  <c r="O16" i="52"/>
  <c r="G198" i="52"/>
  <c r="M318" i="52"/>
  <c r="M326" i="52"/>
  <c r="U198" i="52"/>
  <c r="AB198" i="52"/>
  <c r="AA310" i="52"/>
  <c r="U302" i="52"/>
  <c r="AE120" i="52"/>
  <c r="S318" i="52"/>
  <c r="Y302" i="52"/>
  <c r="H16" i="52"/>
  <c r="AC318" i="52"/>
  <c r="L198" i="52"/>
  <c r="N286" i="52"/>
  <c r="AB310" i="52"/>
  <c r="N326" i="52"/>
  <c r="P198" i="52"/>
  <c r="AA16" i="52"/>
  <c r="H310" i="52"/>
  <c r="AH120" i="52"/>
  <c r="Q16" i="52"/>
  <c r="AA326" i="52"/>
  <c r="V302" i="52"/>
  <c r="R16" i="52"/>
  <c r="AD120" i="52"/>
  <c r="R310" i="52"/>
  <c r="Y120" i="52"/>
  <c r="AC286" i="52"/>
  <c r="AB318" i="52"/>
  <c r="AA120" i="52"/>
  <c r="T120" i="52"/>
  <c r="AI16" i="52"/>
  <c r="AH326" i="52"/>
  <c r="AG120" i="52"/>
  <c r="AC334" i="52"/>
  <c r="U120" i="52"/>
  <c r="AC302" i="52"/>
  <c r="AI342" i="52"/>
  <c r="M198" i="52"/>
  <c r="V120" i="52"/>
  <c r="AG326" i="52"/>
  <c r="P342" i="52"/>
  <c r="X302" i="52"/>
  <c r="G16" i="52"/>
  <c r="Z302" i="52"/>
  <c r="Z342" i="52"/>
  <c r="AB16" i="52"/>
  <c r="AA342" i="52"/>
  <c r="L310" i="52"/>
  <c r="S294" i="52"/>
  <c r="Q326" i="52"/>
  <c r="R294" i="52"/>
  <c r="R326" i="52"/>
  <c r="F318" i="52"/>
  <c r="H318" i="52"/>
  <c r="AF120" i="52"/>
  <c r="AI326" i="52"/>
  <c r="K334" i="52"/>
  <c r="R120" i="52"/>
  <c r="AC120" i="52"/>
  <c r="V16" i="52"/>
  <c r="AH302" i="52"/>
  <c r="F16" i="52"/>
  <c r="AB302" i="52"/>
  <c r="Z334" i="52"/>
  <c r="AI286" i="52"/>
  <c r="AF198" i="52"/>
  <c r="R318" i="52"/>
  <c r="N198" i="52"/>
  <c r="AB326" i="52"/>
  <c r="N310" i="52"/>
  <c r="H286" i="52"/>
  <c r="K310" i="52"/>
  <c r="U286" i="52"/>
  <c r="N302" i="52"/>
  <c r="R334" i="52"/>
  <c r="U326" i="52"/>
  <c r="R302" i="52"/>
  <c r="AB294" i="52"/>
  <c r="H294" i="52"/>
  <c r="AG286" i="52"/>
  <c r="AG342" i="52"/>
  <c r="AB342" i="52"/>
  <c r="Y318" i="52"/>
  <c r="S326" i="52"/>
  <c r="K302" i="52"/>
  <c r="X342" i="52"/>
  <c r="AG310" i="52"/>
  <c r="K318" i="52"/>
  <c r="I16" i="52"/>
  <c r="P16" i="52"/>
  <c r="X318" i="52"/>
  <c r="P294" i="52"/>
  <c r="AH334" i="52"/>
  <c r="I302" i="52"/>
  <c r="I198" i="52"/>
  <c r="J16" i="52"/>
  <c r="L342" i="52"/>
  <c r="AF302" i="52"/>
  <c r="AD334" i="52"/>
  <c r="I334" i="52"/>
  <c r="J334" i="52"/>
  <c r="M302" i="52"/>
  <c r="Z310" i="52"/>
  <c r="T302" i="52"/>
  <c r="U318" i="52"/>
  <c r="AG198" i="52"/>
  <c r="S302" i="52"/>
  <c r="P326" i="52"/>
  <c r="K342" i="52"/>
  <c r="Z120" i="52"/>
  <c r="AF326" i="52"/>
  <c r="AG334" i="52"/>
  <c r="W302" i="52"/>
  <c r="V310" i="52"/>
  <c r="I294" i="52"/>
  <c r="W286" i="52"/>
  <c r="L16" i="52"/>
  <c r="AG16" i="52"/>
  <c r="N334" i="52"/>
  <c r="Y342" i="52"/>
  <c r="AA286" i="52"/>
  <c r="Z326" i="52"/>
  <c r="H198" i="52"/>
  <c r="G326" i="52"/>
  <c r="O302" i="52"/>
  <c r="K286" i="52"/>
  <c r="K16" i="52"/>
  <c r="AE318" i="52"/>
  <c r="T198" i="52"/>
  <c r="AG318" i="52"/>
  <c r="Q294" i="52"/>
  <c r="J286" i="52"/>
  <c r="Q310" i="52"/>
  <c r="W326" i="52"/>
  <c r="O318" i="52"/>
  <c r="Y286" i="52"/>
  <c r="G318" i="52"/>
  <c r="N342" i="52"/>
  <c r="V334" i="52"/>
  <c r="AE310" i="52"/>
  <c r="S310" i="52"/>
  <c r="W310" i="52"/>
  <c r="X294" i="52"/>
  <c r="H302" i="52"/>
  <c r="G286" i="52"/>
  <c r="O334" i="52"/>
  <c r="AB334" i="52"/>
  <c r="AE334" i="52"/>
  <c r="AH16" i="52"/>
  <c r="T16" i="52"/>
  <c r="F120" i="52"/>
  <c r="F286" i="52"/>
  <c r="F302" i="52"/>
  <c r="S198" i="52"/>
  <c r="W16" i="52"/>
  <c r="I286" i="52"/>
  <c r="AC342" i="52"/>
  <c r="M342" i="52"/>
  <c r="L334" i="52"/>
  <c r="T334" i="52"/>
  <c r="S342" i="52"/>
  <c r="Q334" i="52"/>
  <c r="X120" i="52"/>
  <c r="W294" i="52"/>
  <c r="J342" i="52"/>
  <c r="I326" i="52"/>
  <c r="U342" i="52"/>
  <c r="Z16" i="52"/>
  <c r="L326" i="52"/>
  <c r="V286" i="52"/>
  <c r="S16" i="52"/>
  <c r="P318" i="52"/>
  <c r="P120" i="52"/>
  <c r="P334" i="52"/>
  <c r="I310" i="52"/>
  <c r="X310" i="52"/>
  <c r="S334" i="52"/>
  <c r="V294" i="52"/>
  <c r="AI318" i="52"/>
  <c r="O294" i="52"/>
  <c r="AB286" i="52"/>
  <c r="N294" i="52"/>
  <c r="AD318" i="52"/>
  <c r="S120" i="52"/>
  <c r="AH342" i="52"/>
  <c r="AF334" i="52"/>
  <c r="AF310" i="52"/>
  <c r="AI302" i="52"/>
  <c r="Y310" i="52"/>
  <c r="N120" i="52"/>
  <c r="Y16" i="52"/>
  <c r="Z318" i="52"/>
  <c r="V326" i="52"/>
  <c r="AD294" i="52"/>
  <c r="AD16" i="52"/>
  <c r="W318" i="52"/>
  <c r="I318" i="52"/>
  <c r="AH294" i="52"/>
  <c r="T342" i="52"/>
  <c r="Q286" i="52"/>
  <c r="W334" i="52"/>
  <c r="X16" i="52"/>
  <c r="W198" i="52"/>
  <c r="AI310" i="52"/>
  <c r="O342" i="52"/>
  <c r="Y294" i="52"/>
  <c r="V342" i="52"/>
  <c r="AD286" i="52"/>
  <c r="F342" i="52"/>
  <c r="F326" i="52"/>
  <c r="G302" i="52"/>
  <c r="AA294" i="52"/>
  <c r="AA334" i="52"/>
  <c r="AA302" i="52"/>
  <c r="L294" i="52"/>
  <c r="AF318" i="52"/>
  <c r="AH318" i="52"/>
  <c r="F334" i="52"/>
  <c r="AG302" i="52"/>
  <c r="AF286" i="52"/>
  <c r="AD302" i="52"/>
  <c r="W342" i="52"/>
  <c r="I342" i="52"/>
  <c r="X326" i="52"/>
  <c r="X198" i="52"/>
  <c r="J326" i="52"/>
  <c r="T310" i="52"/>
  <c r="J198" i="52"/>
  <c r="G310" i="52"/>
  <c r="R342" i="52"/>
  <c r="Q302" i="52"/>
  <c r="J120" i="52"/>
  <c r="X286" i="52"/>
  <c r="J294" i="52"/>
  <c r="Z294" i="52"/>
  <c r="Z286" i="52"/>
  <c r="P286" i="52"/>
  <c r="Q318" i="52"/>
  <c r="Y326" i="52"/>
  <c r="K326" i="52"/>
  <c r="AE16" i="52"/>
  <c r="Q120" i="52"/>
  <c r="AI334" i="52"/>
  <c r="G334" i="52"/>
  <c r="O120" i="52"/>
  <c r="M120" i="52"/>
  <c r="M310" i="52"/>
  <c r="V318" i="52"/>
  <c r="AF16" i="52"/>
  <c r="R198" i="52"/>
  <c r="AE198" i="52"/>
  <c r="AE326" i="52"/>
  <c r="AH310" i="52"/>
  <c r="T326" i="52"/>
  <c r="F310" i="52"/>
  <c r="AD342" i="52"/>
  <c r="I120" i="52"/>
  <c r="J318" i="52"/>
  <c r="J310" i="52"/>
  <c r="A4" i="15" l="1"/>
  <c r="A4" i="16"/>
  <c r="A4" i="28"/>
  <c r="A4" i="3"/>
  <c r="A4" i="2"/>
  <c r="A4" i="1"/>
  <c r="B3" i="4"/>
  <c r="Q5" i="36"/>
  <c r="AA5" i="36"/>
  <c r="AK5" i="36"/>
  <c r="J10" i="50" l="1"/>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4" i="50"/>
  <c r="J5" i="50"/>
  <c r="J6" i="50"/>
  <c r="J7" i="50"/>
  <c r="J8" i="50"/>
  <c r="J9" i="50"/>
  <c r="J3" i="50"/>
  <c r="B23" i="11" l="1"/>
  <c r="K11" i="28" l="1"/>
  <c r="I3" i="2" l="1"/>
  <c r="K11" i="16" l="1"/>
  <c r="K11" i="15"/>
  <c r="K11" i="8"/>
  <c r="K11" i="3"/>
  <c r="K11" i="2"/>
  <c r="K11" i="1"/>
  <c r="C2" i="48" l="1"/>
  <c r="B20" i="49" l="1"/>
  <c r="B90" i="49"/>
  <c r="B86" i="49"/>
  <c r="B82" i="49"/>
  <c r="B93" i="49"/>
  <c r="B89" i="49"/>
  <c r="B85" i="49"/>
  <c r="B92" i="49"/>
  <c r="B88" i="49"/>
  <c r="B84" i="49"/>
  <c r="B91" i="49"/>
  <c r="B87" i="49"/>
  <c r="B83" i="49"/>
  <c r="B7" i="49"/>
  <c r="B81" i="49"/>
  <c r="B77" i="49"/>
  <c r="B73" i="49"/>
  <c r="B72" i="49"/>
  <c r="B74" i="49"/>
  <c r="B80" i="49"/>
  <c r="B76" i="49"/>
  <c r="B79" i="49"/>
  <c r="B75" i="49"/>
  <c r="B71" i="49"/>
  <c r="B78" i="49"/>
  <c r="B70" i="49"/>
  <c r="B26" i="49"/>
  <c r="B17" i="49"/>
  <c r="B61" i="49"/>
  <c r="B57" i="49"/>
  <c r="B53" i="49"/>
  <c r="B60" i="49"/>
  <c r="B56" i="49"/>
  <c r="B52" i="49"/>
  <c r="B59" i="49"/>
  <c r="B55" i="49"/>
  <c r="B51" i="49"/>
  <c r="B58" i="49"/>
  <c r="B54" i="49"/>
  <c r="B50" i="49"/>
  <c r="B24" i="49"/>
  <c r="B19" i="49"/>
  <c r="B16" i="49"/>
  <c r="B23" i="49"/>
  <c r="B18" i="49"/>
  <c r="B27" i="49"/>
  <c r="B22" i="49"/>
  <c r="B15" i="49"/>
  <c r="B11" i="49"/>
  <c r="B49" i="49"/>
  <c r="B45" i="49"/>
  <c r="B41" i="49"/>
  <c r="B48" i="49"/>
  <c r="B44" i="49"/>
  <c r="B40" i="49"/>
  <c r="B47" i="49"/>
  <c r="B43" i="49"/>
  <c r="B39" i="49"/>
  <c r="B46" i="49"/>
  <c r="B42" i="49"/>
  <c r="B38" i="49"/>
  <c r="B14" i="49"/>
  <c r="B10" i="49"/>
  <c r="B6" i="49"/>
  <c r="B13" i="49"/>
  <c r="B9" i="49"/>
  <c r="B5" i="49"/>
  <c r="B4" i="49"/>
  <c r="B12" i="49"/>
  <c r="B8" i="49"/>
  <c r="B25" i="49"/>
  <c r="B21" i="49"/>
  <c r="E88" i="49"/>
  <c r="E41" i="49"/>
  <c r="E87" i="49"/>
  <c r="E9" i="49"/>
  <c r="E26" i="49"/>
  <c r="E57" i="49"/>
  <c r="E11" i="49"/>
  <c r="E70" i="49"/>
  <c r="E48" i="49"/>
  <c r="E83" i="49"/>
  <c r="E82" i="49"/>
  <c r="E46" i="49"/>
  <c r="E4" i="49"/>
  <c r="E23" i="49"/>
  <c r="E78" i="49"/>
  <c r="E56" i="49"/>
  <c r="E91" i="49"/>
  <c r="E49" i="49"/>
  <c r="E74" i="49"/>
  <c r="E84" i="49"/>
  <c r="E13" i="49"/>
  <c r="E61" i="49"/>
  <c r="E90" i="49"/>
  <c r="E43" i="49"/>
  <c r="E58" i="49"/>
  <c r="E72" i="49"/>
  <c r="E24" i="49"/>
  <c r="E50" i="49"/>
  <c r="E73" i="49"/>
  <c r="E5" i="49"/>
  <c r="E59" i="49"/>
  <c r="E17" i="49"/>
  <c r="E80" i="49"/>
  <c r="E20" i="49"/>
  <c r="E79" i="49"/>
  <c r="E51" i="49"/>
  <c r="E45" i="49"/>
  <c r="E10" i="49"/>
  <c r="E38" i="49"/>
  <c r="E40" i="49"/>
  <c r="E55" i="49"/>
  <c r="E39" i="49"/>
  <c r="E16" i="49"/>
  <c r="E42" i="49"/>
  <c r="E52" i="49"/>
  <c r="E19" i="49"/>
  <c r="E86" i="49"/>
  <c r="E18" i="49"/>
  <c r="E54" i="49"/>
  <c r="E47" i="49"/>
  <c r="E76" i="49"/>
  <c r="E27" i="49"/>
  <c r="E44" i="49"/>
  <c r="E14" i="49"/>
  <c r="E81" i="49"/>
  <c r="E22" i="49"/>
  <c r="E71" i="49"/>
  <c r="E6" i="49"/>
  <c r="E89" i="49"/>
  <c r="E25" i="49"/>
  <c r="E12" i="49"/>
  <c r="E8" i="49"/>
  <c r="E53" i="49"/>
  <c r="E77" i="49"/>
  <c r="E21" i="49"/>
  <c r="E93" i="49"/>
  <c r="E85" i="49"/>
  <c r="E92" i="49"/>
  <c r="E15" i="49"/>
  <c r="E7" i="49"/>
  <c r="E75" i="49"/>
  <c r="E60" i="49"/>
  <c r="F87" i="49" l="1"/>
  <c r="F92" i="49"/>
  <c r="F91" i="49"/>
  <c r="F86" i="49"/>
  <c r="F84" i="49"/>
  <c r="F89" i="49"/>
  <c r="F90" i="49"/>
  <c r="F82" i="49"/>
  <c r="F85" i="49"/>
  <c r="F83" i="49"/>
  <c r="F88" i="49"/>
  <c r="F93" i="49"/>
  <c r="C7" i="14"/>
  <c r="N90" i="14"/>
  <c r="O90" i="14"/>
  <c r="P90" i="14"/>
  <c r="N61" i="14"/>
  <c r="O61" i="14"/>
  <c r="P61" i="14"/>
  <c r="N66" i="14"/>
  <c r="O66" i="14"/>
  <c r="P66" i="14"/>
  <c r="N75" i="14"/>
  <c r="O75" i="14"/>
  <c r="P75" i="14"/>
  <c r="N83" i="14"/>
  <c r="O83" i="14"/>
  <c r="P83" i="14"/>
  <c r="F25" i="49"/>
  <c r="F53" i="49"/>
  <c r="F4" i="49"/>
  <c r="F8" i="49"/>
  <c r="F56" i="49"/>
  <c r="F27" i="49"/>
  <c r="F16" i="49"/>
  <c r="F19" i="49"/>
  <c r="F38" i="49"/>
  <c r="F24" i="49"/>
  <c r="F18" i="49"/>
  <c r="F41" i="49"/>
  <c r="P58" i="14"/>
  <c r="F39" i="49"/>
  <c r="F58" i="49"/>
  <c r="F14" i="49"/>
  <c r="F10" i="49"/>
  <c r="F61" i="49"/>
  <c r="P64" i="14"/>
  <c r="F12" i="49"/>
  <c r="F44" i="49"/>
  <c r="F17" i="49"/>
  <c r="F13" i="49"/>
  <c r="F51" i="49"/>
  <c r="F21" i="49"/>
  <c r="F54" i="49"/>
  <c r="F15" i="49"/>
  <c r="O64" i="14"/>
  <c r="F47" i="49"/>
  <c r="F5" i="49"/>
  <c r="F60" i="49"/>
  <c r="F52" i="49"/>
  <c r="F45" i="49"/>
  <c r="F6" i="49"/>
  <c r="F49" i="49"/>
  <c r="N64" i="14"/>
  <c r="F42" i="49"/>
  <c r="F22" i="49"/>
  <c r="F26" i="49"/>
  <c r="F43" i="49"/>
  <c r="F46" i="49"/>
  <c r="F59" i="49"/>
  <c r="F20" i="49"/>
  <c r="F57" i="49"/>
  <c r="F23" i="49"/>
  <c r="F9" i="49"/>
  <c r="O58" i="14"/>
  <c r="F50" i="49"/>
  <c r="F55" i="49"/>
  <c r="F11" i="49"/>
  <c r="F7" i="49"/>
  <c r="F48" i="49"/>
  <c r="F40" i="49"/>
  <c r="N58" i="14"/>
  <c r="H21" i="49" l="1"/>
  <c r="H26" i="49"/>
  <c r="H6" i="49"/>
  <c r="H4" i="49"/>
  <c r="H56" i="49"/>
  <c r="H48" i="49"/>
  <c r="H43" i="49"/>
  <c r="H45" i="49"/>
  <c r="H20" i="49"/>
  <c r="H11" i="49"/>
  <c r="H38" i="49"/>
  <c r="H14" i="49"/>
  <c r="H51" i="49"/>
  <c r="H57" i="49"/>
  <c r="H53" i="49"/>
  <c r="H59" i="49"/>
  <c r="H25" i="49"/>
  <c r="H7" i="49"/>
  <c r="H55" i="49"/>
  <c r="H60" i="49"/>
  <c r="H17" i="49"/>
  <c r="H42" i="49"/>
  <c r="H50" i="49"/>
  <c r="H41" i="49"/>
  <c r="H47" i="49"/>
  <c r="H46" i="49"/>
  <c r="H61" i="49"/>
  <c r="H49" i="49"/>
  <c r="H39" i="49"/>
  <c r="H54" i="49"/>
  <c r="H52" i="49"/>
  <c r="H24" i="49"/>
  <c r="H19" i="49"/>
  <c r="H58" i="49"/>
  <c r="H44" i="49"/>
  <c r="H10" i="49"/>
  <c r="H15" i="49"/>
  <c r="H40" i="49"/>
  <c r="H27" i="49"/>
  <c r="H23" i="49"/>
  <c r="H16" i="49"/>
  <c r="H5" i="49"/>
  <c r="H8" i="49"/>
  <c r="H12" i="49"/>
  <c r="H13" i="49"/>
  <c r="H18" i="49"/>
  <c r="H9" i="49"/>
  <c r="H22" i="49"/>
  <c r="P57" i="14"/>
  <c r="P76" i="14" s="1"/>
  <c r="N73" i="14"/>
  <c r="N77" i="14" s="1"/>
  <c r="P73" i="14"/>
  <c r="P77" i="14" s="1"/>
  <c r="O57" i="14"/>
  <c r="O76" i="14" s="1"/>
  <c r="O73" i="14"/>
  <c r="O77" i="14" s="1"/>
  <c r="N57" i="14"/>
  <c r="N76" i="14" s="1"/>
  <c r="I16" i="49" l="1"/>
  <c r="I26" i="49"/>
  <c r="I18" i="49"/>
  <c r="I21" i="49"/>
  <c r="I56" i="49"/>
  <c r="I51" i="49"/>
  <c r="I60" i="49"/>
  <c r="I55" i="49"/>
  <c r="I57" i="49"/>
  <c r="I20" i="49"/>
  <c r="I23" i="49"/>
  <c r="I53" i="49"/>
  <c r="I50" i="49"/>
  <c r="I25" i="49"/>
  <c r="I58" i="49"/>
  <c r="I22" i="49"/>
  <c r="I24" i="49"/>
  <c r="I54" i="49"/>
  <c r="I59" i="49"/>
  <c r="I19" i="49"/>
  <c r="I17" i="49"/>
  <c r="I61" i="49"/>
  <c r="I52" i="49"/>
  <c r="I27" i="49"/>
  <c r="L2" i="16"/>
  <c r="L2" i="3"/>
  <c r="B240" i="36" l="1"/>
  <c r="B239" i="36"/>
  <c r="B238" i="36"/>
  <c r="B237" i="36"/>
  <c r="B236" i="36"/>
  <c r="B235" i="36"/>
  <c r="B234" i="36"/>
  <c r="B233" i="36"/>
  <c r="B232" i="36"/>
  <c r="B231" i="36"/>
  <c r="B230" i="36"/>
  <c r="B229" i="36"/>
  <c r="B228" i="36"/>
  <c r="B227" i="36"/>
  <c r="B226" i="36"/>
  <c r="B225" i="36"/>
  <c r="B224" i="36"/>
  <c r="B223" i="36"/>
  <c r="B222" i="36"/>
  <c r="B221" i="36"/>
  <c r="B220" i="36"/>
  <c r="B219" i="36"/>
  <c r="B218" i="36"/>
  <c r="B217" i="36"/>
  <c r="B216" i="36"/>
  <c r="B215" i="36"/>
  <c r="B214" i="36"/>
  <c r="B213" i="36"/>
  <c r="B212" i="36"/>
  <c r="B211" i="36"/>
  <c r="B210" i="36"/>
  <c r="B209" i="36"/>
  <c r="B208" i="36"/>
  <c r="B207" i="36"/>
  <c r="B206" i="36"/>
  <c r="B205" i="36"/>
  <c r="F229" i="36"/>
  <c r="F230" i="36" s="1"/>
  <c r="F231" i="36" s="1"/>
  <c r="F232" i="36" s="1"/>
  <c r="F233" i="36" s="1"/>
  <c r="F234" i="36" s="1"/>
  <c r="F235" i="36" s="1"/>
  <c r="F236" i="36" s="1"/>
  <c r="F237" i="36" s="1"/>
  <c r="F238" i="36" s="1"/>
  <c r="F239" i="36" s="1"/>
  <c r="F240" i="36" s="1"/>
  <c r="D229" i="36"/>
  <c r="F217" i="36"/>
  <c r="F218" i="36" s="1"/>
  <c r="F219" i="36" s="1"/>
  <c r="F220" i="36" s="1"/>
  <c r="F221" i="36" s="1"/>
  <c r="F222" i="36" s="1"/>
  <c r="F223" i="36" s="1"/>
  <c r="F224" i="36" s="1"/>
  <c r="F225" i="36" s="1"/>
  <c r="F226" i="36" s="1"/>
  <c r="F227" i="36" s="1"/>
  <c r="F228" i="36" s="1"/>
  <c r="D217" i="36"/>
  <c r="F205" i="36"/>
  <c r="F206" i="36" s="1"/>
  <c r="F207" i="36" s="1"/>
  <c r="F208" i="36" s="1"/>
  <c r="F209" i="36" s="1"/>
  <c r="F210" i="36" s="1"/>
  <c r="F211" i="36" s="1"/>
  <c r="F212" i="36" s="1"/>
  <c r="F213" i="36" s="1"/>
  <c r="F214" i="36" s="1"/>
  <c r="F215" i="36" s="1"/>
  <c r="F216" i="36" s="1"/>
  <c r="D205" i="36"/>
  <c r="B204" i="36"/>
  <c r="B203" i="36"/>
  <c r="B202" i="36"/>
  <c r="B201" i="36"/>
  <c r="B200" i="36"/>
  <c r="B199" i="36"/>
  <c r="B198" i="36"/>
  <c r="B197" i="36"/>
  <c r="B196" i="36"/>
  <c r="B195" i="36"/>
  <c r="B194" i="36"/>
  <c r="F193" i="36"/>
  <c r="F194" i="36" s="1"/>
  <c r="F195" i="36" s="1"/>
  <c r="F196" i="36" s="1"/>
  <c r="F197" i="36" s="1"/>
  <c r="F198" i="36" s="1"/>
  <c r="F199" i="36" s="1"/>
  <c r="F200" i="36" s="1"/>
  <c r="F201" i="36" s="1"/>
  <c r="F202" i="36" s="1"/>
  <c r="F203" i="36" s="1"/>
  <c r="F204" i="36" s="1"/>
  <c r="D193" i="36"/>
  <c r="B193" i="36"/>
  <c r="B192" i="36"/>
  <c r="B191" i="36"/>
  <c r="B190" i="36"/>
  <c r="B189" i="36"/>
  <c r="B188" i="36"/>
  <c r="B187" i="36"/>
  <c r="B186" i="36"/>
  <c r="B185" i="36"/>
  <c r="B184" i="36"/>
  <c r="B183" i="36"/>
  <c r="B182" i="36"/>
  <c r="F181" i="36"/>
  <c r="F182" i="36" s="1"/>
  <c r="F183" i="36" s="1"/>
  <c r="F184" i="36" s="1"/>
  <c r="F185" i="36" s="1"/>
  <c r="F186" i="36" s="1"/>
  <c r="F187" i="36" s="1"/>
  <c r="F188" i="36" s="1"/>
  <c r="F189" i="36" s="1"/>
  <c r="F190" i="36" s="1"/>
  <c r="F191" i="36" s="1"/>
  <c r="F192" i="36" s="1"/>
  <c r="D181" i="36"/>
  <c r="B181" i="36"/>
  <c r="B180" i="36"/>
  <c r="B179" i="36"/>
  <c r="B178" i="36"/>
  <c r="B177" i="36"/>
  <c r="B176" i="36"/>
  <c r="B175" i="36"/>
  <c r="B174" i="36"/>
  <c r="B173" i="36"/>
  <c r="B172" i="36"/>
  <c r="B171" i="36"/>
  <c r="B170" i="36"/>
  <c r="F169" i="36"/>
  <c r="F170" i="36" s="1"/>
  <c r="F171" i="36" s="1"/>
  <c r="F172" i="36" s="1"/>
  <c r="F173" i="36" s="1"/>
  <c r="F174" i="36" s="1"/>
  <c r="F175" i="36" s="1"/>
  <c r="F176" i="36" s="1"/>
  <c r="F177" i="36" s="1"/>
  <c r="F178" i="36" s="1"/>
  <c r="F179" i="36" s="1"/>
  <c r="F180" i="36" s="1"/>
  <c r="D169" i="36"/>
  <c r="B169" i="36"/>
  <c r="B168" i="36"/>
  <c r="B167" i="36"/>
  <c r="B166" i="36"/>
  <c r="B165" i="36"/>
  <c r="B164" i="36"/>
  <c r="B163" i="36"/>
  <c r="B162" i="36"/>
  <c r="B161" i="36"/>
  <c r="B160" i="36"/>
  <c r="B159" i="36"/>
  <c r="B158" i="36"/>
  <c r="F157" i="36"/>
  <c r="F158" i="36" s="1"/>
  <c r="F159" i="36" s="1"/>
  <c r="F160" i="36" s="1"/>
  <c r="F161" i="36" s="1"/>
  <c r="F162" i="36" s="1"/>
  <c r="F163" i="36" s="1"/>
  <c r="F164" i="36" s="1"/>
  <c r="F165" i="36" s="1"/>
  <c r="F166" i="36" s="1"/>
  <c r="F167" i="36" s="1"/>
  <c r="F168" i="36" s="1"/>
  <c r="D157" i="36"/>
  <c r="B157" i="36"/>
  <c r="B156" i="36"/>
  <c r="B155" i="36"/>
  <c r="B154" i="36"/>
  <c r="B153" i="36"/>
  <c r="B152" i="36"/>
  <c r="B151" i="36"/>
  <c r="B150" i="36"/>
  <c r="B149" i="36"/>
  <c r="B148" i="36"/>
  <c r="B147" i="36"/>
  <c r="B146" i="36"/>
  <c r="F145" i="36"/>
  <c r="F146" i="36" s="1"/>
  <c r="F147" i="36" s="1"/>
  <c r="F148" i="36" s="1"/>
  <c r="F149" i="36" s="1"/>
  <c r="F150" i="36" s="1"/>
  <c r="F151" i="36" s="1"/>
  <c r="F152" i="36" s="1"/>
  <c r="F153" i="36" s="1"/>
  <c r="F154" i="36" s="1"/>
  <c r="F155" i="36" s="1"/>
  <c r="F156" i="36" s="1"/>
  <c r="D145" i="36"/>
  <c r="B145" i="36"/>
  <c r="B144" i="36"/>
  <c r="B143" i="36"/>
  <c r="B142" i="36"/>
  <c r="B141" i="36"/>
  <c r="B140" i="36"/>
  <c r="B139" i="36"/>
  <c r="B138" i="36"/>
  <c r="B137" i="36"/>
  <c r="B136" i="36"/>
  <c r="B135" i="36"/>
  <c r="B134" i="36"/>
  <c r="F133" i="36"/>
  <c r="F134" i="36" s="1"/>
  <c r="F135" i="36" s="1"/>
  <c r="F136" i="36" s="1"/>
  <c r="F137" i="36" s="1"/>
  <c r="F138" i="36" s="1"/>
  <c r="F139" i="36" s="1"/>
  <c r="F140" i="36" s="1"/>
  <c r="F141" i="36" s="1"/>
  <c r="F142" i="36" s="1"/>
  <c r="F143" i="36" s="1"/>
  <c r="F144" i="36" s="1"/>
  <c r="D133" i="36"/>
  <c r="B133" i="36"/>
  <c r="B132" i="36"/>
  <c r="B131" i="36"/>
  <c r="B130" i="36"/>
  <c r="B129" i="36"/>
  <c r="B128" i="36"/>
  <c r="B127" i="36"/>
  <c r="B126" i="36"/>
  <c r="B125" i="36"/>
  <c r="B124" i="36"/>
  <c r="B123" i="36"/>
  <c r="B122" i="36"/>
  <c r="F121" i="36"/>
  <c r="F122" i="36" s="1"/>
  <c r="F123" i="36" s="1"/>
  <c r="F124" i="36" s="1"/>
  <c r="F125" i="36" s="1"/>
  <c r="F126" i="36" s="1"/>
  <c r="F127" i="36" s="1"/>
  <c r="F128" i="36" s="1"/>
  <c r="F129" i="36" s="1"/>
  <c r="F130" i="36" s="1"/>
  <c r="F131" i="36" s="1"/>
  <c r="F132" i="36" s="1"/>
  <c r="D121" i="36"/>
  <c r="B121" i="36"/>
  <c r="B120" i="36"/>
  <c r="B119" i="36"/>
  <c r="B118" i="36"/>
  <c r="B117" i="36"/>
  <c r="B116" i="36"/>
  <c r="B115" i="36"/>
  <c r="B114" i="36"/>
  <c r="B113" i="36"/>
  <c r="B112" i="36"/>
  <c r="B111" i="36"/>
  <c r="B110" i="36"/>
  <c r="F109" i="36"/>
  <c r="F110" i="36" s="1"/>
  <c r="F111" i="36" s="1"/>
  <c r="F112" i="36" s="1"/>
  <c r="F113" i="36" s="1"/>
  <c r="F114" i="36" s="1"/>
  <c r="F115" i="36" s="1"/>
  <c r="F116" i="36" s="1"/>
  <c r="F117" i="36" s="1"/>
  <c r="F118" i="36" s="1"/>
  <c r="F119" i="36" s="1"/>
  <c r="F120" i="36" s="1"/>
  <c r="D109" i="36"/>
  <c r="B109" i="36"/>
  <c r="B108" i="36"/>
  <c r="B107" i="36"/>
  <c r="B106" i="36"/>
  <c r="B105" i="36"/>
  <c r="B104" i="36"/>
  <c r="B103" i="36"/>
  <c r="B102" i="36"/>
  <c r="B101" i="36"/>
  <c r="B100" i="36"/>
  <c r="B99" i="36"/>
  <c r="B98" i="36"/>
  <c r="F97" i="36"/>
  <c r="F98" i="36" s="1"/>
  <c r="F99" i="36" s="1"/>
  <c r="F100" i="36" s="1"/>
  <c r="F101" i="36" s="1"/>
  <c r="F102" i="36" s="1"/>
  <c r="F103" i="36" s="1"/>
  <c r="F104" i="36" s="1"/>
  <c r="F105" i="36" s="1"/>
  <c r="F106" i="36" s="1"/>
  <c r="F107" i="36" s="1"/>
  <c r="F108" i="36" s="1"/>
  <c r="D97" i="36"/>
  <c r="B97" i="36"/>
  <c r="B96" i="36"/>
  <c r="B95" i="36"/>
  <c r="B94" i="36"/>
  <c r="B93" i="36"/>
  <c r="B92" i="36"/>
  <c r="B91" i="36"/>
  <c r="B90" i="36"/>
  <c r="B89" i="36"/>
  <c r="B88" i="36"/>
  <c r="B87" i="36"/>
  <c r="B86" i="36"/>
  <c r="F85" i="36"/>
  <c r="F86" i="36" s="1"/>
  <c r="F87" i="36" s="1"/>
  <c r="F88" i="36" s="1"/>
  <c r="F89" i="36" s="1"/>
  <c r="F90" i="36" s="1"/>
  <c r="F91" i="36" s="1"/>
  <c r="F92" i="36" s="1"/>
  <c r="F93" i="36" s="1"/>
  <c r="F94" i="36" s="1"/>
  <c r="F95" i="36" s="1"/>
  <c r="F96" i="36" s="1"/>
  <c r="D85" i="36"/>
  <c r="B85" i="36"/>
  <c r="B84" i="36"/>
  <c r="B83" i="36"/>
  <c r="B82" i="36"/>
  <c r="B81" i="36"/>
  <c r="B80" i="36"/>
  <c r="B79" i="36"/>
  <c r="B78" i="36"/>
  <c r="B77" i="36"/>
  <c r="B76" i="36"/>
  <c r="B75" i="36"/>
  <c r="B74" i="36"/>
  <c r="F73" i="36"/>
  <c r="F74" i="36" s="1"/>
  <c r="F75" i="36" s="1"/>
  <c r="F76" i="36" s="1"/>
  <c r="F77" i="36" s="1"/>
  <c r="F78" i="36" s="1"/>
  <c r="F79" i="36" s="1"/>
  <c r="F80" i="36" s="1"/>
  <c r="F81" i="36" s="1"/>
  <c r="F82" i="36" s="1"/>
  <c r="F83" i="36" s="1"/>
  <c r="F84" i="36" s="1"/>
  <c r="D73" i="36"/>
  <c r="B73" i="36"/>
  <c r="B72" i="36"/>
  <c r="B71" i="36"/>
  <c r="B70" i="36"/>
  <c r="B69" i="36"/>
  <c r="B68" i="36"/>
  <c r="B67" i="36"/>
  <c r="J66" i="36"/>
  <c r="B66" i="36"/>
  <c r="J65" i="36"/>
  <c r="B65" i="36"/>
  <c r="J64" i="36"/>
  <c r="B64" i="36"/>
  <c r="J63" i="36"/>
  <c r="B63" i="36"/>
  <c r="J62" i="36"/>
  <c r="B62" i="36"/>
  <c r="J61" i="36"/>
  <c r="F61" i="36"/>
  <c r="F62" i="36" s="1"/>
  <c r="F63" i="36" s="1"/>
  <c r="F64" i="36" s="1"/>
  <c r="F65" i="36" s="1"/>
  <c r="F66" i="36" s="1"/>
  <c r="F67" i="36" s="1"/>
  <c r="F68" i="36" s="1"/>
  <c r="F69" i="36" s="1"/>
  <c r="F70" i="36" s="1"/>
  <c r="F71" i="36" s="1"/>
  <c r="F72" i="36" s="1"/>
  <c r="D61" i="36"/>
  <c r="B61" i="36"/>
  <c r="J60" i="36"/>
  <c r="B60" i="36"/>
  <c r="J59" i="36"/>
  <c r="B59" i="36"/>
  <c r="J58" i="36"/>
  <c r="B58" i="36"/>
  <c r="J57" i="36"/>
  <c r="B57" i="36"/>
  <c r="J56" i="36"/>
  <c r="B56" i="36"/>
  <c r="J55" i="36"/>
  <c r="B55" i="36"/>
  <c r="J54" i="36"/>
  <c r="B54" i="36"/>
  <c r="J53" i="36"/>
  <c r="B53" i="36"/>
  <c r="J52" i="36"/>
  <c r="B52" i="36"/>
  <c r="J51" i="36"/>
  <c r="B51" i="36"/>
  <c r="J50" i="36"/>
  <c r="B50" i="36"/>
  <c r="J49" i="36"/>
  <c r="F49" i="36"/>
  <c r="F50" i="36" s="1"/>
  <c r="F51" i="36" s="1"/>
  <c r="F52" i="36" s="1"/>
  <c r="F53" i="36" s="1"/>
  <c r="F54" i="36" s="1"/>
  <c r="F55" i="36" s="1"/>
  <c r="F56" i="36" s="1"/>
  <c r="F57" i="36" s="1"/>
  <c r="F58" i="36" s="1"/>
  <c r="F59" i="36" s="1"/>
  <c r="F60" i="36" s="1"/>
  <c r="D49" i="36"/>
  <c r="B49" i="36"/>
  <c r="J48" i="36"/>
  <c r="B48" i="36"/>
  <c r="J47" i="36"/>
  <c r="B47" i="36"/>
  <c r="J46" i="36"/>
  <c r="B46" i="36"/>
  <c r="J45" i="36"/>
  <c r="B45" i="36"/>
  <c r="J44" i="36"/>
  <c r="B44" i="36"/>
  <c r="J43" i="36"/>
  <c r="B43" i="36"/>
  <c r="J42" i="36"/>
  <c r="B42" i="36"/>
  <c r="J41" i="36"/>
  <c r="B41" i="36"/>
  <c r="J40" i="36"/>
  <c r="B40" i="36"/>
  <c r="J39" i="36"/>
  <c r="B39" i="36"/>
  <c r="J38" i="36"/>
  <c r="B38" i="36"/>
  <c r="J37" i="36"/>
  <c r="F37" i="36"/>
  <c r="F38" i="36" s="1"/>
  <c r="F39" i="36" s="1"/>
  <c r="F40" i="36" s="1"/>
  <c r="F41" i="36" s="1"/>
  <c r="F42" i="36" s="1"/>
  <c r="F43" i="36" s="1"/>
  <c r="F44" i="36" s="1"/>
  <c r="F45" i="36" s="1"/>
  <c r="F46" i="36" s="1"/>
  <c r="F47" i="36" s="1"/>
  <c r="F48" i="36" s="1"/>
  <c r="D37" i="36"/>
  <c r="B37" i="36"/>
  <c r="AU5" i="36"/>
  <c r="BE5" i="36"/>
  <c r="BJ5" i="36" l="1"/>
  <c r="AZ5" i="36"/>
  <c r="AP5" i="36"/>
  <c r="V5" i="36"/>
  <c r="AF5" i="36"/>
  <c r="D4" i="44"/>
  <c r="C3" i="44"/>
  <c r="E3" i="51" l="1"/>
  <c r="D1" i="52" s="1"/>
  <c r="A40" i="11" l="1"/>
  <c r="A42" i="11"/>
  <c r="B43" i="11"/>
  <c r="B44" i="11"/>
  <c r="D1" i="4" l="1"/>
  <c r="D1" i="16"/>
  <c r="D1" i="8"/>
  <c r="D1" i="3"/>
  <c r="D1" i="1"/>
  <c r="D1" i="15"/>
  <c r="D1" i="28"/>
  <c r="D1" i="2"/>
  <c r="B45" i="11"/>
  <c r="C51" i="43" s="1"/>
  <c r="C50" i="43"/>
  <c r="X16" i="24" l="1"/>
  <c r="X15" i="24"/>
  <c r="C49" i="43" l="1"/>
  <c r="X14" i="24"/>
  <c r="G44" i="43" l="1"/>
  <c r="M44" i="43"/>
  <c r="T44" i="43"/>
  <c r="V44" i="43"/>
  <c r="E44" i="43"/>
  <c r="L44" i="43"/>
  <c r="T30" i="43"/>
  <c r="N44" i="43"/>
  <c r="K44" i="43"/>
  <c r="D44" i="43"/>
  <c r="U30" i="43"/>
  <c r="U44" i="43"/>
  <c r="S30" i="43"/>
  <c r="F44" i="43"/>
  <c r="R44" i="43"/>
  <c r="O44" i="43"/>
  <c r="W44" i="43"/>
  <c r="W30" i="43"/>
  <c r="J44" i="43"/>
  <c r="I44" i="43"/>
  <c r="H44" i="43"/>
  <c r="S44" i="43"/>
  <c r="V30" i="43"/>
  <c r="Q44" i="43"/>
  <c r="P44" i="43"/>
  <c r="G4" i="10"/>
  <c r="B2" i="42" l="1"/>
  <c r="F30" i="43" l="1"/>
  <c r="Q36" i="43"/>
  <c r="L23" i="43"/>
  <c r="L30" i="43" s="1"/>
  <c r="J36" i="43"/>
  <c r="O23" i="43"/>
  <c r="O30" i="43" s="1"/>
  <c r="P78" i="14" s="1"/>
  <c r="P79" i="14" s="1"/>
  <c r="F23" i="43"/>
  <c r="P23" i="43"/>
  <c r="P30" i="43" s="1"/>
  <c r="I36" i="43"/>
  <c r="E36" i="43"/>
  <c r="H23" i="43"/>
  <c r="H30" i="43" s="1"/>
  <c r="O36" i="43"/>
  <c r="N30" i="43"/>
  <c r="O78" i="14" s="1"/>
  <c r="O79" i="14" s="1"/>
  <c r="J23" i="43"/>
  <c r="J30" i="43" s="1"/>
  <c r="D36" i="43"/>
  <c r="M23" i="43"/>
  <c r="M30" i="43" s="1"/>
  <c r="N78" i="14" s="1"/>
  <c r="N79" i="14" s="1"/>
  <c r="R36" i="43"/>
  <c r="Q23" i="43"/>
  <c r="Q30" i="43" s="1"/>
  <c r="C23" i="43"/>
  <c r="C30" i="43" s="1"/>
  <c r="C36" i="43"/>
  <c r="C44" i="43" s="1"/>
  <c r="I23" i="43"/>
  <c r="I30" i="43" s="1"/>
  <c r="R23" i="43"/>
  <c r="R30" i="43" s="1"/>
  <c r="H36" i="43"/>
  <c r="B44" i="43"/>
  <c r="K36" i="43"/>
  <c r="K23" i="43"/>
  <c r="K30" i="43" s="1"/>
  <c r="G23" i="43"/>
  <c r="G30" i="43" s="1"/>
  <c r="E23" i="43"/>
  <c r="E30" i="43" s="1"/>
  <c r="P36" i="43"/>
  <c r="N23" i="43"/>
  <c r="N36" i="43"/>
  <c r="L36" i="43"/>
  <c r="M36" i="43"/>
  <c r="D23" i="43"/>
  <c r="D30" i="43" s="1"/>
  <c r="G36" i="43"/>
  <c r="F36" i="43"/>
  <c r="F4" i="1"/>
  <c r="G4" i="1" s="1"/>
  <c r="I4" i="1" l="1"/>
  <c r="H4" i="1"/>
  <c r="H244" i="1" l="1"/>
  <c r="C2" i="40"/>
  <c r="C2" i="39" l="1"/>
  <c r="E91" i="14" l="1"/>
  <c r="E90" i="14" s="1"/>
  <c r="F91" i="14"/>
  <c r="F90" i="14" s="1"/>
  <c r="G91" i="14"/>
  <c r="G90" i="14" s="1"/>
  <c r="H91" i="14"/>
  <c r="H90" i="14" s="1"/>
  <c r="I91" i="14"/>
  <c r="I90" i="14" s="1"/>
  <c r="J91" i="14"/>
  <c r="J90" i="14" s="1"/>
  <c r="K91" i="14"/>
  <c r="K90" i="14" s="1"/>
  <c r="L91" i="14"/>
  <c r="L90" i="14" s="1"/>
  <c r="M91" i="14"/>
  <c r="M90" i="14" s="1"/>
  <c r="D91" i="14"/>
  <c r="D90" i="14" s="1"/>
  <c r="O9" i="14"/>
  <c r="N9" i="14"/>
  <c r="M9" i="14"/>
  <c r="L9" i="14"/>
  <c r="K9" i="14"/>
  <c r="D9" i="14"/>
  <c r="F9" i="14"/>
  <c r="G9" i="14"/>
  <c r="H9" i="14"/>
  <c r="I9" i="14"/>
  <c r="J9" i="14"/>
  <c r="E9" i="14"/>
  <c r="C4" i="27" l="1"/>
  <c r="C3" i="27"/>
  <c r="C3" i="22"/>
  <c r="C3" i="20"/>
  <c r="C78" i="14" l="1"/>
  <c r="C2" i="34" l="1"/>
  <c r="C1" i="21"/>
  <c r="K83" i="14" l="1"/>
  <c r="L83" i="14"/>
  <c r="M83" i="14"/>
  <c r="B25" i="11" l="1"/>
  <c r="B24" i="11" s="1"/>
  <c r="S15" i="24" l="1"/>
  <c r="S18" i="24" s="1"/>
  <c r="S16" i="24" l="1"/>
  <c r="S21" i="24"/>
  <c r="S20" i="24"/>
  <c r="S17" i="24"/>
  <c r="T17" i="24" s="1"/>
  <c r="S19" i="24"/>
  <c r="T19" i="24" s="1"/>
  <c r="T20" i="24" l="1"/>
  <c r="T21" i="24"/>
  <c r="T18" i="24"/>
  <c r="T22" i="24" l="1"/>
  <c r="B33" i="11" l="1"/>
  <c r="E4" i="51" s="1"/>
  <c r="D2" i="52" s="1"/>
  <c r="E61" i="52" l="1" a="1"/>
  <c r="E61" i="52" s="1"/>
  <c r="E72" i="52" a="1"/>
  <c r="E72" i="52" s="1"/>
  <c r="E47" i="52" a="1"/>
  <c r="E47" i="52" s="1"/>
  <c r="E343" i="52" a="1"/>
  <c r="E343" i="52" s="1"/>
  <c r="E231" i="52" a="1"/>
  <c r="E231" i="52" s="1"/>
  <c r="E367" i="52" a="1"/>
  <c r="E367" i="52" s="1"/>
  <c r="E189" i="52" a="1"/>
  <c r="E189" i="52" s="1"/>
  <c r="E191" i="52" s="1"/>
  <c r="E311" i="52" a="1"/>
  <c r="E311" i="52" s="1"/>
  <c r="E313" i="52" s="1"/>
  <c r="E359" i="52" a="1"/>
  <c r="E359" i="52" s="1"/>
  <c r="E9" i="52" a="1"/>
  <c r="E9" i="52" s="1"/>
  <c r="E11" i="52" s="1"/>
  <c r="E96" i="52" a="1"/>
  <c r="E96" i="52" s="1"/>
  <c r="E389" i="52" a="1"/>
  <c r="E389" i="52" s="1"/>
  <c r="E263" i="52" a="1"/>
  <c r="E263" i="52" s="1"/>
  <c r="E303" i="52" a="1"/>
  <c r="E303" i="52" s="1"/>
  <c r="E305" i="52" s="1"/>
  <c r="E121" i="52" a="1"/>
  <c r="E121" i="52" s="1"/>
  <c r="E85" i="52" a="1"/>
  <c r="E85" i="52" s="1"/>
  <c r="E255" i="52" a="1"/>
  <c r="E255" i="52" s="1"/>
  <c r="E279" i="52" a="1"/>
  <c r="E279" i="52" s="1"/>
  <c r="E281" i="52" s="1"/>
  <c r="E129" i="52" a="1"/>
  <c r="E129" i="52" s="1"/>
  <c r="E335" i="52" a="1"/>
  <c r="E335" i="52" s="1"/>
  <c r="E337" i="52" s="1"/>
  <c r="E143" i="52" a="1"/>
  <c r="E143" i="52" s="1"/>
  <c r="E78" i="52" a="1"/>
  <c r="E78" i="52" s="1"/>
  <c r="E287" i="52" a="1"/>
  <c r="E287" i="52" s="1"/>
  <c r="E289" i="52" s="1"/>
  <c r="E157" i="52" a="1"/>
  <c r="E157" i="52" s="1"/>
  <c r="E199" i="52" a="1"/>
  <c r="E199" i="52" s="1"/>
  <c r="E39" i="52" a="1"/>
  <c r="E39" i="52" s="1"/>
  <c r="E327" i="52" a="1"/>
  <c r="E327" i="52" s="1"/>
  <c r="E329" i="52" s="1"/>
  <c r="E223" i="52" a="1"/>
  <c r="E223" i="52" s="1"/>
  <c r="E225" i="52" s="1"/>
  <c r="E17" i="52" a="1"/>
  <c r="E17" i="52" s="1"/>
  <c r="E31" i="52" a="1"/>
  <c r="E31" i="52" s="1"/>
  <c r="E295" i="52" a="1"/>
  <c r="E295" i="52" s="1"/>
  <c r="E297" i="52" s="1"/>
  <c r="E239" i="52" a="1"/>
  <c r="E239" i="52" s="1"/>
  <c r="E375" i="52" a="1"/>
  <c r="E375" i="52" s="1"/>
  <c r="E165" i="52" a="1"/>
  <c r="E165" i="52" s="1"/>
  <c r="E149" i="52" a="1"/>
  <c r="E149" i="52" s="1"/>
  <c r="E137" i="52" a="1"/>
  <c r="E137" i="52" s="1"/>
  <c r="E207" i="52" a="1"/>
  <c r="E207" i="52" s="1"/>
  <c r="E319" i="52" a="1"/>
  <c r="E319" i="52" s="1"/>
  <c r="E321" i="52" s="1"/>
  <c r="E351" i="52" a="1"/>
  <c r="E351" i="52" s="1"/>
  <c r="E215" i="52" a="1"/>
  <c r="E215" i="52" s="1"/>
  <c r="E54" i="52" a="1"/>
  <c r="E54" i="52" s="1"/>
  <c r="E173" i="52" a="1"/>
  <c r="E173" i="52" s="1"/>
  <c r="E24" i="52" a="1"/>
  <c r="E24" i="52" s="1"/>
  <c r="E271" i="52" a="1"/>
  <c r="E271" i="52" s="1"/>
  <c r="E114" i="52" a="1"/>
  <c r="E114" i="52" s="1"/>
  <c r="E116" i="52" s="1"/>
  <c r="E383" i="52" a="1"/>
  <c r="E383" i="52" s="1"/>
  <c r="E247" i="52" a="1"/>
  <c r="E247" i="52" s="1"/>
  <c r="E106" i="52" a="1"/>
  <c r="E106" i="52" s="1"/>
  <c r="B26" i="11"/>
  <c r="D66" i="14"/>
  <c r="E66" i="14"/>
  <c r="F66" i="14"/>
  <c r="G66" i="14"/>
  <c r="H66" i="14"/>
  <c r="I66" i="14"/>
  <c r="J66" i="14"/>
  <c r="K66" i="14"/>
  <c r="L66" i="14"/>
  <c r="M66" i="14"/>
  <c r="AH180" i="52" l="1"/>
  <c r="H180" i="52"/>
  <c r="P180" i="52"/>
  <c r="Z180" i="52"/>
  <c r="AD180" i="52"/>
  <c r="O180" i="52"/>
  <c r="K180" i="52"/>
  <c r="AF180" i="52"/>
  <c r="M180" i="52"/>
  <c r="AB180" i="52"/>
  <c r="AI180" i="52"/>
  <c r="F180" i="52"/>
  <c r="W180" i="52"/>
  <c r="L180" i="52"/>
  <c r="AG180" i="52"/>
  <c r="V180" i="52"/>
  <c r="AC180" i="52"/>
  <c r="R180" i="52"/>
  <c r="AE180" i="52"/>
  <c r="E175" i="52"/>
  <c r="N180" i="52"/>
  <c r="Q180" i="52"/>
  <c r="X180" i="52"/>
  <c r="U180" i="52"/>
  <c r="G180" i="52"/>
  <c r="T180" i="52"/>
  <c r="Y180" i="52"/>
  <c r="J180" i="52"/>
  <c r="I180" i="52"/>
  <c r="AA180" i="52"/>
  <c r="S180" i="52"/>
  <c r="V230" i="52"/>
  <c r="G230" i="52"/>
  <c r="F230" i="52"/>
  <c r="W230" i="52"/>
  <c r="AB230" i="52"/>
  <c r="AF230" i="52"/>
  <c r="L230" i="52"/>
  <c r="I230" i="52"/>
  <c r="P230" i="52"/>
  <c r="Z230" i="52"/>
  <c r="AI230" i="52"/>
  <c r="M230" i="52"/>
  <c r="AC230" i="52"/>
  <c r="X230" i="52"/>
  <c r="N230" i="52"/>
  <c r="K230" i="52"/>
  <c r="R230" i="52"/>
  <c r="J230" i="52"/>
  <c r="Q230" i="52"/>
  <c r="H230" i="52"/>
  <c r="AH230" i="52"/>
  <c r="O230" i="52"/>
  <c r="AD230" i="52"/>
  <c r="Y230" i="52"/>
  <c r="AE230" i="52"/>
  <c r="AA230" i="52"/>
  <c r="T230" i="52"/>
  <c r="AG230" i="52"/>
  <c r="S230" i="52"/>
  <c r="U230" i="52"/>
  <c r="N270" i="52"/>
  <c r="AE270" i="52"/>
  <c r="T270" i="52"/>
  <c r="W270" i="52"/>
  <c r="L270" i="52"/>
  <c r="J270" i="52"/>
  <c r="V270" i="52"/>
  <c r="AH270" i="52"/>
  <c r="AB270" i="52"/>
  <c r="H270" i="52"/>
  <c r="G270" i="52"/>
  <c r="K270" i="52"/>
  <c r="AA270" i="52"/>
  <c r="M270" i="52"/>
  <c r="I270" i="52"/>
  <c r="Z270" i="52"/>
  <c r="AI270" i="52"/>
  <c r="F270" i="52"/>
  <c r="U270" i="52"/>
  <c r="S270" i="52"/>
  <c r="E265" i="52"/>
  <c r="O270" i="52"/>
  <c r="R270" i="52"/>
  <c r="AC270" i="52"/>
  <c r="AG270" i="52"/>
  <c r="AD270" i="52"/>
  <c r="Y270" i="52"/>
  <c r="AF270" i="52"/>
  <c r="P270" i="52"/>
  <c r="Q270" i="52"/>
  <c r="X270" i="52"/>
  <c r="Z222" i="52"/>
  <c r="W222" i="52"/>
  <c r="K222" i="52"/>
  <c r="S222" i="52"/>
  <c r="AE222" i="52"/>
  <c r="AD222" i="52"/>
  <c r="V222" i="52"/>
  <c r="O222" i="52"/>
  <c r="Y222" i="52"/>
  <c r="AI222" i="52"/>
  <c r="K11" i="51" a="1"/>
  <c r="K11" i="51" s="1"/>
  <c r="N222" i="52"/>
  <c r="AB222" i="52"/>
  <c r="L222" i="52"/>
  <c r="AG222" i="52"/>
  <c r="J222" i="52"/>
  <c r="E217" i="52"/>
  <c r="I222" i="52"/>
  <c r="AC222" i="52"/>
  <c r="H222" i="52"/>
  <c r="R222" i="52"/>
  <c r="U222" i="52"/>
  <c r="X222" i="52"/>
  <c r="G222" i="52"/>
  <c r="AA222" i="52"/>
  <c r="AH222" i="52"/>
  <c r="F222" i="52"/>
  <c r="T222" i="52"/>
  <c r="M222" i="52"/>
  <c r="P222" i="52"/>
  <c r="K20" i="51" a="1"/>
  <c r="K20" i="51" s="1"/>
  <c r="Q222" i="52"/>
  <c r="Q7" i="52" s="1" a="1"/>
  <c r="Q7" i="52" s="1"/>
  <c r="J20" i="51" s="1"/>
  <c r="AF222" i="52"/>
  <c r="AI395" i="52"/>
  <c r="AE395" i="52"/>
  <c r="J395" i="52"/>
  <c r="T395" i="52"/>
  <c r="R395" i="52"/>
  <c r="U395" i="52"/>
  <c r="Y395" i="52"/>
  <c r="AF395" i="52"/>
  <c r="P395" i="52"/>
  <c r="Z395" i="52"/>
  <c r="AG395" i="52"/>
  <c r="F395" i="52"/>
  <c r="V395" i="52"/>
  <c r="X395" i="52"/>
  <c r="E391" i="52"/>
  <c r="AH395" i="52"/>
  <c r="H395" i="52"/>
  <c r="O395" i="52"/>
  <c r="N395" i="52"/>
  <c r="K395" i="52"/>
  <c r="Q395" i="52"/>
  <c r="W395" i="52"/>
  <c r="AD395" i="52"/>
  <c r="M395" i="52"/>
  <c r="I395" i="52"/>
  <c r="AC395" i="52"/>
  <c r="G395" i="52"/>
  <c r="S395" i="52"/>
  <c r="AA395" i="52"/>
  <c r="AB395" i="52"/>
  <c r="L395" i="52"/>
  <c r="AD206" i="52"/>
  <c r="N206" i="52"/>
  <c r="Q206" i="52"/>
  <c r="K206" i="52"/>
  <c r="T206" i="52"/>
  <c r="AF206" i="52"/>
  <c r="J206" i="52"/>
  <c r="AB206" i="52"/>
  <c r="E201" i="52"/>
  <c r="AE206" i="52"/>
  <c r="L206" i="52"/>
  <c r="U206" i="52"/>
  <c r="AC206" i="52"/>
  <c r="AG206" i="52"/>
  <c r="G206" i="52"/>
  <c r="V206" i="52"/>
  <c r="O206" i="52"/>
  <c r="H206" i="52"/>
  <c r="AA206" i="52"/>
  <c r="S206" i="52"/>
  <c r="M206" i="52"/>
  <c r="F206" i="52"/>
  <c r="R206" i="52"/>
  <c r="Y206" i="52"/>
  <c r="P206" i="52"/>
  <c r="I206" i="52"/>
  <c r="Z206" i="52"/>
  <c r="X206" i="52"/>
  <c r="AH206" i="52"/>
  <c r="W206" i="52"/>
  <c r="AI206" i="52"/>
  <c r="E159" i="52"/>
  <c r="I164" i="52"/>
  <c r="AA164" i="52"/>
  <c r="S164" i="52"/>
  <c r="Q164" i="52"/>
  <c r="G164" i="52"/>
  <c r="L164" i="52"/>
  <c r="O164" i="52"/>
  <c r="AC164" i="52"/>
  <c r="AE164" i="52"/>
  <c r="V164" i="52"/>
  <c r="X164" i="52"/>
  <c r="AD164" i="52"/>
  <c r="N164" i="52"/>
  <c r="T164" i="52"/>
  <c r="AI164" i="52"/>
  <c r="Y164" i="52"/>
  <c r="Z164" i="52"/>
  <c r="J164" i="52"/>
  <c r="AB164" i="52"/>
  <c r="AG164" i="52"/>
  <c r="F164" i="52"/>
  <c r="H164" i="52"/>
  <c r="K164" i="52"/>
  <c r="R164" i="52"/>
  <c r="P164" i="52"/>
  <c r="W164" i="52"/>
  <c r="AF164" i="52"/>
  <c r="M164" i="52"/>
  <c r="U164" i="52"/>
  <c r="AH164" i="52"/>
  <c r="F366" i="52"/>
  <c r="K366" i="52"/>
  <c r="G366" i="52"/>
  <c r="W366" i="52"/>
  <c r="AF366" i="52"/>
  <c r="R366" i="52"/>
  <c r="M366" i="52"/>
  <c r="T366" i="52"/>
  <c r="AH366" i="52"/>
  <c r="H366" i="52"/>
  <c r="E361" i="52"/>
  <c r="P366" i="52"/>
  <c r="I366" i="52"/>
  <c r="AI366" i="52"/>
  <c r="N366" i="52"/>
  <c r="AA366" i="52"/>
  <c r="Q366" i="52"/>
  <c r="AB366" i="52"/>
  <c r="AE366" i="52"/>
  <c r="V366" i="52"/>
  <c r="AD366" i="52"/>
  <c r="Y366" i="52"/>
  <c r="L366" i="52"/>
  <c r="Z366" i="52"/>
  <c r="X366" i="52"/>
  <c r="AG366" i="52"/>
  <c r="AC366" i="52"/>
  <c r="J366" i="52"/>
  <c r="O366" i="52"/>
  <c r="U366" i="52"/>
  <c r="S366" i="52"/>
  <c r="K21" i="51" a="1"/>
  <c r="K21" i="51" s="1"/>
  <c r="O142" i="52"/>
  <c r="E139" i="52"/>
  <c r="Z142" i="52"/>
  <c r="AF142" i="52"/>
  <c r="H142" i="52"/>
  <c r="G142" i="52"/>
  <c r="P142" i="52"/>
  <c r="K142" i="52"/>
  <c r="V142" i="52"/>
  <c r="AA142" i="52"/>
  <c r="F142" i="52"/>
  <c r="AC142" i="52"/>
  <c r="AH142" i="52"/>
  <c r="K15" i="51" a="1"/>
  <c r="K15" i="51" s="1"/>
  <c r="S142" i="52"/>
  <c r="R142" i="52"/>
  <c r="R7" i="52" s="1" a="1"/>
  <c r="R7" i="52" s="1"/>
  <c r="J21" i="51" s="1"/>
  <c r="AI142" i="52"/>
  <c r="I142" i="52"/>
  <c r="J142" i="52"/>
  <c r="AD142" i="52"/>
  <c r="AB142" i="52"/>
  <c r="T142" i="52"/>
  <c r="AG142" i="52"/>
  <c r="Q142" i="52"/>
  <c r="L142" i="52"/>
  <c r="L7" i="52" s="1" a="1"/>
  <c r="L7" i="52" s="1"/>
  <c r="J15" i="51" s="1"/>
  <c r="M142" i="52"/>
  <c r="N142" i="52"/>
  <c r="Y142" i="52"/>
  <c r="W142" i="52"/>
  <c r="X142" i="52"/>
  <c r="AE142" i="52"/>
  <c r="U142" i="52"/>
  <c r="Z84" i="52"/>
  <c r="AF84" i="52"/>
  <c r="I84" i="52"/>
  <c r="AI84" i="52"/>
  <c r="AB84" i="52"/>
  <c r="P84" i="52"/>
  <c r="M84" i="52"/>
  <c r="K84" i="52"/>
  <c r="AG84" i="52"/>
  <c r="O84" i="52"/>
  <c r="H84" i="52"/>
  <c r="AA84" i="52"/>
  <c r="Y84" i="52"/>
  <c r="T84" i="52"/>
  <c r="E80" i="52"/>
  <c r="AD84" i="52"/>
  <c r="AH84" i="52"/>
  <c r="AC84" i="52"/>
  <c r="U84" i="52"/>
  <c r="W84" i="52"/>
  <c r="F84" i="52"/>
  <c r="Q84" i="52"/>
  <c r="S84" i="52"/>
  <c r="N84" i="52"/>
  <c r="J84" i="52"/>
  <c r="R84" i="52"/>
  <c r="X84" i="52"/>
  <c r="G84" i="52"/>
  <c r="V84" i="52"/>
  <c r="L84" i="52"/>
  <c r="AE84" i="52"/>
  <c r="AF156" i="52"/>
  <c r="U156" i="52"/>
  <c r="P156" i="52"/>
  <c r="AH156" i="52"/>
  <c r="V156" i="52"/>
  <c r="AE156" i="52"/>
  <c r="S156" i="52"/>
  <c r="AB156" i="52"/>
  <c r="X156" i="52"/>
  <c r="AI156" i="52"/>
  <c r="AG156" i="52"/>
  <c r="Y156" i="52"/>
  <c r="K156" i="52"/>
  <c r="J156" i="52"/>
  <c r="Q156" i="52"/>
  <c r="AA156" i="52"/>
  <c r="Z156" i="52"/>
  <c r="G156" i="52"/>
  <c r="AD156" i="52"/>
  <c r="O156" i="52"/>
  <c r="E151" i="52"/>
  <c r="T156" i="52"/>
  <c r="H156" i="52"/>
  <c r="F156" i="52"/>
  <c r="L156" i="52"/>
  <c r="N156" i="52"/>
  <c r="W156" i="52"/>
  <c r="I156" i="52"/>
  <c r="AC156" i="52"/>
  <c r="M156" i="52"/>
  <c r="R156" i="52"/>
  <c r="N148" i="52"/>
  <c r="F148" i="52"/>
  <c r="M148" i="52"/>
  <c r="S148" i="52"/>
  <c r="J148" i="52"/>
  <c r="AB148" i="52"/>
  <c r="I148" i="52"/>
  <c r="Z148" i="52"/>
  <c r="H148" i="52"/>
  <c r="R148" i="52"/>
  <c r="G148" i="52"/>
  <c r="U148" i="52"/>
  <c r="AG148" i="52"/>
  <c r="K148" i="52"/>
  <c r="V148" i="52"/>
  <c r="AF148" i="52"/>
  <c r="AC148" i="52"/>
  <c r="X148" i="52"/>
  <c r="AH148" i="52"/>
  <c r="Y148" i="52"/>
  <c r="E145" i="52"/>
  <c r="AE148" i="52"/>
  <c r="P148" i="52"/>
  <c r="T148" i="52"/>
  <c r="O148" i="52"/>
  <c r="AI148" i="52"/>
  <c r="L148" i="52"/>
  <c r="W148" i="52"/>
  <c r="Q148" i="52"/>
  <c r="AD148" i="52"/>
  <c r="AA148" i="52"/>
  <c r="G113" i="52"/>
  <c r="I113" i="52"/>
  <c r="H113" i="52"/>
  <c r="Q113" i="52"/>
  <c r="AH113" i="52"/>
  <c r="N113" i="52"/>
  <c r="F113" i="52"/>
  <c r="K14" i="51" a="1"/>
  <c r="K14" i="51" s="1"/>
  <c r="Y113" i="52"/>
  <c r="J113" i="52"/>
  <c r="W113" i="52"/>
  <c r="AB113" i="52"/>
  <c r="AE113" i="52"/>
  <c r="V113" i="52"/>
  <c r="AG113" i="52"/>
  <c r="E108" i="52"/>
  <c r="L113" i="52"/>
  <c r="K113" i="52"/>
  <c r="K12" i="51" a="1"/>
  <c r="K12" i="51" s="1"/>
  <c r="S113" i="52"/>
  <c r="S7" i="52" s="1" a="1"/>
  <c r="S7" i="52" s="1"/>
  <c r="J22" i="51" s="1"/>
  <c r="AA113" i="52"/>
  <c r="K22" i="51" a="1"/>
  <c r="K22" i="51" s="1"/>
  <c r="M113" i="52"/>
  <c r="AD113" i="52"/>
  <c r="U113" i="52"/>
  <c r="P113" i="52"/>
  <c r="AF113" i="52"/>
  <c r="AI113" i="52"/>
  <c r="O113" i="52"/>
  <c r="Z113" i="52"/>
  <c r="R113" i="52"/>
  <c r="X113" i="52"/>
  <c r="T113" i="52"/>
  <c r="AC113" i="52"/>
  <c r="T172" i="52"/>
  <c r="AC172" i="52"/>
  <c r="Z172" i="52"/>
  <c r="AA172" i="52"/>
  <c r="AE172" i="52"/>
  <c r="Q172" i="52"/>
  <c r="M172" i="52"/>
  <c r="AB172" i="52"/>
  <c r="N172" i="52"/>
  <c r="X172" i="52"/>
  <c r="E167" i="52"/>
  <c r="V172" i="52"/>
  <c r="P172" i="52"/>
  <c r="W172" i="52"/>
  <c r="AG172" i="52"/>
  <c r="AD172" i="52"/>
  <c r="L172" i="52"/>
  <c r="R172" i="52"/>
  <c r="S172" i="52"/>
  <c r="G172" i="52"/>
  <c r="AF172" i="52"/>
  <c r="K172" i="52"/>
  <c r="I172" i="52"/>
  <c r="J172" i="52"/>
  <c r="Y172" i="52"/>
  <c r="U172" i="52"/>
  <c r="AH172" i="52"/>
  <c r="F172" i="52"/>
  <c r="O172" i="52"/>
  <c r="AI172" i="52"/>
  <c r="H172" i="52"/>
  <c r="AB374" i="52"/>
  <c r="S374" i="52"/>
  <c r="V374" i="52"/>
  <c r="Y374" i="52"/>
  <c r="AI374" i="52"/>
  <c r="F374" i="52"/>
  <c r="P374" i="52"/>
  <c r="Q374" i="52"/>
  <c r="N374" i="52"/>
  <c r="T374" i="52"/>
  <c r="E369" i="52"/>
  <c r="AF374" i="52"/>
  <c r="W374" i="52"/>
  <c r="R374" i="52"/>
  <c r="H374" i="52"/>
  <c r="AG374" i="52"/>
  <c r="K374" i="52"/>
  <c r="AC374" i="52"/>
  <c r="G374" i="52"/>
  <c r="I374" i="52"/>
  <c r="AD374" i="52"/>
  <c r="AA374" i="52"/>
  <c r="Z374" i="52"/>
  <c r="L374" i="52"/>
  <c r="M374" i="52"/>
  <c r="AE374" i="52"/>
  <c r="X374" i="52"/>
  <c r="AH374" i="52"/>
  <c r="O374" i="52"/>
  <c r="J374" i="52"/>
  <c r="U374" i="52"/>
  <c r="L254" i="52"/>
  <c r="X254" i="52"/>
  <c r="V254" i="52"/>
  <c r="AI254" i="52"/>
  <c r="AE254" i="52"/>
  <c r="G254" i="52"/>
  <c r="Q254" i="52"/>
  <c r="P254" i="52"/>
  <c r="Z254" i="52"/>
  <c r="AH254" i="52"/>
  <c r="AC254" i="52"/>
  <c r="K254" i="52"/>
  <c r="AF254" i="52"/>
  <c r="AG254" i="52"/>
  <c r="T254" i="52"/>
  <c r="I254" i="52"/>
  <c r="N254" i="52"/>
  <c r="U254" i="52"/>
  <c r="M254" i="52"/>
  <c r="O254" i="52"/>
  <c r="AD254" i="52"/>
  <c r="R254" i="52"/>
  <c r="Y254" i="52"/>
  <c r="W254" i="52"/>
  <c r="S254" i="52"/>
  <c r="E249" i="52"/>
  <c r="AB254" i="52"/>
  <c r="AA254" i="52"/>
  <c r="J254" i="52"/>
  <c r="F254" i="52"/>
  <c r="H254" i="52"/>
  <c r="AH382" i="52"/>
  <c r="M382" i="52"/>
  <c r="H382" i="52"/>
  <c r="K382" i="52"/>
  <c r="AI382" i="52"/>
  <c r="AD382" i="52"/>
  <c r="Q382" i="52"/>
  <c r="S382" i="52"/>
  <c r="O382" i="52"/>
  <c r="P382" i="52"/>
  <c r="AA382" i="52"/>
  <c r="L382" i="52"/>
  <c r="X382" i="52"/>
  <c r="AF382" i="52"/>
  <c r="V382" i="52"/>
  <c r="U382" i="52"/>
  <c r="AC382" i="52"/>
  <c r="J382" i="52"/>
  <c r="T382" i="52"/>
  <c r="Y382" i="52"/>
  <c r="W382" i="52"/>
  <c r="F382" i="52"/>
  <c r="N382" i="52"/>
  <c r="Z382" i="52"/>
  <c r="R382" i="52"/>
  <c r="AG382" i="52"/>
  <c r="E377" i="52"/>
  <c r="G382" i="52"/>
  <c r="AB382" i="52"/>
  <c r="AE382" i="52"/>
  <c r="I382" i="52"/>
  <c r="S136" i="52"/>
  <c r="E131" i="52"/>
  <c r="O136" i="52"/>
  <c r="T136" i="52"/>
  <c r="L136" i="52"/>
  <c r="P136" i="52"/>
  <c r="R136" i="52"/>
  <c r="AG136" i="52"/>
  <c r="Y136" i="52"/>
  <c r="X136" i="52"/>
  <c r="K136" i="52"/>
  <c r="N136" i="52"/>
  <c r="Q136" i="52"/>
  <c r="AC136" i="52"/>
  <c r="Z136" i="52"/>
  <c r="I136" i="52"/>
  <c r="J136" i="52"/>
  <c r="AF136" i="52"/>
  <c r="V136" i="52"/>
  <c r="AE136" i="52"/>
  <c r="U136" i="52"/>
  <c r="F136" i="52"/>
  <c r="AB136" i="52"/>
  <c r="AH136" i="52"/>
  <c r="G136" i="52"/>
  <c r="W136" i="52"/>
  <c r="K9" i="51" a="1"/>
  <c r="K9" i="51" s="1"/>
  <c r="H136" i="52"/>
  <c r="AD136" i="52"/>
  <c r="K16" i="51" a="1"/>
  <c r="K16" i="51" s="1"/>
  <c r="K10" i="51" a="1"/>
  <c r="K10" i="51" s="1"/>
  <c r="AA136" i="52"/>
  <c r="AI136" i="52"/>
  <c r="M136" i="52"/>
  <c r="M7" i="52" s="1" a="1"/>
  <c r="M7" i="52" s="1"/>
  <c r="J16" i="51" s="1"/>
  <c r="E385" i="52"/>
  <c r="I388" i="52"/>
  <c r="L388" i="52"/>
  <c r="T388" i="52"/>
  <c r="J388" i="52"/>
  <c r="R388" i="52"/>
  <c r="K388" i="52"/>
  <c r="H388" i="52"/>
  <c r="AD388" i="52"/>
  <c r="AF388" i="52"/>
  <c r="U388" i="52"/>
  <c r="AI388" i="52"/>
  <c r="V388" i="52"/>
  <c r="F388" i="52"/>
  <c r="AA388" i="52"/>
  <c r="N388" i="52"/>
  <c r="S388" i="52"/>
  <c r="M388" i="52"/>
  <c r="AH388" i="52"/>
  <c r="Q388" i="52"/>
  <c r="AB388" i="52"/>
  <c r="W388" i="52"/>
  <c r="Y388" i="52"/>
  <c r="AE388" i="52"/>
  <c r="G388" i="52"/>
  <c r="O388" i="52"/>
  <c r="AC388" i="52"/>
  <c r="AG388" i="52"/>
  <c r="X388" i="52"/>
  <c r="Z388" i="52"/>
  <c r="P388" i="52"/>
  <c r="X350" i="52"/>
  <c r="H350" i="52"/>
  <c r="V350" i="52"/>
  <c r="AI350" i="52"/>
  <c r="J350" i="52"/>
  <c r="R350" i="52"/>
  <c r="P350" i="52"/>
  <c r="W350" i="52"/>
  <c r="AF350" i="52"/>
  <c r="Y350" i="52"/>
  <c r="L350" i="52"/>
  <c r="M350" i="52"/>
  <c r="S350" i="52"/>
  <c r="AC350" i="52"/>
  <c r="N350" i="52"/>
  <c r="Q350" i="52"/>
  <c r="AG350" i="52"/>
  <c r="T350" i="52"/>
  <c r="F350" i="52"/>
  <c r="AE350" i="52"/>
  <c r="K350" i="52"/>
  <c r="E345" i="52"/>
  <c r="AH350" i="52"/>
  <c r="O350" i="52"/>
  <c r="K13" i="51" a="1"/>
  <c r="K13" i="51" s="1"/>
  <c r="U350" i="52"/>
  <c r="G350" i="52"/>
  <c r="AB350" i="52"/>
  <c r="I350" i="52"/>
  <c r="Z350" i="52"/>
  <c r="AD350" i="52"/>
  <c r="AA350" i="52"/>
  <c r="AD358" i="52"/>
  <c r="AB358" i="52"/>
  <c r="M358" i="52"/>
  <c r="AG358" i="52"/>
  <c r="Q358" i="52"/>
  <c r="I358" i="52"/>
  <c r="Z358" i="52"/>
  <c r="Y358" i="52"/>
  <c r="S358" i="52"/>
  <c r="H358" i="52"/>
  <c r="P358" i="52"/>
  <c r="AA358" i="52"/>
  <c r="K358" i="52"/>
  <c r="U358" i="52"/>
  <c r="N358" i="52"/>
  <c r="AF358" i="52"/>
  <c r="G358" i="52"/>
  <c r="R358" i="52"/>
  <c r="AI358" i="52"/>
  <c r="V358" i="52"/>
  <c r="W358" i="52"/>
  <c r="AE358" i="52"/>
  <c r="E353" i="52"/>
  <c r="AC358" i="52"/>
  <c r="L358" i="52"/>
  <c r="J358" i="52"/>
  <c r="O358" i="52"/>
  <c r="F358" i="52"/>
  <c r="AH358" i="52"/>
  <c r="X358" i="52"/>
  <c r="T358" i="52"/>
  <c r="O214" i="52"/>
  <c r="F214" i="52"/>
  <c r="T214" i="52"/>
  <c r="L214" i="52"/>
  <c r="AB214" i="52"/>
  <c r="P214" i="52"/>
  <c r="V214" i="52"/>
  <c r="AA214" i="52"/>
  <c r="Y214" i="52"/>
  <c r="H214" i="52"/>
  <c r="AD214" i="52"/>
  <c r="I214" i="52"/>
  <c r="M214" i="52"/>
  <c r="AF214" i="52"/>
  <c r="S214" i="52"/>
  <c r="AE214" i="52"/>
  <c r="U214" i="52"/>
  <c r="E209" i="52"/>
  <c r="K214" i="52"/>
  <c r="X214" i="52"/>
  <c r="G214" i="52"/>
  <c r="AH214" i="52"/>
  <c r="N214" i="52"/>
  <c r="J214" i="52"/>
  <c r="Q214" i="52"/>
  <c r="W214" i="52"/>
  <c r="Z214" i="52"/>
  <c r="AC214" i="52"/>
  <c r="R214" i="52"/>
  <c r="AG214" i="52"/>
  <c r="AI214" i="52"/>
  <c r="U53" i="52"/>
  <c r="AE53" i="52"/>
  <c r="H53" i="52"/>
  <c r="Y53" i="52"/>
  <c r="F53" i="52"/>
  <c r="AF53" i="52"/>
  <c r="E49" i="52"/>
  <c r="I53" i="52"/>
  <c r="AB53" i="52"/>
  <c r="AC53" i="52"/>
  <c r="P53" i="52"/>
  <c r="O53" i="52"/>
  <c r="L53" i="52"/>
  <c r="J53" i="52"/>
  <c r="R53" i="52"/>
  <c r="M53" i="52"/>
  <c r="X53" i="52"/>
  <c r="S53" i="52"/>
  <c r="AD53" i="52"/>
  <c r="G53" i="52"/>
  <c r="AI53" i="52"/>
  <c r="V53" i="52"/>
  <c r="W53" i="52"/>
  <c r="Q53" i="52"/>
  <c r="AG53" i="52"/>
  <c r="AA53" i="52"/>
  <c r="T53" i="52"/>
  <c r="N53" i="52"/>
  <c r="AH53" i="52"/>
  <c r="K53" i="52"/>
  <c r="Z53" i="52"/>
  <c r="H38" i="52"/>
  <c r="R38" i="52"/>
  <c r="J38" i="52"/>
  <c r="AA38" i="52"/>
  <c r="M38" i="52"/>
  <c r="Q38" i="52"/>
  <c r="AG38" i="52"/>
  <c r="W38" i="52"/>
  <c r="AB38" i="52"/>
  <c r="X38" i="52"/>
  <c r="AE38" i="52"/>
  <c r="L38" i="52"/>
  <c r="O38" i="52"/>
  <c r="U38" i="52"/>
  <c r="P38" i="52"/>
  <c r="G38" i="52"/>
  <c r="AF38" i="52"/>
  <c r="E33" i="52"/>
  <c r="F38" i="52"/>
  <c r="S38" i="52"/>
  <c r="I38" i="52"/>
  <c r="AI38" i="52"/>
  <c r="AC38" i="52"/>
  <c r="Y38" i="52"/>
  <c r="N38" i="52"/>
  <c r="T38" i="52"/>
  <c r="K38" i="52"/>
  <c r="AH38" i="52"/>
  <c r="Z38" i="52"/>
  <c r="AD38" i="52"/>
  <c r="V38" i="52"/>
  <c r="N95" i="52"/>
  <c r="X95" i="52"/>
  <c r="AD95" i="52"/>
  <c r="AI95" i="52"/>
  <c r="M95" i="52"/>
  <c r="I95" i="52"/>
  <c r="AH95" i="52"/>
  <c r="F95" i="52"/>
  <c r="AG95" i="52"/>
  <c r="H95" i="52"/>
  <c r="AC95" i="52"/>
  <c r="Q95" i="52"/>
  <c r="AF95" i="52"/>
  <c r="R95" i="52"/>
  <c r="L95" i="52"/>
  <c r="U95" i="52"/>
  <c r="Y95" i="52"/>
  <c r="K95" i="52"/>
  <c r="E87" i="52"/>
  <c r="AE95" i="52"/>
  <c r="W95" i="52"/>
  <c r="P95" i="52"/>
  <c r="Z95" i="52"/>
  <c r="O95" i="52"/>
  <c r="J95" i="52"/>
  <c r="T95" i="52"/>
  <c r="AA95" i="52"/>
  <c r="AB95" i="52"/>
  <c r="S95" i="52"/>
  <c r="V95" i="52"/>
  <c r="G95" i="52"/>
  <c r="AE77" i="52"/>
  <c r="Z77" i="52"/>
  <c r="E74" i="52"/>
  <c r="AD77" i="52"/>
  <c r="X77" i="52"/>
  <c r="V77" i="52"/>
  <c r="J77" i="52"/>
  <c r="K77" i="52"/>
  <c r="S77" i="52"/>
  <c r="AF77" i="52"/>
  <c r="H77" i="52"/>
  <c r="R77" i="52"/>
  <c r="U77" i="52"/>
  <c r="P77" i="52"/>
  <c r="AI77" i="52"/>
  <c r="Y77" i="52"/>
  <c r="AA77" i="52"/>
  <c r="T77" i="52"/>
  <c r="G77" i="52"/>
  <c r="AC77" i="52"/>
  <c r="I77" i="52"/>
  <c r="Q77" i="52"/>
  <c r="L77" i="52"/>
  <c r="AH77" i="52"/>
  <c r="AB77" i="52"/>
  <c r="O77" i="52"/>
  <c r="W77" i="52"/>
  <c r="N77" i="52"/>
  <c r="F77" i="52"/>
  <c r="AG77" i="52"/>
  <c r="M77" i="52"/>
  <c r="I60" i="52"/>
  <c r="AE60" i="52"/>
  <c r="V60" i="52"/>
  <c r="AD60" i="52"/>
  <c r="AF60" i="52"/>
  <c r="S60" i="52"/>
  <c r="Q60" i="52"/>
  <c r="P60" i="52"/>
  <c r="Z60" i="52"/>
  <c r="G60" i="52"/>
  <c r="L60" i="52"/>
  <c r="J60" i="52"/>
  <c r="O60" i="52"/>
  <c r="AA60" i="52"/>
  <c r="K60" i="52"/>
  <c r="AI60" i="52"/>
  <c r="AH60" i="52"/>
  <c r="W60" i="52"/>
  <c r="N60" i="52"/>
  <c r="T60" i="52"/>
  <c r="E56" i="52"/>
  <c r="Y60" i="52"/>
  <c r="U60" i="52"/>
  <c r="AG60" i="52"/>
  <c r="H60" i="52"/>
  <c r="X60" i="52"/>
  <c r="F60" i="52"/>
  <c r="M60" i="52"/>
  <c r="R60" i="52"/>
  <c r="AB60" i="52"/>
  <c r="AC60" i="52"/>
  <c r="G46" i="52"/>
  <c r="AG46" i="52"/>
  <c r="U46" i="52"/>
  <c r="AE46" i="52"/>
  <c r="AH46" i="52"/>
  <c r="F46" i="52"/>
  <c r="H46" i="52"/>
  <c r="L46" i="52"/>
  <c r="AB46" i="52"/>
  <c r="R46" i="52"/>
  <c r="N46" i="52"/>
  <c r="M46" i="52"/>
  <c r="Y46" i="52"/>
  <c r="T46" i="52"/>
  <c r="AD46" i="52"/>
  <c r="O46" i="52"/>
  <c r="S46" i="52"/>
  <c r="X46" i="52"/>
  <c r="E41" i="52"/>
  <c r="AC46" i="52"/>
  <c r="J46" i="52"/>
  <c r="V46" i="52"/>
  <c r="W46" i="52"/>
  <c r="Z46" i="52"/>
  <c r="P46" i="52"/>
  <c r="AI46" i="52"/>
  <c r="AF46" i="52"/>
  <c r="Q46" i="52"/>
  <c r="K46" i="52"/>
  <c r="I46" i="52"/>
  <c r="AA46" i="52"/>
  <c r="AI105" i="52"/>
  <c r="P105" i="52"/>
  <c r="P7" i="52" s="1" a="1"/>
  <c r="P7" i="52" s="1"/>
  <c r="J19" i="51" s="1"/>
  <c r="Z105" i="52"/>
  <c r="Y105" i="52"/>
  <c r="G105" i="52"/>
  <c r="O105" i="52"/>
  <c r="T105" i="52"/>
  <c r="H105" i="52"/>
  <c r="K19" i="51" a="1"/>
  <c r="K19" i="51" s="1"/>
  <c r="L105" i="52"/>
  <c r="AE105" i="52"/>
  <c r="U105" i="52"/>
  <c r="W105" i="52"/>
  <c r="K105" i="52"/>
  <c r="S105" i="52"/>
  <c r="R105" i="52"/>
  <c r="AH105" i="52"/>
  <c r="AB105" i="52"/>
  <c r="AA105" i="52"/>
  <c r="F105" i="52"/>
  <c r="N105" i="52"/>
  <c r="I105" i="52"/>
  <c r="AC105" i="52"/>
  <c r="M105" i="52"/>
  <c r="X105" i="52"/>
  <c r="AF105" i="52"/>
  <c r="AD105" i="52"/>
  <c r="J105" i="52"/>
  <c r="V105" i="52"/>
  <c r="Q105" i="52"/>
  <c r="AG105" i="52"/>
  <c r="E98" i="52"/>
  <c r="M19" i="51" s="1" a="1"/>
  <c r="M19" i="51" s="1"/>
  <c r="L262" i="52"/>
  <c r="O262" i="52"/>
  <c r="Y262" i="52"/>
  <c r="AC262" i="52"/>
  <c r="AI262" i="52"/>
  <c r="U262" i="52"/>
  <c r="N262" i="52"/>
  <c r="Z262" i="52"/>
  <c r="AG262" i="52"/>
  <c r="G262" i="52"/>
  <c r="P262" i="52"/>
  <c r="H262" i="52"/>
  <c r="AB262" i="52"/>
  <c r="J262" i="52"/>
  <c r="AH262" i="52"/>
  <c r="AF262" i="52"/>
  <c r="AD262" i="52"/>
  <c r="E257" i="52"/>
  <c r="T262" i="52"/>
  <c r="Q262" i="52"/>
  <c r="AA262" i="52"/>
  <c r="I262" i="52"/>
  <c r="F262" i="52"/>
  <c r="V262" i="52"/>
  <c r="K262" i="52"/>
  <c r="X262" i="52"/>
  <c r="R262" i="52"/>
  <c r="M262" i="52"/>
  <c r="S262" i="52"/>
  <c r="AE262" i="52"/>
  <c r="W262" i="52"/>
  <c r="E273" i="52"/>
  <c r="X278" i="52"/>
  <c r="Y278" i="52"/>
  <c r="R278" i="52"/>
  <c r="AH278" i="52"/>
  <c r="Q278" i="52"/>
  <c r="L278" i="52"/>
  <c r="AG278" i="52"/>
  <c r="F278" i="52"/>
  <c r="M278" i="52"/>
  <c r="AE278" i="52"/>
  <c r="G278" i="52"/>
  <c r="H278" i="52"/>
  <c r="U278" i="52"/>
  <c r="W278" i="52"/>
  <c r="AI278" i="52"/>
  <c r="AC278" i="52"/>
  <c r="S278" i="52"/>
  <c r="O278" i="52"/>
  <c r="AA278" i="52"/>
  <c r="AD278" i="52"/>
  <c r="J278" i="52"/>
  <c r="T278" i="52"/>
  <c r="Z278" i="52"/>
  <c r="K278" i="52"/>
  <c r="I278" i="52"/>
  <c r="V278" i="52"/>
  <c r="AF278" i="52"/>
  <c r="AB278" i="52"/>
  <c r="P278" i="52"/>
  <c r="N278" i="52"/>
  <c r="U30" i="52"/>
  <c r="P30" i="52"/>
  <c r="N30" i="52"/>
  <c r="J30" i="52"/>
  <c r="S30" i="52"/>
  <c r="AC30" i="52"/>
  <c r="Q30" i="52"/>
  <c r="G30" i="52"/>
  <c r="AA30" i="52"/>
  <c r="W30" i="52"/>
  <c r="T30" i="52"/>
  <c r="AI30" i="52"/>
  <c r="AE30" i="52"/>
  <c r="L30" i="52"/>
  <c r="Y30" i="52"/>
  <c r="O30" i="52"/>
  <c r="X30" i="52"/>
  <c r="AF30" i="52"/>
  <c r="AH30" i="52"/>
  <c r="H30" i="52"/>
  <c r="I30" i="52"/>
  <c r="F30" i="52"/>
  <c r="K30" i="52"/>
  <c r="AG30" i="52"/>
  <c r="M30" i="52"/>
  <c r="AD30" i="52"/>
  <c r="AB30" i="52"/>
  <c r="Z30" i="52"/>
  <c r="R30" i="52"/>
  <c r="V30" i="52"/>
  <c r="E26" i="52"/>
  <c r="AG23" i="52"/>
  <c r="W23" i="52"/>
  <c r="AB23" i="52"/>
  <c r="AC23" i="52"/>
  <c r="AH23" i="52"/>
  <c r="E19" i="52"/>
  <c r="AE23" i="52"/>
  <c r="T23" i="52"/>
  <c r="X23" i="52"/>
  <c r="S23" i="52"/>
  <c r="V23" i="52"/>
  <c r="AI23" i="52"/>
  <c r="F23" i="52"/>
  <c r="Z23" i="52"/>
  <c r="K23" i="52"/>
  <c r="AF23" i="52"/>
  <c r="AA23" i="52"/>
  <c r="P23" i="52"/>
  <c r="O23" i="52"/>
  <c r="H23" i="52"/>
  <c r="Y23" i="52"/>
  <c r="I23" i="52"/>
  <c r="M23" i="52"/>
  <c r="Q23" i="52"/>
  <c r="N23" i="52"/>
  <c r="AD23" i="52"/>
  <c r="J23" i="52"/>
  <c r="U23" i="52"/>
  <c r="R23" i="52"/>
  <c r="G23" i="52"/>
  <c r="L23" i="52"/>
  <c r="AB128" i="52"/>
  <c r="Y128" i="52"/>
  <c r="K128" i="52"/>
  <c r="J128" i="52"/>
  <c r="AI128" i="52"/>
  <c r="T128" i="52"/>
  <c r="W128" i="52"/>
  <c r="G128" i="52"/>
  <c r="E123" i="52"/>
  <c r="K18" i="51" a="1"/>
  <c r="K18" i="51" s="1"/>
  <c r="H128" i="52"/>
  <c r="I128" i="52"/>
  <c r="AH128" i="52"/>
  <c r="O128" i="52"/>
  <c r="O7" i="52" s="1" a="1"/>
  <c r="O7" i="52" s="1"/>
  <c r="J18" i="51" s="1"/>
  <c r="K17" i="51" a="1"/>
  <c r="K17" i="51" s="1"/>
  <c r="AE128" i="52"/>
  <c r="Q128" i="52"/>
  <c r="K24" i="51" a="1"/>
  <c r="K24" i="51" s="1"/>
  <c r="Z128" i="52"/>
  <c r="S128" i="52"/>
  <c r="L128" i="52"/>
  <c r="AA128" i="52"/>
  <c r="R128" i="52"/>
  <c r="AG128" i="52"/>
  <c r="AC128" i="52"/>
  <c r="AF128" i="52"/>
  <c r="P128" i="52"/>
  <c r="U128" i="52"/>
  <c r="U7" i="52" s="1" a="1"/>
  <c r="U7" i="52" s="1"/>
  <c r="J24" i="51" s="1"/>
  <c r="V128" i="52"/>
  <c r="N128" i="52"/>
  <c r="N7" i="52" s="1" a="1"/>
  <c r="N7" i="52" s="1"/>
  <c r="J17" i="51" s="1"/>
  <c r="AD128" i="52"/>
  <c r="F128" i="52"/>
  <c r="M128" i="52"/>
  <c r="X128" i="52"/>
  <c r="Z71" i="52"/>
  <c r="W71" i="52"/>
  <c r="M71" i="52"/>
  <c r="AE71" i="52"/>
  <c r="I71" i="52"/>
  <c r="X71" i="52"/>
  <c r="G71" i="52"/>
  <c r="J71" i="52"/>
  <c r="Y71" i="52"/>
  <c r="AI71" i="52"/>
  <c r="AD71" i="52"/>
  <c r="S71" i="52"/>
  <c r="V71" i="52"/>
  <c r="T71" i="52"/>
  <c r="E63" i="52"/>
  <c r="AG71" i="52"/>
  <c r="R71" i="52"/>
  <c r="K71" i="52"/>
  <c r="AF71" i="52"/>
  <c r="AA71" i="52"/>
  <c r="N71" i="52"/>
  <c r="AC71" i="52"/>
  <c r="O71" i="52"/>
  <c r="L71" i="52"/>
  <c r="AB71" i="52"/>
  <c r="U71" i="52"/>
  <c r="Q71" i="52"/>
  <c r="P71" i="52"/>
  <c r="H71" i="52"/>
  <c r="F71" i="52"/>
  <c r="AH71" i="52"/>
  <c r="E22" i="14"/>
  <c r="P65" i="14"/>
  <c r="O65" i="14"/>
  <c r="N65" i="14"/>
  <c r="I65" i="14"/>
  <c r="L22" i="14"/>
  <c r="O22" i="14"/>
  <c r="N22" i="14"/>
  <c r="K22" i="14"/>
  <c r="E65" i="14"/>
  <c r="F65" i="14"/>
  <c r="H65" i="14"/>
  <c r="G65" i="14"/>
  <c r="D22" i="14"/>
  <c r="I22" i="14"/>
  <c r="M65" i="14"/>
  <c r="H22" i="14"/>
  <c r="G22" i="14"/>
  <c r="F22" i="14"/>
  <c r="J22" i="14"/>
  <c r="M22" i="14"/>
  <c r="L65" i="14"/>
  <c r="K65" i="14"/>
  <c r="J65" i="14"/>
  <c r="D65" i="14"/>
  <c r="M13" i="51" l="1" a="1"/>
  <c r="M13" i="51" s="1"/>
  <c r="J7" i="52" a="1"/>
  <c r="J7" i="52" s="1"/>
  <c r="J13" i="51" s="1"/>
  <c r="I13" i="51" s="1"/>
  <c r="X13" i="51" s="1"/>
  <c r="K7" i="52" a="1"/>
  <c r="K7" i="52" s="1"/>
  <c r="J14" i="51" s="1"/>
  <c r="I14" i="51" s="1"/>
  <c r="X14" i="51" s="1"/>
  <c r="H7" i="52" a="1"/>
  <c r="H7" i="52" s="1"/>
  <c r="J11" i="51" s="1"/>
  <c r="I11" i="51" s="1"/>
  <c r="X11" i="51" s="1"/>
  <c r="G7" i="52" a="1"/>
  <c r="G7" i="52" s="1"/>
  <c r="J10" i="51" s="1"/>
  <c r="I10" i="51" s="1"/>
  <c r="X10" i="51" s="1"/>
  <c r="I7" i="52" a="1"/>
  <c r="I7" i="52" s="1"/>
  <c r="J12" i="51" s="1"/>
  <c r="I12" i="51" s="1"/>
  <c r="X12" i="51" s="1"/>
  <c r="F7" i="52" a="1"/>
  <c r="F7" i="52" s="1"/>
  <c r="J9" i="51" s="1"/>
  <c r="I9" i="51" s="1"/>
  <c r="X9" i="51" s="1"/>
  <c r="I18" i="51"/>
  <c r="X18" i="51" s="1"/>
  <c r="I24" i="51"/>
  <c r="X24" i="51" s="1"/>
  <c r="I17" i="51"/>
  <c r="X17" i="51" s="1"/>
  <c r="I21" i="51"/>
  <c r="X21" i="51" s="1"/>
  <c r="I19" i="51"/>
  <c r="X19" i="51" s="1"/>
  <c r="I20" i="51"/>
  <c r="X20" i="51" s="1"/>
  <c r="I22" i="51"/>
  <c r="X22" i="51" s="1"/>
  <c r="M21" i="51" a="1"/>
  <c r="M21" i="51" s="1"/>
  <c r="M15" i="51" a="1"/>
  <c r="M15" i="51" s="1"/>
  <c r="M20" i="51" a="1"/>
  <c r="M20" i="51" s="1"/>
  <c r="M11" i="51" a="1"/>
  <c r="M11" i="51" s="1"/>
  <c r="I16" i="51"/>
  <c r="X16" i="51" s="1"/>
  <c r="M16" i="51" a="1"/>
  <c r="M16" i="51" s="1"/>
  <c r="M9" i="51" a="1"/>
  <c r="M9" i="51" s="1"/>
  <c r="M10" i="51" a="1"/>
  <c r="M10" i="51" s="1"/>
  <c r="M12" i="51" a="1"/>
  <c r="M12" i="51" s="1"/>
  <c r="M14" i="51" a="1"/>
  <c r="M14" i="51" s="1"/>
  <c r="M22" i="51" a="1"/>
  <c r="M22" i="51" s="1"/>
  <c r="I15" i="51"/>
  <c r="X15" i="51" s="1"/>
  <c r="M17" i="51" a="1"/>
  <c r="M17" i="51" s="1"/>
  <c r="M18" i="51" a="1"/>
  <c r="M18" i="51" s="1"/>
  <c r="M24" i="51" a="1"/>
  <c r="M24" i="51" s="1"/>
  <c r="N60" i="14"/>
  <c r="O60" i="14"/>
  <c r="P60" i="14"/>
  <c r="E17" i="14"/>
  <c r="I17" i="14"/>
  <c r="M17" i="14"/>
  <c r="G60" i="14"/>
  <c r="K60" i="14"/>
  <c r="F17" i="14"/>
  <c r="J17" i="14"/>
  <c r="N17" i="14"/>
  <c r="H60" i="14"/>
  <c r="L60" i="14"/>
  <c r="G17" i="14"/>
  <c r="K17" i="14"/>
  <c r="O17" i="14"/>
  <c r="E60" i="14"/>
  <c r="I60" i="14"/>
  <c r="M60" i="14"/>
  <c r="H17" i="14"/>
  <c r="L17" i="14"/>
  <c r="D17" i="14"/>
  <c r="F60" i="14"/>
  <c r="J60" i="14"/>
  <c r="D60" i="14"/>
  <c r="K16" i="14"/>
  <c r="L16" i="14"/>
  <c r="M16" i="14"/>
  <c r="N16" i="14"/>
  <c r="O16" i="14"/>
  <c r="F7" i="51" l="1"/>
  <c r="H25" i="10"/>
  <c r="H11" i="10"/>
  <c r="G59" i="14" s="1"/>
  <c r="H22" i="10"/>
  <c r="H17" i="10"/>
  <c r="M59" i="14" s="1"/>
  <c r="H18" i="10"/>
  <c r="H9" i="10"/>
  <c r="E59" i="14" s="1"/>
  <c r="H20" i="10"/>
  <c r="H21" i="10"/>
  <c r="H23" i="10"/>
  <c r="H8" i="10"/>
  <c r="D59" i="14" s="1"/>
  <c r="H10" i="10"/>
  <c r="F59" i="14" s="1"/>
  <c r="H24" i="10"/>
  <c r="H12" i="10"/>
  <c r="H59" i="14" s="1"/>
  <c r="H13" i="10"/>
  <c r="I59" i="14" s="1"/>
  <c r="H14" i="10"/>
  <c r="J59" i="14" s="1"/>
  <c r="H15" i="10"/>
  <c r="K59" i="14" s="1"/>
  <c r="H16" i="10"/>
  <c r="L59" i="14" s="1"/>
  <c r="H19" i="10"/>
  <c r="D64" i="14"/>
  <c r="O15" i="14"/>
  <c r="M15" i="14"/>
  <c r="E64" i="14"/>
  <c r="E21" i="14"/>
  <c r="G21" i="14"/>
  <c r="L21" i="14"/>
  <c r="O21" i="14"/>
  <c r="I21" i="14"/>
  <c r="L64" i="14"/>
  <c r="N15" i="14"/>
  <c r="J64" i="14"/>
  <c r="G64" i="14"/>
  <c r="I64" i="14"/>
  <c r="K21" i="14"/>
  <c r="M21" i="14"/>
  <c r="H21" i="14"/>
  <c r="K15" i="14"/>
  <c r="N21" i="14"/>
  <c r="J21" i="14"/>
  <c r="L15" i="14"/>
  <c r="F64" i="14"/>
  <c r="M64" i="14"/>
  <c r="H64" i="14"/>
  <c r="F21" i="14"/>
  <c r="K64" i="14"/>
  <c r="O59" i="14" l="1"/>
  <c r="F83" i="14"/>
  <c r="F16" i="14"/>
  <c r="F48" i="14"/>
  <c r="P59" i="14"/>
  <c r="G16" i="14"/>
  <c r="G83" i="14"/>
  <c r="G48" i="14"/>
  <c r="N59" i="14"/>
  <c r="E83" i="14"/>
  <c r="E48" i="14"/>
  <c r="E16" i="14"/>
  <c r="P86" i="14"/>
  <c r="P87" i="14" s="1"/>
  <c r="O86" i="14"/>
  <c r="N86" i="14"/>
  <c r="O62" i="14"/>
  <c r="O80" i="14" s="1"/>
  <c r="N62" i="14"/>
  <c r="N80" i="14" s="1"/>
  <c r="P62" i="14"/>
  <c r="P80" i="14" s="1"/>
  <c r="O67" i="14"/>
  <c r="O81" i="14" s="1"/>
  <c r="N67" i="14"/>
  <c r="N81" i="14" s="1"/>
  <c r="P67" i="14"/>
  <c r="P81" i="14" s="1"/>
  <c r="O30" i="14"/>
  <c r="N30" i="14"/>
  <c r="L30" i="14"/>
  <c r="M30" i="14"/>
  <c r="F30" i="14"/>
  <c r="O5" i="36" s="1"/>
  <c r="I30" i="14"/>
  <c r="K30" i="14"/>
  <c r="J30" i="14"/>
  <c r="BC5" i="36" s="1"/>
  <c r="E30" i="14"/>
  <c r="G30" i="14"/>
  <c r="H30" i="14"/>
  <c r="AI5" i="36" s="1"/>
  <c r="H48" i="14"/>
  <c r="H83" i="14"/>
  <c r="H16" i="14"/>
  <c r="H9" i="36" l="1"/>
  <c r="P88" i="14"/>
  <c r="P82" i="14"/>
  <c r="N82" i="14"/>
  <c r="F9" i="36"/>
  <c r="J9" i="36"/>
  <c r="I9" i="36"/>
  <c r="AS5" i="36"/>
  <c r="K9" i="36"/>
  <c r="O82" i="14"/>
  <c r="G9" i="36"/>
  <c r="Y5" i="36"/>
  <c r="N88" i="14"/>
  <c r="N87" i="14"/>
  <c r="O87" i="14"/>
  <c r="O88" i="14"/>
  <c r="I83" i="14"/>
  <c r="I48" i="14"/>
  <c r="I16" i="14"/>
  <c r="N8" i="24" l="1"/>
  <c r="X22" i="24"/>
  <c r="N29" i="24"/>
  <c r="B1" i="42"/>
  <c r="A4" i="42" s="1"/>
  <c r="J83" i="14"/>
  <c r="J48" i="14"/>
  <c r="K48" i="14" s="1"/>
  <c r="L48" i="14" s="1"/>
  <c r="M48" i="14" s="1"/>
  <c r="N48" i="14" s="1"/>
  <c r="O48" i="14" s="1"/>
  <c r="J16" i="14"/>
  <c r="N21" i="24"/>
  <c r="O19" i="24" l="1"/>
  <c r="X26" i="24"/>
  <c r="X17" i="24" a="1"/>
  <c r="X17" i="24" s="1"/>
  <c r="W25" i="24" s="1"/>
  <c r="X24" i="24"/>
  <c r="X27" i="24"/>
  <c r="W27" i="24" s="1"/>
  <c r="O26" i="24"/>
  <c r="O27" i="24" s="1"/>
  <c r="N19" i="24"/>
  <c r="A5" i="42"/>
  <c r="B4" i="42"/>
  <c r="E4" i="42"/>
  <c r="Q30" i="24" l="1"/>
  <c r="P22" i="24"/>
  <c r="P33" i="24" s="1"/>
  <c r="W26" i="24"/>
  <c r="X25" i="24"/>
  <c r="N26" i="24"/>
  <c r="X23" i="24" s="1"/>
  <c r="N22" i="24"/>
  <c r="O28" i="24"/>
  <c r="O22" i="24"/>
  <c r="D4" i="42"/>
  <c r="C4" i="42"/>
  <c r="E5" i="42"/>
  <c r="B5" i="42"/>
  <c r="A6" i="42"/>
  <c r="S23" i="24" l="1"/>
  <c r="S24" i="24" s="1"/>
  <c r="S26" i="24" s="1"/>
  <c r="F4" i="42"/>
  <c r="E6" i="42"/>
  <c r="A7" i="42"/>
  <c r="B6" i="42"/>
  <c r="D5" i="42"/>
  <c r="C5" i="42"/>
  <c r="F5" i="42" l="1"/>
  <c r="D6" i="42"/>
  <c r="C6" i="42"/>
  <c r="E7" i="42"/>
  <c r="B7" i="42"/>
  <c r="A8" i="42"/>
  <c r="F3" i="4" l="1"/>
  <c r="G3" i="1" s="1"/>
  <c r="I3" i="1" s="1"/>
  <c r="F6" i="42"/>
  <c r="D7" i="42"/>
  <c r="C7" i="42"/>
  <c r="E8" i="42"/>
  <c r="B8" i="42"/>
  <c r="A9" i="42"/>
  <c r="H3" i="4" l="1"/>
  <c r="G3" i="4"/>
  <c r="F7" i="42"/>
  <c r="D8" i="42"/>
  <c r="C8" i="42"/>
  <c r="E9" i="42"/>
  <c r="A10" i="42"/>
  <c r="B9" i="42"/>
  <c r="F4" i="28"/>
  <c r="G4" i="28" s="1"/>
  <c r="B3" i="28"/>
  <c r="I3" i="4" l="1"/>
  <c r="I4" i="28"/>
  <c r="F8" i="42"/>
  <c r="E10" i="42"/>
  <c r="A11" i="42"/>
  <c r="B10" i="42"/>
  <c r="D9" i="42"/>
  <c r="C9" i="42"/>
  <c r="F3" i="28"/>
  <c r="H4" i="28"/>
  <c r="F242" i="28" l="1"/>
  <c r="G242" i="28" s="1"/>
  <c r="F226" i="28"/>
  <c r="G226" i="28" s="1"/>
  <c r="F207" i="28"/>
  <c r="G207" i="28" s="1"/>
  <c r="F185" i="28"/>
  <c r="G185" i="28" s="1"/>
  <c r="F164" i="28"/>
  <c r="G164" i="28" s="1"/>
  <c r="F233" i="28"/>
  <c r="G233" i="28" s="1"/>
  <c r="F216" i="28"/>
  <c r="G216" i="28" s="1"/>
  <c r="F195" i="28"/>
  <c r="G195" i="28" s="1"/>
  <c r="F173" i="28"/>
  <c r="G173" i="28" s="1"/>
  <c r="F236" i="28"/>
  <c r="G236" i="28" s="1"/>
  <c r="F220" i="28"/>
  <c r="G220" i="28" s="1"/>
  <c r="F199" i="28"/>
  <c r="G199" i="28" s="1"/>
  <c r="F177" i="28"/>
  <c r="G177" i="28" s="1"/>
  <c r="F239" i="28"/>
  <c r="G239" i="28" s="1"/>
  <c r="F223" i="28"/>
  <c r="G223" i="28" s="1"/>
  <c r="F203" i="28"/>
  <c r="G203" i="28" s="1"/>
  <c r="F181" i="28"/>
  <c r="G181" i="28" s="1"/>
  <c r="F214" i="28"/>
  <c r="G214" i="28" s="1"/>
  <c r="F198" i="28"/>
  <c r="G198" i="28" s="1"/>
  <c r="F182" i="28"/>
  <c r="G182" i="28" s="1"/>
  <c r="F166" i="28"/>
  <c r="G166" i="28" s="1"/>
  <c r="F65" i="28"/>
  <c r="G65" i="28" s="1"/>
  <c r="F238" i="28"/>
  <c r="G238" i="28" s="1"/>
  <c r="F222" i="28"/>
  <c r="G222" i="28" s="1"/>
  <c r="F201" i="28"/>
  <c r="G201" i="28" s="1"/>
  <c r="F180" i="28"/>
  <c r="G180" i="28" s="1"/>
  <c r="F5" i="28"/>
  <c r="G5" i="28" s="1"/>
  <c r="F229" i="28"/>
  <c r="G229" i="28" s="1"/>
  <c r="F211" i="28"/>
  <c r="G211" i="28" s="1"/>
  <c r="F189" i="28"/>
  <c r="G189" i="28" s="1"/>
  <c r="F168" i="28"/>
  <c r="G168" i="28" s="1"/>
  <c r="F141" i="28"/>
  <c r="G141" i="28" s="1"/>
  <c r="F232" i="28"/>
  <c r="G232" i="28" s="1"/>
  <c r="F215" i="28"/>
  <c r="G215" i="28" s="1"/>
  <c r="F193" i="28"/>
  <c r="G193" i="28" s="1"/>
  <c r="F172" i="28"/>
  <c r="G172" i="28" s="1"/>
  <c r="F235" i="28"/>
  <c r="G235" i="28" s="1"/>
  <c r="F219" i="28"/>
  <c r="G219" i="28" s="1"/>
  <c r="F197" i="28"/>
  <c r="G197" i="28" s="1"/>
  <c r="F176" i="28"/>
  <c r="G176" i="28" s="1"/>
  <c r="F12" i="28"/>
  <c r="G12" i="28" s="1"/>
  <c r="F210" i="28"/>
  <c r="G210" i="28" s="1"/>
  <c r="F194" i="28"/>
  <c r="G194" i="28" s="1"/>
  <c r="F178" i="28"/>
  <c r="G178" i="28" s="1"/>
  <c r="F234" i="28"/>
  <c r="G234" i="28" s="1"/>
  <c r="F217" i="28"/>
  <c r="G217" i="28" s="1"/>
  <c r="F196" i="28"/>
  <c r="G196" i="28" s="1"/>
  <c r="F175" i="28"/>
  <c r="G175" i="28" s="1"/>
  <c r="F241" i="28"/>
  <c r="G241" i="28" s="1"/>
  <c r="F225" i="28"/>
  <c r="G225" i="28" s="1"/>
  <c r="F205" i="28"/>
  <c r="G205" i="28" s="1"/>
  <c r="F184" i="28"/>
  <c r="G184" i="28" s="1"/>
  <c r="F163" i="28"/>
  <c r="G163" i="28" s="1"/>
  <c r="F228" i="28"/>
  <c r="G228" i="28" s="1"/>
  <c r="F209" i="28"/>
  <c r="G209" i="28" s="1"/>
  <c r="F188" i="28"/>
  <c r="G188" i="28" s="1"/>
  <c r="F167" i="28"/>
  <c r="G167" i="28" s="1"/>
  <c r="F231" i="28"/>
  <c r="G231" i="28" s="1"/>
  <c r="F213" i="28"/>
  <c r="G213" i="28" s="1"/>
  <c r="F192" i="28"/>
  <c r="G192" i="28" s="1"/>
  <c r="F171" i="28"/>
  <c r="G171" i="28" s="1"/>
  <c r="F206" i="28"/>
  <c r="G206" i="28" s="1"/>
  <c r="F190" i="28"/>
  <c r="G190" i="28" s="1"/>
  <c r="F174" i="28"/>
  <c r="G174" i="28" s="1"/>
  <c r="F230" i="28"/>
  <c r="G230" i="28" s="1"/>
  <c r="F212" i="28"/>
  <c r="G212" i="28" s="1"/>
  <c r="F191" i="28"/>
  <c r="G191" i="28" s="1"/>
  <c r="F169" i="28"/>
  <c r="G169" i="28" s="1"/>
  <c r="F237" i="28"/>
  <c r="G237" i="28" s="1"/>
  <c r="F221" i="28"/>
  <c r="G221" i="28" s="1"/>
  <c r="F200" i="28"/>
  <c r="G200" i="28" s="1"/>
  <c r="F179" i="28"/>
  <c r="G179" i="28" s="1"/>
  <c r="F240" i="28"/>
  <c r="G240" i="28" s="1"/>
  <c r="F224" i="28"/>
  <c r="G224" i="28" s="1"/>
  <c r="F204" i="28"/>
  <c r="G204" i="28" s="1"/>
  <c r="F183" i="28"/>
  <c r="G183" i="28" s="1"/>
  <c r="F243" i="28"/>
  <c r="G243" i="28" s="1"/>
  <c r="F227" i="28"/>
  <c r="G227" i="28" s="1"/>
  <c r="F208" i="28"/>
  <c r="G208" i="28" s="1"/>
  <c r="F187" i="28"/>
  <c r="G187" i="28" s="1"/>
  <c r="F165" i="28"/>
  <c r="G165" i="28" s="1"/>
  <c r="F218" i="28"/>
  <c r="G218" i="28" s="1"/>
  <c r="F202" i="28"/>
  <c r="G202" i="28" s="1"/>
  <c r="F186" i="28"/>
  <c r="G186" i="28" s="1"/>
  <c r="F170" i="28"/>
  <c r="G170" i="28" s="1"/>
  <c r="I3" i="28"/>
  <c r="F9" i="42"/>
  <c r="D10" i="42"/>
  <c r="C10" i="42"/>
  <c r="E11" i="42"/>
  <c r="A12" i="42"/>
  <c r="B11" i="42"/>
  <c r="F4" i="16"/>
  <c r="G4" i="16" s="1"/>
  <c r="B3" i="16"/>
  <c r="F4" i="15"/>
  <c r="G4" i="15" s="1"/>
  <c r="B3" i="15"/>
  <c r="F30" i="28" l="1"/>
  <c r="G30" i="28" s="1"/>
  <c r="I30" i="28" s="1"/>
  <c r="F143" i="28"/>
  <c r="G143" i="28" s="1"/>
  <c r="I143" i="28" s="1"/>
  <c r="F74" i="28"/>
  <c r="F73" i="28"/>
  <c r="F48" i="28"/>
  <c r="G48" i="28" s="1"/>
  <c r="F23" i="28"/>
  <c r="F22" i="28"/>
  <c r="F90" i="28"/>
  <c r="G90" i="28" s="1"/>
  <c r="I90" i="28" s="1"/>
  <c r="F88" i="28"/>
  <c r="G88" i="28" s="1"/>
  <c r="I88" i="28" s="1"/>
  <c r="F89" i="28"/>
  <c r="F111" i="28"/>
  <c r="G111" i="28" s="1"/>
  <c r="I111" i="28" s="1"/>
  <c r="F135" i="28"/>
  <c r="G135" i="28" s="1"/>
  <c r="I135" i="28" s="1"/>
  <c r="F114" i="28"/>
  <c r="G114" i="28" s="1"/>
  <c r="I114" i="28" s="1"/>
  <c r="F38" i="28"/>
  <c r="G38" i="28" s="1"/>
  <c r="I38" i="28" s="1"/>
  <c r="F106" i="28"/>
  <c r="F39" i="28"/>
  <c r="G39" i="28" s="1"/>
  <c r="F132" i="28"/>
  <c r="G132" i="28" s="1"/>
  <c r="I132" i="28" s="1"/>
  <c r="F14" i="28"/>
  <c r="F11" i="28"/>
  <c r="F145" i="28"/>
  <c r="G145" i="28" s="1"/>
  <c r="F13" i="28"/>
  <c r="F87" i="28"/>
  <c r="G87" i="28" s="1"/>
  <c r="I87" i="28" s="1"/>
  <c r="F54" i="28"/>
  <c r="F71" i="28"/>
  <c r="F161" i="28"/>
  <c r="G161" i="28" s="1"/>
  <c r="I161" i="28" s="1"/>
  <c r="F43" i="28"/>
  <c r="G43" i="28" s="1"/>
  <c r="I43" i="28" s="1"/>
  <c r="F146" i="28"/>
  <c r="G146" i="28" s="1"/>
  <c r="I146" i="28" s="1"/>
  <c r="F157" i="28"/>
  <c r="G157" i="28" s="1"/>
  <c r="I157" i="28" s="1"/>
  <c r="F20" i="28"/>
  <c r="G20" i="28" s="1"/>
  <c r="F138" i="28"/>
  <c r="G138" i="28" s="1"/>
  <c r="I138" i="28" s="1"/>
  <c r="F46" i="28"/>
  <c r="G46" i="28" s="1"/>
  <c r="F162" i="28"/>
  <c r="G162" i="28" s="1"/>
  <c r="F72" i="28"/>
  <c r="G72" i="28" s="1"/>
  <c r="F154" i="28"/>
  <c r="G154" i="28" s="1"/>
  <c r="F104" i="28"/>
  <c r="F102" i="28"/>
  <c r="G102" i="28" s="1"/>
  <c r="I102" i="28" s="1"/>
  <c r="F124" i="28"/>
  <c r="F144" i="28"/>
  <c r="F125" i="28"/>
  <c r="G125" i="28" s="1"/>
  <c r="I125" i="28" s="1"/>
  <c r="F118" i="28"/>
  <c r="G118" i="28" s="1"/>
  <c r="I118" i="28" s="1"/>
  <c r="F153" i="28"/>
  <c r="G153" i="28" s="1"/>
  <c r="I153" i="28" s="1"/>
  <c r="F16" i="28"/>
  <c r="G16" i="28" s="1"/>
  <c r="I16" i="28" s="1"/>
  <c r="F36" i="28"/>
  <c r="F64" i="28"/>
  <c r="G64" i="28" s="1"/>
  <c r="F121" i="28"/>
  <c r="F134" i="28"/>
  <c r="F110" i="28"/>
  <c r="G110" i="28" s="1"/>
  <c r="F119" i="28"/>
  <c r="G119" i="28" s="1"/>
  <c r="I119" i="28" s="1"/>
  <c r="F17" i="28"/>
  <c r="F137" i="28"/>
  <c r="F126" i="28"/>
  <c r="F140" i="28"/>
  <c r="F34" i="28"/>
  <c r="G34" i="28" s="1"/>
  <c r="I34" i="28" s="1"/>
  <c r="F33" i="28"/>
  <c r="F50" i="28"/>
  <c r="G50" i="28" s="1"/>
  <c r="I50" i="28" s="1"/>
  <c r="F160" i="28"/>
  <c r="G160" i="28" s="1"/>
  <c r="I160" i="28" s="1"/>
  <c r="F26" i="28"/>
  <c r="F67" i="28"/>
  <c r="F25" i="28"/>
  <c r="G25" i="28" s="1"/>
  <c r="F142" i="28"/>
  <c r="G142" i="28" s="1"/>
  <c r="F107" i="28"/>
  <c r="F109" i="28"/>
  <c r="G109" i="28" s="1"/>
  <c r="F84" i="28"/>
  <c r="F42" i="28"/>
  <c r="G42" i="28" s="1"/>
  <c r="I42" i="28" s="1"/>
  <c r="F158" i="28"/>
  <c r="G158" i="28" s="1"/>
  <c r="I158" i="28" s="1"/>
  <c r="F66" i="28"/>
  <c r="F81" i="28"/>
  <c r="G81" i="28" s="1"/>
  <c r="I81" i="28" s="1"/>
  <c r="F131" i="28"/>
  <c r="G131" i="28" s="1"/>
  <c r="I131" i="28" s="1"/>
  <c r="F116" i="28"/>
  <c r="G116" i="28" s="1"/>
  <c r="I116" i="28" s="1"/>
  <c r="F28" i="28"/>
  <c r="G28" i="28" s="1"/>
  <c r="F92" i="28"/>
  <c r="F98" i="28"/>
  <c r="F113" i="28"/>
  <c r="F6" i="28"/>
  <c r="F59" i="28"/>
  <c r="G59" i="28" s="1"/>
  <c r="I59" i="28" s="1"/>
  <c r="F7" i="28"/>
  <c r="F55" i="28"/>
  <c r="F147" i="28"/>
  <c r="F80" i="28"/>
  <c r="F91" i="28"/>
  <c r="G91" i="28" s="1"/>
  <c r="I91" i="28" s="1"/>
  <c r="F130" i="28"/>
  <c r="G130" i="28" s="1"/>
  <c r="I130" i="28" s="1"/>
  <c r="F129" i="28"/>
  <c r="G129" i="28" s="1"/>
  <c r="I129" i="28" s="1"/>
  <c r="F115" i="28"/>
  <c r="F122" i="28"/>
  <c r="G122" i="28" s="1"/>
  <c r="I122" i="28" s="1"/>
  <c r="F40" i="28"/>
  <c r="F29" i="28"/>
  <c r="F112" i="28"/>
  <c r="F70" i="28"/>
  <c r="F21" i="28"/>
  <c r="G21" i="28" s="1"/>
  <c r="F101" i="28"/>
  <c r="F108" i="28"/>
  <c r="G108" i="28" s="1"/>
  <c r="I108" i="28" s="1"/>
  <c r="F75" i="28"/>
  <c r="F45" i="28"/>
  <c r="F133" i="28"/>
  <c r="G133" i="28" s="1"/>
  <c r="I133" i="28" s="1"/>
  <c r="F86" i="28"/>
  <c r="F52" i="28"/>
  <c r="G52" i="28" s="1"/>
  <c r="I52" i="28" s="1"/>
  <c r="F8" i="28"/>
  <c r="G8" i="28" s="1"/>
  <c r="I8" i="28" s="1"/>
  <c r="F37" i="28"/>
  <c r="G37" i="28" s="1"/>
  <c r="I37" i="28" s="1"/>
  <c r="F123" i="28"/>
  <c r="F62" i="28"/>
  <c r="F61" i="28"/>
  <c r="F155" i="28"/>
  <c r="G155" i="28" s="1"/>
  <c r="I155" i="28" s="1"/>
  <c r="F31" i="28"/>
  <c r="F96" i="28"/>
  <c r="G96" i="28" s="1"/>
  <c r="I96" i="28" s="1"/>
  <c r="F53" i="28"/>
  <c r="F78" i="28"/>
  <c r="F77" i="28"/>
  <c r="G77" i="28" s="1"/>
  <c r="I77" i="28" s="1"/>
  <c r="F32" i="28"/>
  <c r="F63" i="28"/>
  <c r="G63" i="28" s="1"/>
  <c r="I63" i="28" s="1"/>
  <c r="F136" i="28"/>
  <c r="F68" i="28"/>
  <c r="G68" i="28" s="1"/>
  <c r="F94" i="28"/>
  <c r="G94" i="28" s="1"/>
  <c r="F24" i="28"/>
  <c r="F93" i="28"/>
  <c r="G93" i="28" s="1"/>
  <c r="I93" i="28" s="1"/>
  <c r="F105" i="28"/>
  <c r="F95" i="28"/>
  <c r="F69" i="28"/>
  <c r="F100" i="28"/>
  <c r="G100" i="28" s="1"/>
  <c r="F15" i="28"/>
  <c r="F103" i="28"/>
  <c r="G103" i="28" s="1"/>
  <c r="I103" i="28" s="1"/>
  <c r="F18" i="28"/>
  <c r="G18" i="28" s="1"/>
  <c r="I18" i="28" s="1"/>
  <c r="F19" i="28"/>
  <c r="G19" i="28" s="1"/>
  <c r="I19" i="28" s="1"/>
  <c r="F152" i="28"/>
  <c r="G152" i="28" s="1"/>
  <c r="I152" i="28" s="1"/>
  <c r="F150" i="28"/>
  <c r="F117" i="28"/>
  <c r="F85" i="28"/>
  <c r="G85" i="28" s="1"/>
  <c r="I85" i="28" s="1"/>
  <c r="F76" i="28"/>
  <c r="G76" i="28" s="1"/>
  <c r="F47" i="28"/>
  <c r="G47" i="28" s="1"/>
  <c r="F151" i="28"/>
  <c r="G151" i="28" s="1"/>
  <c r="F51" i="28"/>
  <c r="G51" i="28" s="1"/>
  <c r="I51" i="28" s="1"/>
  <c r="F139" i="28"/>
  <c r="F10" i="28"/>
  <c r="F35" i="28"/>
  <c r="F127" i="28"/>
  <c r="F9" i="28"/>
  <c r="F79" i="28"/>
  <c r="G79" i="28" s="1"/>
  <c r="I79" i="28" s="1"/>
  <c r="F83" i="28"/>
  <c r="G83" i="28" s="1"/>
  <c r="I83" i="28" s="1"/>
  <c r="F49" i="28"/>
  <c r="F156" i="28"/>
  <c r="G156" i="28" s="1"/>
  <c r="I156" i="28" s="1"/>
  <c r="F60" i="28"/>
  <c r="G60" i="28" s="1"/>
  <c r="F99" i="28"/>
  <c r="G99" i="28" s="1"/>
  <c r="I99" i="28" s="1"/>
  <c r="F41" i="28"/>
  <c r="F128" i="28"/>
  <c r="G128" i="28" s="1"/>
  <c r="F58" i="28"/>
  <c r="G58" i="28" s="1"/>
  <c r="F120" i="28"/>
  <c r="F57" i="28"/>
  <c r="F149" i="28"/>
  <c r="F82" i="28"/>
  <c r="G82" i="28" s="1"/>
  <c r="I82" i="28" s="1"/>
  <c r="F44" i="28"/>
  <c r="F56" i="28"/>
  <c r="G56" i="28" s="1"/>
  <c r="F97" i="28"/>
  <c r="G97" i="28" s="1"/>
  <c r="I97" i="28" s="1"/>
  <c r="F27" i="28"/>
  <c r="G27" i="28" s="1"/>
  <c r="I27" i="28" s="1"/>
  <c r="F159" i="28"/>
  <c r="G159" i="28" s="1"/>
  <c r="I159" i="28" s="1"/>
  <c r="F148" i="28"/>
  <c r="G148" i="28" s="1"/>
  <c r="I191" i="28"/>
  <c r="H191" i="28"/>
  <c r="I230" i="28"/>
  <c r="H230" i="28"/>
  <c r="I171" i="28"/>
  <c r="H171" i="28"/>
  <c r="I188" i="28"/>
  <c r="H188" i="28"/>
  <c r="I163" i="28"/>
  <c r="H163" i="28"/>
  <c r="I241" i="28"/>
  <c r="H241" i="28"/>
  <c r="I176" i="28"/>
  <c r="H176" i="28"/>
  <c r="I238" i="28"/>
  <c r="H238" i="28"/>
  <c r="I218" i="28"/>
  <c r="H218" i="28"/>
  <c r="I187" i="28"/>
  <c r="H187" i="28"/>
  <c r="I204" i="28"/>
  <c r="H204" i="28"/>
  <c r="I200" i="28"/>
  <c r="H200" i="28"/>
  <c r="I237" i="28"/>
  <c r="H237" i="28"/>
  <c r="I170" i="28"/>
  <c r="H170" i="28"/>
  <c r="I202" i="28"/>
  <c r="H202" i="28"/>
  <c r="I208" i="28"/>
  <c r="H208" i="28"/>
  <c r="I243" i="28"/>
  <c r="H243" i="28"/>
  <c r="I183" i="28"/>
  <c r="H183" i="28"/>
  <c r="I224" i="28"/>
  <c r="H224" i="28"/>
  <c r="I179" i="28"/>
  <c r="H179" i="28"/>
  <c r="I221" i="28"/>
  <c r="H221" i="28"/>
  <c r="I190" i="28"/>
  <c r="H190" i="28"/>
  <c r="I192" i="28"/>
  <c r="H192" i="28"/>
  <c r="I209" i="28"/>
  <c r="H209" i="28"/>
  <c r="I197" i="28"/>
  <c r="H197" i="28"/>
  <c r="I232" i="28"/>
  <c r="H232" i="28"/>
  <c r="I186" i="28"/>
  <c r="H186" i="28"/>
  <c r="I227" i="28"/>
  <c r="H227" i="28"/>
  <c r="I240" i="28"/>
  <c r="H240" i="28"/>
  <c r="I206" i="28"/>
  <c r="H206" i="28"/>
  <c r="I231" i="28"/>
  <c r="H231" i="28"/>
  <c r="I167" i="28"/>
  <c r="H167" i="28"/>
  <c r="I194" i="28"/>
  <c r="H194" i="28"/>
  <c r="I165" i="28"/>
  <c r="H165" i="28"/>
  <c r="I212" i="28"/>
  <c r="H212" i="28"/>
  <c r="I228" i="28"/>
  <c r="H228" i="28"/>
  <c r="I196" i="28"/>
  <c r="H196" i="28"/>
  <c r="I234" i="28"/>
  <c r="H234" i="28"/>
  <c r="I219" i="28"/>
  <c r="H219" i="28"/>
  <c r="I4" i="16"/>
  <c r="I216" i="28"/>
  <c r="H216" i="28"/>
  <c r="H81" i="28"/>
  <c r="I210" i="28"/>
  <c r="H210" i="28"/>
  <c r="I213" i="28"/>
  <c r="H213" i="28"/>
  <c r="I222" i="28"/>
  <c r="H222" i="28"/>
  <c r="I198" i="28"/>
  <c r="H198" i="28"/>
  <c r="I235" i="28"/>
  <c r="H235" i="28"/>
  <c r="I172" i="28"/>
  <c r="H172" i="28"/>
  <c r="I215" i="28"/>
  <c r="H215" i="28"/>
  <c r="I225" i="28"/>
  <c r="H225" i="28"/>
  <c r="I169" i="28"/>
  <c r="H169" i="28"/>
  <c r="I201" i="28"/>
  <c r="H201" i="28"/>
  <c r="I164" i="28"/>
  <c r="H164" i="28"/>
  <c r="I207" i="28"/>
  <c r="H207" i="28"/>
  <c r="I242" i="28"/>
  <c r="H242" i="28"/>
  <c r="I182" i="28"/>
  <c r="H182" i="28"/>
  <c r="I223" i="28"/>
  <c r="H223" i="28"/>
  <c r="I199" i="28"/>
  <c r="H199" i="28"/>
  <c r="I236" i="28"/>
  <c r="H236" i="28"/>
  <c r="I168" i="28"/>
  <c r="H168" i="28"/>
  <c r="I211" i="28"/>
  <c r="H211" i="28"/>
  <c r="H77" i="28"/>
  <c r="I141" i="28"/>
  <c r="H141" i="28"/>
  <c r="I173" i="28"/>
  <c r="H173" i="28"/>
  <c r="I205" i="28"/>
  <c r="H205" i="28"/>
  <c r="I174" i="28"/>
  <c r="H174" i="28"/>
  <c r="I12" i="28"/>
  <c r="H12" i="28"/>
  <c r="I177" i="28"/>
  <c r="H177" i="28"/>
  <c r="I175" i="28"/>
  <c r="H175" i="28"/>
  <c r="I5" i="28"/>
  <c r="H5" i="28"/>
  <c r="I181" i="28"/>
  <c r="H181" i="28"/>
  <c r="I180" i="28"/>
  <c r="H180" i="28"/>
  <c r="I184" i="28"/>
  <c r="H184" i="28"/>
  <c r="I195" i="28"/>
  <c r="H195" i="28"/>
  <c r="I233" i="28"/>
  <c r="H233" i="28"/>
  <c r="I65" i="28"/>
  <c r="H65" i="28"/>
  <c r="I193" i="28"/>
  <c r="H193" i="28"/>
  <c r="I214" i="28"/>
  <c r="H214" i="28"/>
  <c r="I185" i="28"/>
  <c r="H185" i="28"/>
  <c r="I217" i="28"/>
  <c r="H217" i="28"/>
  <c r="I226" i="28"/>
  <c r="H226" i="28"/>
  <c r="I203" i="28"/>
  <c r="H203" i="28"/>
  <c r="I239" i="28"/>
  <c r="H239" i="28"/>
  <c r="I178" i="28"/>
  <c r="H178" i="28"/>
  <c r="I220" i="28"/>
  <c r="H220" i="28"/>
  <c r="I229" i="28"/>
  <c r="H229" i="28"/>
  <c r="I189" i="28"/>
  <c r="H189" i="28"/>
  <c r="I166" i="28"/>
  <c r="H166" i="28"/>
  <c r="I4" i="15"/>
  <c r="F10" i="42"/>
  <c r="E12" i="42"/>
  <c r="B12" i="42"/>
  <c r="A13" i="42"/>
  <c r="D11" i="42"/>
  <c r="C11" i="42"/>
  <c r="F3" i="16"/>
  <c r="I3" i="16" s="1"/>
  <c r="F3" i="15"/>
  <c r="D73" i="14"/>
  <c r="H4" i="15"/>
  <c r="N28" i="24"/>
  <c r="H4" i="16"/>
  <c r="H59" i="28" l="1"/>
  <c r="H102" i="28"/>
  <c r="H114" i="28"/>
  <c r="H42" i="28"/>
  <c r="H159" i="28"/>
  <c r="G9" i="28"/>
  <c r="H9" i="28"/>
  <c r="G86" i="28"/>
  <c r="H86" i="28"/>
  <c r="G54" i="28"/>
  <c r="H54" i="28"/>
  <c r="G53" i="28"/>
  <c r="H53" i="28"/>
  <c r="G55" i="28"/>
  <c r="H55" i="28"/>
  <c r="H108" i="28"/>
  <c r="G73" i="28"/>
  <c r="I73" i="28" s="1"/>
  <c r="H73" i="28"/>
  <c r="G33" i="28"/>
  <c r="H33" i="28"/>
  <c r="G49" i="28"/>
  <c r="H49" i="28"/>
  <c r="G150" i="28"/>
  <c r="H150" i="28"/>
  <c r="G136" i="28"/>
  <c r="H136" i="28"/>
  <c r="G105" i="28"/>
  <c r="H105" i="28"/>
  <c r="G117" i="28"/>
  <c r="H117" i="28"/>
  <c r="G115" i="28"/>
  <c r="H115" i="28"/>
  <c r="G80" i="28"/>
  <c r="H80" i="28"/>
  <c r="G124" i="28"/>
  <c r="H124" i="28"/>
  <c r="H161" i="28"/>
  <c r="H152" i="28"/>
  <c r="G140" i="28"/>
  <c r="H140" i="28"/>
  <c r="G144" i="28"/>
  <c r="H144" i="28"/>
  <c r="G71" i="28"/>
  <c r="H71" i="28"/>
  <c r="G32" i="28"/>
  <c r="H32" i="28"/>
  <c r="G66" i="28"/>
  <c r="H66" i="28"/>
  <c r="G89" i="28"/>
  <c r="H89" i="28"/>
  <c r="G31" i="28"/>
  <c r="I31" i="28" s="1"/>
  <c r="H31" i="28"/>
  <c r="G44" i="28"/>
  <c r="H44" i="28"/>
  <c r="G45" i="28"/>
  <c r="H45" i="28"/>
  <c r="G126" i="28"/>
  <c r="H126" i="28"/>
  <c r="H18" i="28"/>
  <c r="H85" i="28"/>
  <c r="G95" i="28"/>
  <c r="I95" i="28" s="1"/>
  <c r="H95" i="28"/>
  <c r="G61" i="28"/>
  <c r="H61" i="28"/>
  <c r="G74" i="28"/>
  <c r="H74" i="28"/>
  <c r="G41" i="28"/>
  <c r="I41" i="28" s="1"/>
  <c r="H41" i="28"/>
  <c r="G24" i="28"/>
  <c r="H24" i="28"/>
  <c r="G40" i="28"/>
  <c r="H40" i="28"/>
  <c r="H143" i="28"/>
  <c r="H99" i="28"/>
  <c r="H155" i="28"/>
  <c r="H38" i="28"/>
  <c r="H157" i="28"/>
  <c r="H156" i="28"/>
  <c r="H8" i="28"/>
  <c r="H27" i="28"/>
  <c r="H118" i="28"/>
  <c r="H129" i="28"/>
  <c r="H63" i="28"/>
  <c r="H125" i="28"/>
  <c r="H160" i="28"/>
  <c r="H131" i="28"/>
  <c r="H34" i="28"/>
  <c r="H135" i="28"/>
  <c r="H111" i="28"/>
  <c r="H91" i="28"/>
  <c r="H56" i="28"/>
  <c r="H153" i="28"/>
  <c r="H97" i="28"/>
  <c r="H146" i="28"/>
  <c r="H88" i="28"/>
  <c r="H83" i="28"/>
  <c r="H87" i="28"/>
  <c r="H130" i="28"/>
  <c r="H43" i="28"/>
  <c r="H122" i="28"/>
  <c r="H52" i="28"/>
  <c r="H158" i="28"/>
  <c r="H82" i="28"/>
  <c r="H116" i="28"/>
  <c r="H50" i="28"/>
  <c r="H90" i="28"/>
  <c r="G57" i="28"/>
  <c r="H57" i="28"/>
  <c r="G23" i="28"/>
  <c r="H23" i="28"/>
  <c r="G120" i="28"/>
  <c r="H120" i="28"/>
  <c r="G69" i="28"/>
  <c r="H69" i="28"/>
  <c r="G11" i="28"/>
  <c r="H11" i="28"/>
  <c r="H100" i="28"/>
  <c r="I58" i="28"/>
  <c r="G134" i="28"/>
  <c r="H134" i="28"/>
  <c r="G14" i="28"/>
  <c r="H14" i="28"/>
  <c r="I128" i="28"/>
  <c r="G113" i="28"/>
  <c r="H113" i="28"/>
  <c r="H48" i="28"/>
  <c r="H46" i="28"/>
  <c r="I47" i="28"/>
  <c r="G62" i="28"/>
  <c r="H62" i="28"/>
  <c r="G98" i="28"/>
  <c r="H98" i="28"/>
  <c r="G67" i="28"/>
  <c r="H67" i="28"/>
  <c r="G123" i="28"/>
  <c r="H123" i="28"/>
  <c r="H25" i="28"/>
  <c r="I39" i="28"/>
  <c r="H138" i="28"/>
  <c r="H20" i="28"/>
  <c r="H76" i="28"/>
  <c r="H109" i="28"/>
  <c r="G139" i="28"/>
  <c r="H139" i="28"/>
  <c r="G112" i="28"/>
  <c r="H112" i="28"/>
  <c r="G10" i="28"/>
  <c r="H10" i="28"/>
  <c r="G101" i="28"/>
  <c r="H101" i="28"/>
  <c r="G7" i="28"/>
  <c r="H7" i="28"/>
  <c r="I145" i="28"/>
  <c r="G107" i="28"/>
  <c r="H107" i="28"/>
  <c r="H72" i="28"/>
  <c r="H110" i="28"/>
  <c r="G70" i="28"/>
  <c r="H70" i="28"/>
  <c r="G6" i="28"/>
  <c r="H6" i="28"/>
  <c r="H51" i="28"/>
  <c r="H162" i="28"/>
  <c r="I72" i="28"/>
  <c r="I100" i="28"/>
  <c r="I110" i="28"/>
  <c r="G121" i="28"/>
  <c r="H121" i="28"/>
  <c r="I162" i="28"/>
  <c r="G29" i="28"/>
  <c r="H29" i="28"/>
  <c r="I48" i="28"/>
  <c r="I46" i="28"/>
  <c r="G92" i="28"/>
  <c r="H92" i="28"/>
  <c r="G26" i="28"/>
  <c r="H26" i="28"/>
  <c r="G36" i="28"/>
  <c r="H36" i="28"/>
  <c r="G106" i="28"/>
  <c r="H106" i="28"/>
  <c r="H47" i="28"/>
  <c r="H151" i="28"/>
  <c r="H128" i="28"/>
  <c r="H145" i="28"/>
  <c r="H142" i="28"/>
  <c r="I151" i="28"/>
  <c r="I25" i="28"/>
  <c r="I142" i="28"/>
  <c r="H64" i="28"/>
  <c r="H154" i="28"/>
  <c r="H39" i="28"/>
  <c r="I64" i="28"/>
  <c r="I154" i="28"/>
  <c r="I20" i="28"/>
  <c r="I76" i="28"/>
  <c r="I109" i="28"/>
  <c r="H58" i="28"/>
  <c r="H21" i="28"/>
  <c r="G127" i="28"/>
  <c r="H127" i="28"/>
  <c r="G78" i="28"/>
  <c r="H78" i="28"/>
  <c r="G75" i="28"/>
  <c r="H75" i="28"/>
  <c r="G147" i="28"/>
  <c r="H147" i="28"/>
  <c r="G137" i="28"/>
  <c r="H137" i="28"/>
  <c r="H93" i="28"/>
  <c r="H119" i="28"/>
  <c r="H96" i="28"/>
  <c r="H30" i="28"/>
  <c r="H132" i="28"/>
  <c r="I21" i="28"/>
  <c r="G149" i="28"/>
  <c r="H149" i="28"/>
  <c r="G35" i="28"/>
  <c r="H35" i="28"/>
  <c r="G15" i="28"/>
  <c r="H15" i="28"/>
  <c r="G84" i="28"/>
  <c r="H84" i="28"/>
  <c r="G17" i="28"/>
  <c r="H17" i="28"/>
  <c r="G104" i="28"/>
  <c r="H104" i="28"/>
  <c r="G13" i="28"/>
  <c r="H13" i="28"/>
  <c r="G22" i="28"/>
  <c r="H22" i="28"/>
  <c r="H79" i="28"/>
  <c r="H68" i="28"/>
  <c r="I68" i="28"/>
  <c r="H133" i="28"/>
  <c r="H94" i="28"/>
  <c r="H19" i="28"/>
  <c r="H28" i="28"/>
  <c r="H60" i="28"/>
  <c r="H148" i="28"/>
  <c r="I94" i="28"/>
  <c r="I28" i="28"/>
  <c r="I56" i="28"/>
  <c r="I60" i="28"/>
  <c r="I148" i="28"/>
  <c r="H37" i="28"/>
  <c r="H16" i="28"/>
  <c r="F171" i="16"/>
  <c r="G171" i="16" s="1"/>
  <c r="F86" i="16"/>
  <c r="G86" i="16" s="1"/>
  <c r="F43" i="16"/>
  <c r="G43" i="16" s="1"/>
  <c r="F202" i="16"/>
  <c r="G202" i="16" s="1"/>
  <c r="F116" i="16"/>
  <c r="G116" i="16" s="1"/>
  <c r="F31" i="16"/>
  <c r="G31" i="16" s="1"/>
  <c r="F187" i="16"/>
  <c r="G187" i="16" s="1"/>
  <c r="F102" i="16"/>
  <c r="G102" i="16" s="1"/>
  <c r="F16" i="16"/>
  <c r="G16" i="16" s="1"/>
  <c r="F164" i="16"/>
  <c r="G164" i="16" s="1"/>
  <c r="F79" i="16"/>
  <c r="G79" i="16" s="1"/>
  <c r="F238" i="16"/>
  <c r="G238" i="16" s="1"/>
  <c r="F195" i="16"/>
  <c r="G195" i="16" s="1"/>
  <c r="F152" i="16"/>
  <c r="G152" i="16" s="1"/>
  <c r="F88" i="16"/>
  <c r="G88" i="16" s="1"/>
  <c r="F46" i="16"/>
  <c r="G46" i="16" s="1"/>
  <c r="F242" i="16"/>
  <c r="G242" i="16" s="1"/>
  <c r="F92" i="16"/>
  <c r="G92" i="16" s="1"/>
  <c r="F6" i="16"/>
  <c r="G6" i="16" s="1"/>
  <c r="F5" i="16"/>
  <c r="G5" i="16" s="1"/>
  <c r="F203" i="16"/>
  <c r="G203" i="16" s="1"/>
  <c r="F160" i="16"/>
  <c r="G160" i="16" s="1"/>
  <c r="F118" i="16"/>
  <c r="G118" i="16" s="1"/>
  <c r="F75" i="16"/>
  <c r="G75" i="16" s="1"/>
  <c r="F32" i="16"/>
  <c r="G32" i="16" s="1"/>
  <c r="F234" i="16"/>
  <c r="G234" i="16" s="1"/>
  <c r="F191" i="16"/>
  <c r="G191" i="16" s="1"/>
  <c r="F148" i="16"/>
  <c r="G148" i="16" s="1"/>
  <c r="F106" i="16"/>
  <c r="G106" i="16" s="1"/>
  <c r="F63" i="16"/>
  <c r="G63" i="16" s="1"/>
  <c r="F20" i="16"/>
  <c r="G20" i="16" s="1"/>
  <c r="F219" i="16"/>
  <c r="G219" i="16" s="1"/>
  <c r="F176" i="16"/>
  <c r="G176" i="16" s="1"/>
  <c r="F134" i="16"/>
  <c r="G134" i="16" s="1"/>
  <c r="F91" i="16"/>
  <c r="G91" i="16" s="1"/>
  <c r="F48" i="16"/>
  <c r="G48" i="16" s="1"/>
  <c r="F239" i="16"/>
  <c r="G239" i="16" s="1"/>
  <c r="F196" i="16"/>
  <c r="G196" i="16" s="1"/>
  <c r="F154" i="16"/>
  <c r="G154" i="16" s="1"/>
  <c r="F111" i="16"/>
  <c r="G111" i="16" s="1"/>
  <c r="F68" i="16"/>
  <c r="G68" i="16" s="1"/>
  <c r="F26" i="16"/>
  <c r="G26" i="16" s="1"/>
  <c r="F232" i="16"/>
  <c r="G232" i="16" s="1"/>
  <c r="F211" i="16"/>
  <c r="G211" i="16" s="1"/>
  <c r="F190" i="16"/>
  <c r="G190" i="16" s="1"/>
  <c r="F168" i="16"/>
  <c r="G168" i="16" s="1"/>
  <c r="F147" i="16"/>
  <c r="G147" i="16" s="1"/>
  <c r="F126" i="16"/>
  <c r="G126" i="16" s="1"/>
  <c r="F104" i="16"/>
  <c r="G104" i="16" s="1"/>
  <c r="F83" i="16"/>
  <c r="G83" i="16" s="1"/>
  <c r="F62" i="16"/>
  <c r="G62" i="16" s="1"/>
  <c r="F40" i="16"/>
  <c r="G40" i="16" s="1"/>
  <c r="F19" i="16"/>
  <c r="G19" i="16" s="1"/>
  <c r="F236" i="16"/>
  <c r="G236" i="16" s="1"/>
  <c r="F215" i="16"/>
  <c r="G215" i="16" s="1"/>
  <c r="F194" i="16"/>
  <c r="G194" i="16" s="1"/>
  <c r="F172" i="16"/>
  <c r="G172" i="16" s="1"/>
  <c r="F151" i="16"/>
  <c r="G151" i="16" s="1"/>
  <c r="F130" i="16"/>
  <c r="G130" i="16" s="1"/>
  <c r="F108" i="16"/>
  <c r="G108" i="16" s="1"/>
  <c r="F87" i="16"/>
  <c r="G87" i="16" s="1"/>
  <c r="F66" i="16"/>
  <c r="G66" i="16" s="1"/>
  <c r="F44" i="16"/>
  <c r="G44" i="16" s="1"/>
  <c r="F23" i="16"/>
  <c r="G23" i="16" s="1"/>
  <c r="F241" i="16"/>
  <c r="G241" i="16" s="1"/>
  <c r="F225" i="16"/>
  <c r="G225" i="16" s="1"/>
  <c r="F209" i="16"/>
  <c r="G209" i="16" s="1"/>
  <c r="F193" i="16"/>
  <c r="G193" i="16" s="1"/>
  <c r="F177" i="16"/>
  <c r="G177" i="16" s="1"/>
  <c r="F161" i="16"/>
  <c r="G161" i="16" s="1"/>
  <c r="F145" i="16"/>
  <c r="G145" i="16" s="1"/>
  <c r="F129" i="16"/>
  <c r="G129" i="16" s="1"/>
  <c r="F113" i="16"/>
  <c r="G113" i="16" s="1"/>
  <c r="F97" i="16"/>
  <c r="G97" i="16" s="1"/>
  <c r="F81" i="16"/>
  <c r="G81" i="16" s="1"/>
  <c r="F65" i="16"/>
  <c r="G65" i="16" s="1"/>
  <c r="F49" i="16"/>
  <c r="G49" i="16" s="1"/>
  <c r="F33" i="16"/>
  <c r="G33" i="16" s="1"/>
  <c r="F17" i="16"/>
  <c r="G17" i="16" s="1"/>
  <c r="F222" i="15"/>
  <c r="F238" i="15"/>
  <c r="F150" i="15"/>
  <c r="F118" i="15"/>
  <c r="F86" i="15"/>
  <c r="F54" i="15"/>
  <c r="F22" i="15"/>
  <c r="F229" i="15"/>
  <c r="F197" i="15"/>
  <c r="F165" i="15"/>
  <c r="F133" i="15"/>
  <c r="F101" i="15"/>
  <c r="F69" i="15"/>
  <c r="F37" i="15"/>
  <c r="F242" i="15"/>
  <c r="F210" i="15"/>
  <c r="F178" i="15"/>
  <c r="F146" i="15"/>
  <c r="F114" i="15"/>
  <c r="F82" i="15"/>
  <c r="F50" i="15"/>
  <c r="F18" i="15"/>
  <c r="F225" i="15"/>
  <c r="F193" i="15"/>
  <c r="F161" i="15"/>
  <c r="F129" i="15"/>
  <c r="F97" i="15"/>
  <c r="F65" i="15"/>
  <c r="F33" i="15"/>
  <c r="F228" i="15"/>
  <c r="F212" i="15"/>
  <c r="F196" i="15"/>
  <c r="F180" i="15"/>
  <c r="F164" i="15"/>
  <c r="F148" i="15"/>
  <c r="F132" i="15"/>
  <c r="F116" i="15"/>
  <c r="F100" i="15"/>
  <c r="F84" i="15"/>
  <c r="F68" i="15"/>
  <c r="F52" i="15"/>
  <c r="F36" i="15"/>
  <c r="F20" i="15"/>
  <c r="F243" i="15"/>
  <c r="F227" i="15"/>
  <c r="F211" i="15"/>
  <c r="F195" i="15"/>
  <c r="F179" i="15"/>
  <c r="F163" i="15"/>
  <c r="F147" i="15"/>
  <c r="F131" i="15"/>
  <c r="F115" i="15"/>
  <c r="F99" i="15"/>
  <c r="F83" i="15"/>
  <c r="F67" i="15"/>
  <c r="F51" i="15"/>
  <c r="F35" i="15"/>
  <c r="F19" i="15"/>
  <c r="F235" i="16"/>
  <c r="G235" i="16" s="1"/>
  <c r="F192" i="16"/>
  <c r="G192" i="16" s="1"/>
  <c r="F150" i="16"/>
  <c r="G150" i="16" s="1"/>
  <c r="F107" i="16"/>
  <c r="G107" i="16" s="1"/>
  <c r="F64" i="16"/>
  <c r="G64" i="16" s="1"/>
  <c r="F22" i="16"/>
  <c r="G22" i="16" s="1"/>
  <c r="F223" i="16"/>
  <c r="G223" i="16" s="1"/>
  <c r="F180" i="16"/>
  <c r="G180" i="16" s="1"/>
  <c r="F138" i="16"/>
  <c r="G138" i="16" s="1"/>
  <c r="F95" i="16"/>
  <c r="G95" i="16" s="1"/>
  <c r="F52" i="16"/>
  <c r="G52" i="16" s="1"/>
  <c r="F10" i="16"/>
  <c r="G10" i="16" s="1"/>
  <c r="F208" i="16"/>
  <c r="G208" i="16" s="1"/>
  <c r="F166" i="16"/>
  <c r="G166" i="16" s="1"/>
  <c r="F123" i="16"/>
  <c r="G123" i="16" s="1"/>
  <c r="F80" i="16"/>
  <c r="G80" i="16" s="1"/>
  <c r="F38" i="16"/>
  <c r="G38" i="16" s="1"/>
  <c r="F228" i="16"/>
  <c r="G228" i="16" s="1"/>
  <c r="F186" i="16"/>
  <c r="G186" i="16" s="1"/>
  <c r="F143" i="16"/>
  <c r="G143" i="16" s="1"/>
  <c r="F100" i="16"/>
  <c r="G100" i="16" s="1"/>
  <c r="F58" i="16"/>
  <c r="G58" i="16" s="1"/>
  <c r="F15" i="16"/>
  <c r="G15" i="16" s="1"/>
  <c r="F227" i="16"/>
  <c r="G227" i="16" s="1"/>
  <c r="F206" i="16"/>
  <c r="G206" i="16" s="1"/>
  <c r="F184" i="16"/>
  <c r="G184" i="16" s="1"/>
  <c r="F163" i="16"/>
  <c r="G163" i="16" s="1"/>
  <c r="F142" i="16"/>
  <c r="G142" i="16" s="1"/>
  <c r="F120" i="16"/>
  <c r="G120" i="16" s="1"/>
  <c r="F99" i="16"/>
  <c r="G99" i="16" s="1"/>
  <c r="F78" i="16"/>
  <c r="G78" i="16" s="1"/>
  <c r="F56" i="16"/>
  <c r="G56" i="16" s="1"/>
  <c r="F35" i="16"/>
  <c r="G35" i="16" s="1"/>
  <c r="I35" i="16" s="1"/>
  <c r="F14" i="16"/>
  <c r="G14" i="16" s="1"/>
  <c r="F231" i="16"/>
  <c r="G231" i="16" s="1"/>
  <c r="F210" i="16"/>
  <c r="G210" i="16" s="1"/>
  <c r="F188" i="16"/>
  <c r="G188" i="16" s="1"/>
  <c r="F167" i="16"/>
  <c r="G167" i="16" s="1"/>
  <c r="F146" i="16"/>
  <c r="G146" i="16" s="1"/>
  <c r="F124" i="16"/>
  <c r="G124" i="16" s="1"/>
  <c r="F103" i="16"/>
  <c r="G103" i="16" s="1"/>
  <c r="F82" i="16"/>
  <c r="G82" i="16" s="1"/>
  <c r="F60" i="16"/>
  <c r="G60" i="16" s="1"/>
  <c r="F39" i="16"/>
  <c r="G39" i="16" s="1"/>
  <c r="F18" i="16"/>
  <c r="G18" i="16" s="1"/>
  <c r="F237" i="16"/>
  <c r="G237" i="16" s="1"/>
  <c r="F221" i="16"/>
  <c r="G221" i="16" s="1"/>
  <c r="F205" i="16"/>
  <c r="G205" i="16" s="1"/>
  <c r="F189" i="16"/>
  <c r="G189" i="16" s="1"/>
  <c r="F173" i="16"/>
  <c r="G173" i="16" s="1"/>
  <c r="F157" i="16"/>
  <c r="G157" i="16" s="1"/>
  <c r="F141" i="16"/>
  <c r="G141" i="16" s="1"/>
  <c r="F125" i="16"/>
  <c r="G125" i="16" s="1"/>
  <c r="F109" i="16"/>
  <c r="G109" i="16" s="1"/>
  <c r="F93" i="16"/>
  <c r="G93" i="16" s="1"/>
  <c r="F77" i="16"/>
  <c r="G77" i="16" s="1"/>
  <c r="F61" i="16"/>
  <c r="G61" i="16" s="1"/>
  <c r="F45" i="16"/>
  <c r="G45" i="16" s="1"/>
  <c r="F29" i="16"/>
  <c r="G29" i="16" s="1"/>
  <c r="F13" i="16"/>
  <c r="G13" i="16" s="1"/>
  <c r="F230" i="15"/>
  <c r="F190" i="15"/>
  <c r="F206" i="15"/>
  <c r="F142" i="15"/>
  <c r="F110" i="15"/>
  <c r="F78" i="15"/>
  <c r="F46" i="15"/>
  <c r="F14" i="15"/>
  <c r="F221" i="15"/>
  <c r="F189" i="15"/>
  <c r="F157" i="15"/>
  <c r="F125" i="15"/>
  <c r="F93" i="15"/>
  <c r="F61" i="15"/>
  <c r="F29" i="15"/>
  <c r="F234" i="15"/>
  <c r="F202" i="15"/>
  <c r="F170" i="15"/>
  <c r="F138" i="15"/>
  <c r="F106" i="15"/>
  <c r="F74" i="15"/>
  <c r="F42" i="15"/>
  <c r="F10" i="15"/>
  <c r="F217" i="15"/>
  <c r="F185" i="15"/>
  <c r="F153" i="15"/>
  <c r="F121" i="15"/>
  <c r="F89" i="15"/>
  <c r="F57" i="15"/>
  <c r="F25" i="15"/>
  <c r="F240" i="15"/>
  <c r="F224" i="15"/>
  <c r="F208" i="15"/>
  <c r="F192" i="15"/>
  <c r="F176" i="15"/>
  <c r="F160" i="15"/>
  <c r="F144" i="15"/>
  <c r="F128" i="15"/>
  <c r="F112" i="15"/>
  <c r="F96" i="15"/>
  <c r="F80" i="15"/>
  <c r="F64" i="15"/>
  <c r="F48" i="15"/>
  <c r="F32" i="15"/>
  <c r="F16" i="15"/>
  <c r="F239" i="15"/>
  <c r="F223" i="15"/>
  <c r="F207" i="15"/>
  <c r="F191" i="15"/>
  <c r="F175" i="15"/>
  <c r="F159" i="15"/>
  <c r="F143" i="15"/>
  <c r="F127" i="15"/>
  <c r="F111" i="15"/>
  <c r="F95" i="15"/>
  <c r="F79" i="15"/>
  <c r="F63" i="15"/>
  <c r="F47" i="15"/>
  <c r="F31" i="15"/>
  <c r="F15" i="15"/>
  <c r="F224" i="16"/>
  <c r="G224" i="16" s="1"/>
  <c r="F182" i="16"/>
  <c r="G182" i="16" s="1"/>
  <c r="F139" i="16"/>
  <c r="G139" i="16" s="1"/>
  <c r="F96" i="16"/>
  <c r="G96" i="16" s="1"/>
  <c r="F54" i="16"/>
  <c r="G54" i="16" s="1"/>
  <c r="F11" i="16"/>
  <c r="G11" i="16" s="1"/>
  <c r="F212" i="16"/>
  <c r="G212" i="16" s="1"/>
  <c r="F170" i="16"/>
  <c r="G170" i="16" s="1"/>
  <c r="F127" i="16"/>
  <c r="G127" i="16" s="1"/>
  <c r="F84" i="16"/>
  <c r="G84" i="16" s="1"/>
  <c r="F42" i="16"/>
  <c r="G42" i="16" s="1"/>
  <c r="F240" i="16"/>
  <c r="G240" i="16" s="1"/>
  <c r="F198" i="16"/>
  <c r="G198" i="16" s="1"/>
  <c r="F155" i="16"/>
  <c r="G155" i="16" s="1"/>
  <c r="F112" i="16"/>
  <c r="G112" i="16" s="1"/>
  <c r="F70" i="16"/>
  <c r="G70" i="16" s="1"/>
  <c r="F27" i="16"/>
  <c r="G27" i="16" s="1"/>
  <c r="F218" i="16"/>
  <c r="G218" i="16" s="1"/>
  <c r="F175" i="16"/>
  <c r="G175" i="16" s="1"/>
  <c r="F132" i="16"/>
  <c r="G132" i="16" s="1"/>
  <c r="F90" i="16"/>
  <c r="G90" i="16" s="1"/>
  <c r="F47" i="16"/>
  <c r="G47" i="16" s="1"/>
  <c r="F243" i="16"/>
  <c r="G243" i="16" s="1"/>
  <c r="F222" i="16"/>
  <c r="G222" i="16" s="1"/>
  <c r="F200" i="16"/>
  <c r="G200" i="16" s="1"/>
  <c r="F179" i="16"/>
  <c r="G179" i="16" s="1"/>
  <c r="F158" i="16"/>
  <c r="G158" i="16" s="1"/>
  <c r="F136" i="16"/>
  <c r="G136" i="16" s="1"/>
  <c r="F115" i="16"/>
  <c r="G115" i="16" s="1"/>
  <c r="F94" i="16"/>
  <c r="G94" i="16" s="1"/>
  <c r="F72" i="16"/>
  <c r="G72" i="16" s="1"/>
  <c r="F51" i="16"/>
  <c r="G51" i="16" s="1"/>
  <c r="F30" i="16"/>
  <c r="G30" i="16" s="1"/>
  <c r="F8" i="16"/>
  <c r="G8" i="16" s="1"/>
  <c r="F226" i="16"/>
  <c r="G226" i="16" s="1"/>
  <c r="F204" i="16"/>
  <c r="G204" i="16" s="1"/>
  <c r="F183" i="16"/>
  <c r="G183" i="16" s="1"/>
  <c r="F162" i="16"/>
  <c r="G162" i="16" s="1"/>
  <c r="F140" i="16"/>
  <c r="G140" i="16" s="1"/>
  <c r="F119" i="16"/>
  <c r="G119" i="16" s="1"/>
  <c r="F98" i="16"/>
  <c r="G98" i="16" s="1"/>
  <c r="F76" i="16"/>
  <c r="G76" i="16" s="1"/>
  <c r="F55" i="16"/>
  <c r="G55" i="16" s="1"/>
  <c r="F34" i="16"/>
  <c r="G34" i="16" s="1"/>
  <c r="F12" i="16"/>
  <c r="G12" i="16" s="1"/>
  <c r="F233" i="16"/>
  <c r="G233" i="16" s="1"/>
  <c r="F217" i="16"/>
  <c r="G217" i="16" s="1"/>
  <c r="F201" i="16"/>
  <c r="G201" i="16" s="1"/>
  <c r="F185" i="16"/>
  <c r="G185" i="16" s="1"/>
  <c r="F169" i="16"/>
  <c r="G169" i="16" s="1"/>
  <c r="F153" i="16"/>
  <c r="G153" i="16" s="1"/>
  <c r="F137" i="16"/>
  <c r="G137" i="16" s="1"/>
  <c r="F121" i="16"/>
  <c r="G121" i="16" s="1"/>
  <c r="F105" i="16"/>
  <c r="G105" i="16" s="1"/>
  <c r="F89" i="16"/>
  <c r="G89" i="16" s="1"/>
  <c r="F73" i="16"/>
  <c r="G73" i="16" s="1"/>
  <c r="F57" i="16"/>
  <c r="G57" i="16" s="1"/>
  <c r="F41" i="16"/>
  <c r="G41" i="16" s="1"/>
  <c r="F25" i="16"/>
  <c r="G25" i="16" s="1"/>
  <c r="F9" i="16"/>
  <c r="G9" i="16" s="1"/>
  <c r="F198" i="15"/>
  <c r="F214" i="15"/>
  <c r="F174" i="15"/>
  <c r="F134" i="15"/>
  <c r="F102" i="15"/>
  <c r="F70" i="15"/>
  <c r="F38" i="15"/>
  <c r="F6" i="15"/>
  <c r="G6" i="15" s="1"/>
  <c r="F5" i="15"/>
  <c r="G5" i="15" s="1"/>
  <c r="F213" i="15"/>
  <c r="F181" i="15"/>
  <c r="F149" i="15"/>
  <c r="F117" i="15"/>
  <c r="F85" i="15"/>
  <c r="F53" i="15"/>
  <c r="F21" i="15"/>
  <c r="F226" i="15"/>
  <c r="F194" i="15"/>
  <c r="F162" i="15"/>
  <c r="F130" i="15"/>
  <c r="F98" i="15"/>
  <c r="F66" i="15"/>
  <c r="F34" i="15"/>
  <c r="F241" i="15"/>
  <c r="F209" i="15"/>
  <c r="F177" i="15"/>
  <c r="F145" i="15"/>
  <c r="F113" i="15"/>
  <c r="F81" i="15"/>
  <c r="F49" i="15"/>
  <c r="F17" i="15"/>
  <c r="F236" i="15"/>
  <c r="F220" i="15"/>
  <c r="F204" i="15"/>
  <c r="F188" i="15"/>
  <c r="F172" i="15"/>
  <c r="F156" i="15"/>
  <c r="F140" i="15"/>
  <c r="F124" i="15"/>
  <c r="F108" i="15"/>
  <c r="F92" i="15"/>
  <c r="F76" i="15"/>
  <c r="F60" i="15"/>
  <c r="F44" i="15"/>
  <c r="F28" i="15"/>
  <c r="F12" i="15"/>
  <c r="F235" i="15"/>
  <c r="F219" i="15"/>
  <c r="F203" i="15"/>
  <c r="F187" i="15"/>
  <c r="F171" i="15"/>
  <c r="F155" i="15"/>
  <c r="F139" i="15"/>
  <c r="F123" i="15"/>
  <c r="F107" i="15"/>
  <c r="F91" i="15"/>
  <c r="F75" i="15"/>
  <c r="F59" i="15"/>
  <c r="F43" i="15"/>
  <c r="F27" i="15"/>
  <c r="F11" i="15"/>
  <c r="F214" i="16"/>
  <c r="G214" i="16" s="1"/>
  <c r="F128" i="16"/>
  <c r="G128" i="16" s="1"/>
  <c r="F159" i="16"/>
  <c r="G159" i="16" s="1"/>
  <c r="F74" i="16"/>
  <c r="G74" i="16" s="1"/>
  <c r="F230" i="16"/>
  <c r="G230" i="16" s="1"/>
  <c r="F144" i="16"/>
  <c r="G144" i="16" s="1"/>
  <c r="F59" i="16"/>
  <c r="G59" i="16" s="1"/>
  <c r="F207" i="16"/>
  <c r="G207" i="16" s="1"/>
  <c r="F122" i="16"/>
  <c r="G122" i="16" s="1"/>
  <c r="F36" i="16"/>
  <c r="G36" i="16" s="1"/>
  <c r="F216" i="16"/>
  <c r="G216" i="16" s="1"/>
  <c r="F174" i="16"/>
  <c r="G174" i="16" s="1"/>
  <c r="F131" i="16"/>
  <c r="G131" i="16" s="1"/>
  <c r="F110" i="16"/>
  <c r="G110" i="16" s="1"/>
  <c r="F67" i="16"/>
  <c r="G67" i="16" s="1"/>
  <c r="F24" i="16"/>
  <c r="G24" i="16" s="1"/>
  <c r="F220" i="16"/>
  <c r="G220" i="16" s="1"/>
  <c r="F199" i="16"/>
  <c r="G199" i="16" s="1"/>
  <c r="F178" i="16"/>
  <c r="G178" i="16" s="1"/>
  <c r="F156" i="16"/>
  <c r="G156" i="16" s="1"/>
  <c r="F135" i="16"/>
  <c r="G135" i="16" s="1"/>
  <c r="F114" i="16"/>
  <c r="G114" i="16" s="1"/>
  <c r="F71" i="16"/>
  <c r="G71" i="16" s="1"/>
  <c r="F50" i="16"/>
  <c r="G50" i="16" s="1"/>
  <c r="F28" i="16"/>
  <c r="G28" i="16" s="1"/>
  <c r="F7" i="16"/>
  <c r="G7" i="16" s="1"/>
  <c r="F229" i="16"/>
  <c r="G229" i="16" s="1"/>
  <c r="F213" i="16"/>
  <c r="G213" i="16" s="1"/>
  <c r="F197" i="16"/>
  <c r="G197" i="16" s="1"/>
  <c r="F181" i="16"/>
  <c r="G181" i="16" s="1"/>
  <c r="F165" i="16"/>
  <c r="G165" i="16" s="1"/>
  <c r="F149" i="16"/>
  <c r="G149" i="16" s="1"/>
  <c r="F133" i="16"/>
  <c r="G133" i="16" s="1"/>
  <c r="F117" i="16"/>
  <c r="G117" i="16" s="1"/>
  <c r="F101" i="16"/>
  <c r="G101" i="16" s="1"/>
  <c r="F85" i="16"/>
  <c r="G85" i="16" s="1"/>
  <c r="F69" i="16"/>
  <c r="G69" i="16" s="1"/>
  <c r="F53" i="16"/>
  <c r="G53" i="16" s="1"/>
  <c r="F37" i="16"/>
  <c r="G37" i="16" s="1"/>
  <c r="F21" i="16"/>
  <c r="G21" i="16" s="1"/>
  <c r="F166" i="15"/>
  <c r="F182" i="15"/>
  <c r="F158" i="15"/>
  <c r="F126" i="15"/>
  <c r="F94" i="15"/>
  <c r="F62" i="15"/>
  <c r="F30" i="15"/>
  <c r="F237" i="15"/>
  <c r="F205" i="15"/>
  <c r="F173" i="15"/>
  <c r="F141" i="15"/>
  <c r="F109" i="15"/>
  <c r="F77" i="15"/>
  <c r="F45" i="15"/>
  <c r="F13" i="15"/>
  <c r="F218" i="15"/>
  <c r="F186" i="15"/>
  <c r="F154" i="15"/>
  <c r="F122" i="15"/>
  <c r="F90" i="15"/>
  <c r="F58" i="15"/>
  <c r="F26" i="15"/>
  <c r="F233" i="15"/>
  <c r="F201" i="15"/>
  <c r="F169" i="15"/>
  <c r="F137" i="15"/>
  <c r="F105" i="15"/>
  <c r="F73" i="15"/>
  <c r="F41" i="15"/>
  <c r="F9" i="15"/>
  <c r="F232" i="15"/>
  <c r="F216" i="15"/>
  <c r="F200" i="15"/>
  <c r="F184" i="15"/>
  <c r="F168" i="15"/>
  <c r="F152" i="15"/>
  <c r="F136" i="15"/>
  <c r="F120" i="15"/>
  <c r="F104" i="15"/>
  <c r="F88" i="15"/>
  <c r="F72" i="15"/>
  <c r="F56" i="15"/>
  <c r="F40" i="15"/>
  <c r="F24" i="15"/>
  <c r="F8" i="15"/>
  <c r="G8" i="15" s="1"/>
  <c r="F231" i="15"/>
  <c r="F215" i="15"/>
  <c r="F199" i="15"/>
  <c r="F183" i="15"/>
  <c r="F167" i="15"/>
  <c r="F151" i="15"/>
  <c r="F135" i="15"/>
  <c r="F119" i="15"/>
  <c r="F103" i="15"/>
  <c r="F87" i="15"/>
  <c r="F71" i="15"/>
  <c r="F55" i="15"/>
  <c r="F39" i="15"/>
  <c r="F23" i="15"/>
  <c r="F7" i="15"/>
  <c r="G7" i="15" s="1"/>
  <c r="G3" i="15"/>
  <c r="I3" i="15" s="1"/>
  <c r="N27" i="24"/>
  <c r="F11" i="42"/>
  <c r="E13" i="42"/>
  <c r="A14" i="42"/>
  <c r="B13" i="42"/>
  <c r="D12" i="42"/>
  <c r="C12" i="42"/>
  <c r="H3" i="15"/>
  <c r="A18" i="11"/>
  <c r="A19" i="11"/>
  <c r="A20" i="11"/>
  <c r="A21" i="11"/>
  <c r="A22" i="11"/>
  <c r="A23" i="11"/>
  <c r="A17" i="11"/>
  <c r="B17" i="11"/>
  <c r="B18" i="11"/>
  <c r="B19" i="11"/>
  <c r="B20" i="11"/>
  <c r="B21" i="11"/>
  <c r="B22" i="11"/>
  <c r="H103" i="28" l="1"/>
  <c r="I54" i="28"/>
  <c r="I86" i="28"/>
  <c r="I9" i="28"/>
  <c r="I117" i="28"/>
  <c r="I150" i="28"/>
  <c r="I80" i="28"/>
  <c r="I33" i="28"/>
  <c r="I55" i="28"/>
  <c r="I105" i="28"/>
  <c r="I53" i="28"/>
  <c r="I136" i="28"/>
  <c r="I124" i="28"/>
  <c r="I49" i="28"/>
  <c r="I115" i="28"/>
  <c r="I144" i="28"/>
  <c r="I45" i="28"/>
  <c r="I44" i="28"/>
  <c r="I140" i="28"/>
  <c r="I32" i="28"/>
  <c r="I126" i="28"/>
  <c r="I71" i="28"/>
  <c r="I89" i="28"/>
  <c r="I66" i="28"/>
  <c r="I40" i="28"/>
  <c r="I61" i="28"/>
  <c r="I24" i="28"/>
  <c r="I74" i="28"/>
  <c r="I15" i="28"/>
  <c r="I36" i="28"/>
  <c r="I69" i="28"/>
  <c r="I7" i="28"/>
  <c r="I75" i="28"/>
  <c r="I26" i="28"/>
  <c r="I101" i="28"/>
  <c r="I22" i="28"/>
  <c r="I78" i="28"/>
  <c r="I23" i="28"/>
  <c r="I10" i="28"/>
  <c r="I147" i="28"/>
  <c r="I113" i="28"/>
  <c r="I35" i="28"/>
  <c r="I120" i="28"/>
  <c r="I123" i="28"/>
  <c r="I149" i="28"/>
  <c r="I92" i="28"/>
  <c r="I6" i="28"/>
  <c r="I14" i="28"/>
  <c r="I13" i="28"/>
  <c r="I67" i="28"/>
  <c r="I112" i="28"/>
  <c r="I104" i="28"/>
  <c r="I17" i="28"/>
  <c r="I62" i="28"/>
  <c r="I127" i="28"/>
  <c r="I57" i="28"/>
  <c r="I70" i="28"/>
  <c r="I134" i="28"/>
  <c r="I29" i="28"/>
  <c r="I98" i="28"/>
  <c r="I139" i="28"/>
  <c r="I121" i="28"/>
  <c r="I84" i="28"/>
  <c r="I137" i="28"/>
  <c r="I106" i="28"/>
  <c r="I107" i="28"/>
  <c r="I11" i="28"/>
  <c r="G44" i="15"/>
  <c r="I44" i="15" s="1"/>
  <c r="G108" i="15"/>
  <c r="I108" i="15" s="1"/>
  <c r="G172" i="15"/>
  <c r="I172" i="15" s="1"/>
  <c r="G236" i="15"/>
  <c r="I236" i="15" s="1"/>
  <c r="G38" i="15"/>
  <c r="I38" i="15" s="1"/>
  <c r="G102" i="15"/>
  <c r="I102" i="15" s="1"/>
  <c r="G25" i="15"/>
  <c r="I25" i="15" s="1"/>
  <c r="G153" i="15"/>
  <c r="I153" i="15" s="1"/>
  <c r="G42" i="15"/>
  <c r="I42" i="15" s="1"/>
  <c r="G170" i="15"/>
  <c r="I170" i="15" s="1"/>
  <c r="G61" i="15"/>
  <c r="I61" i="15" s="1"/>
  <c r="G78" i="15"/>
  <c r="I78" i="15" s="1"/>
  <c r="G190" i="15"/>
  <c r="I190" i="15" s="1"/>
  <c r="G114" i="15"/>
  <c r="I114" i="15" s="1"/>
  <c r="G129" i="15"/>
  <c r="I129" i="15" s="1"/>
  <c r="G18" i="15"/>
  <c r="I18" i="15" s="1"/>
  <c r="G146" i="15"/>
  <c r="I146" i="15" s="1"/>
  <c r="G37" i="15"/>
  <c r="I37" i="15" s="1"/>
  <c r="G165" i="15"/>
  <c r="I165" i="15" s="1"/>
  <c r="G238" i="15"/>
  <c r="I238" i="15" s="1"/>
  <c r="G87" i="15"/>
  <c r="I87" i="15" s="1"/>
  <c r="G214" i="15"/>
  <c r="I214" i="15" s="1"/>
  <c r="G200" i="15"/>
  <c r="I200" i="15" s="1"/>
  <c r="G26" i="15"/>
  <c r="I26" i="15" s="1"/>
  <c r="G76" i="15"/>
  <c r="I76" i="15" s="1"/>
  <c r="G30" i="15"/>
  <c r="I30" i="15" s="1"/>
  <c r="G94" i="15"/>
  <c r="I94" i="15" s="1"/>
  <c r="G158" i="15"/>
  <c r="I158" i="15" s="1"/>
  <c r="G166" i="15"/>
  <c r="I166" i="15" s="1"/>
  <c r="G139" i="15"/>
  <c r="I139" i="15" s="1"/>
  <c r="G241" i="15"/>
  <c r="I241" i="15" s="1"/>
  <c r="G46" i="15"/>
  <c r="I46" i="15" s="1"/>
  <c r="G79" i="15"/>
  <c r="I79" i="15" s="1"/>
  <c r="G127" i="15"/>
  <c r="I127" i="15" s="1"/>
  <c r="G175" i="15"/>
  <c r="I175" i="15" s="1"/>
  <c r="G207" i="15"/>
  <c r="I207" i="15" s="1"/>
  <c r="G239" i="15"/>
  <c r="I239" i="15" s="1"/>
  <c r="G64" i="15"/>
  <c r="I64" i="15" s="1"/>
  <c r="G128" i="15"/>
  <c r="I128" i="15" s="1"/>
  <c r="G192" i="15"/>
  <c r="I192" i="15" s="1"/>
  <c r="G189" i="15"/>
  <c r="I189" i="15" s="1"/>
  <c r="G50" i="15"/>
  <c r="I50" i="15" s="1"/>
  <c r="G83" i="15"/>
  <c r="I83" i="15" s="1"/>
  <c r="G131" i="15"/>
  <c r="I131" i="15" s="1"/>
  <c r="G178" i="15"/>
  <c r="I178" i="15" s="1"/>
  <c r="G211" i="15"/>
  <c r="I211" i="15" s="1"/>
  <c r="G36" i="15"/>
  <c r="I36" i="15" s="1"/>
  <c r="G100" i="15"/>
  <c r="I100" i="15" s="1"/>
  <c r="G164" i="15"/>
  <c r="I164" i="15" s="1"/>
  <c r="G228" i="15"/>
  <c r="I228" i="15" s="1"/>
  <c r="G41" i="15"/>
  <c r="I41" i="15" s="1"/>
  <c r="G185" i="15"/>
  <c r="I185" i="15" s="1"/>
  <c r="G204" i="15"/>
  <c r="I204" i="15" s="1"/>
  <c r="G187" i="15"/>
  <c r="I187" i="15" s="1"/>
  <c r="G176" i="15"/>
  <c r="I176" i="15" s="1"/>
  <c r="G130" i="15"/>
  <c r="I130" i="15" s="1"/>
  <c r="G21" i="15"/>
  <c r="I21" i="15" s="1"/>
  <c r="G149" i="15"/>
  <c r="I149" i="15" s="1"/>
  <c r="G70" i="15"/>
  <c r="I70" i="15" s="1"/>
  <c r="G134" i="15"/>
  <c r="I134" i="15" s="1"/>
  <c r="G167" i="15"/>
  <c r="I167" i="15" s="1"/>
  <c r="G215" i="15"/>
  <c r="I215" i="15" s="1"/>
  <c r="G24" i="15"/>
  <c r="I24" i="15" s="1"/>
  <c r="G88" i="15"/>
  <c r="I88" i="15" s="1"/>
  <c r="G152" i="15"/>
  <c r="I152" i="15" s="1"/>
  <c r="G216" i="15"/>
  <c r="I216" i="15" s="1"/>
  <c r="G73" i="15"/>
  <c r="I73" i="15" s="1"/>
  <c r="G201" i="15"/>
  <c r="I201" i="15" s="1"/>
  <c r="G57" i="15"/>
  <c r="I57" i="15" s="1"/>
  <c r="G122" i="15"/>
  <c r="I122" i="15" s="1"/>
  <c r="G186" i="15"/>
  <c r="I186" i="15" s="1"/>
  <c r="G13" i="15"/>
  <c r="I13" i="15" s="1"/>
  <c r="G77" i="15"/>
  <c r="I77" i="15" s="1"/>
  <c r="G141" i="15"/>
  <c r="I141" i="15" s="1"/>
  <c r="G205" i="15"/>
  <c r="I205" i="15" s="1"/>
  <c r="G125" i="15"/>
  <c r="I125" i="15" s="1"/>
  <c r="G181" i="15"/>
  <c r="I181" i="15" s="1"/>
  <c r="G11" i="15"/>
  <c r="I11" i="15" s="1"/>
  <c r="G59" i="15"/>
  <c r="I59" i="15" s="1"/>
  <c r="G106" i="15"/>
  <c r="I106" i="15" s="1"/>
  <c r="G155" i="15"/>
  <c r="I155" i="15" s="1"/>
  <c r="G202" i="15"/>
  <c r="I202" i="15" s="1"/>
  <c r="G235" i="15"/>
  <c r="I235" i="15" s="1"/>
  <c r="G60" i="15"/>
  <c r="I60" i="15" s="1"/>
  <c r="G124" i="15"/>
  <c r="I124" i="15" s="1"/>
  <c r="G188" i="15"/>
  <c r="I188" i="15" s="1"/>
  <c r="G17" i="15"/>
  <c r="I17" i="15" s="1"/>
  <c r="G112" i="15"/>
  <c r="I112" i="15" s="1"/>
  <c r="G177" i="15"/>
  <c r="I177" i="15" s="1"/>
  <c r="G33" i="15"/>
  <c r="I33" i="15" s="1"/>
  <c r="G97" i="15"/>
  <c r="I97" i="15" s="1"/>
  <c r="G161" i="15"/>
  <c r="I161" i="15" s="1"/>
  <c r="G225" i="15"/>
  <c r="I225" i="15" s="1"/>
  <c r="G52" i="15"/>
  <c r="I52" i="15" s="1"/>
  <c r="G116" i="15"/>
  <c r="I116" i="15" s="1"/>
  <c r="G180" i="15"/>
  <c r="I180" i="15" s="1"/>
  <c r="G69" i="15"/>
  <c r="I69" i="15" s="1"/>
  <c r="G133" i="15"/>
  <c r="I133" i="15" s="1"/>
  <c r="G197" i="15"/>
  <c r="I197" i="15" s="1"/>
  <c r="G14" i="15"/>
  <c r="I14" i="15" s="1"/>
  <c r="G47" i="15"/>
  <c r="I47" i="15" s="1"/>
  <c r="G95" i="15"/>
  <c r="I95" i="15" s="1"/>
  <c r="G142" i="15"/>
  <c r="I142" i="15" s="1"/>
  <c r="G222" i="15"/>
  <c r="I222" i="15" s="1"/>
  <c r="G16" i="15"/>
  <c r="I16" i="15" s="1"/>
  <c r="G80" i="15"/>
  <c r="I80" i="15" s="1"/>
  <c r="G144" i="15"/>
  <c r="I144" i="15" s="1"/>
  <c r="G208" i="15"/>
  <c r="I208" i="15" s="1"/>
  <c r="G221" i="15"/>
  <c r="I221" i="15" s="1"/>
  <c r="G51" i="15"/>
  <c r="I51" i="15" s="1"/>
  <c r="G99" i="15"/>
  <c r="I99" i="15" s="1"/>
  <c r="G179" i="15"/>
  <c r="I179" i="15" s="1"/>
  <c r="G227" i="15"/>
  <c r="I227" i="15" s="1"/>
  <c r="G23" i="15"/>
  <c r="I23" i="15" s="1"/>
  <c r="G119" i="15"/>
  <c r="I119" i="15" s="1"/>
  <c r="G72" i="15"/>
  <c r="I72" i="15" s="1"/>
  <c r="G169" i="15"/>
  <c r="I169" i="15" s="1"/>
  <c r="G12" i="15"/>
  <c r="I12" i="15" s="1"/>
  <c r="G140" i="15"/>
  <c r="I140" i="15" s="1"/>
  <c r="G91" i="15"/>
  <c r="I91" i="15" s="1"/>
  <c r="G234" i="15"/>
  <c r="I234" i="15" s="1"/>
  <c r="G66" i="15"/>
  <c r="I66" i="15" s="1"/>
  <c r="G194" i="15"/>
  <c r="I194" i="15" s="1"/>
  <c r="G85" i="15"/>
  <c r="I85" i="15" s="1"/>
  <c r="G213" i="15"/>
  <c r="I213" i="15" s="1"/>
  <c r="G39" i="15"/>
  <c r="I39" i="15" s="1"/>
  <c r="G71" i="15"/>
  <c r="I71" i="15" s="1"/>
  <c r="G103" i="15"/>
  <c r="I103" i="15" s="1"/>
  <c r="G135" i="15"/>
  <c r="I135" i="15" s="1"/>
  <c r="G183" i="15"/>
  <c r="I183" i="15" s="1"/>
  <c r="G230" i="15"/>
  <c r="I230" i="15" s="1"/>
  <c r="G40" i="15"/>
  <c r="I40" i="15" s="1"/>
  <c r="G104" i="15"/>
  <c r="I104" i="15" s="1"/>
  <c r="G168" i="15"/>
  <c r="I168" i="15" s="1"/>
  <c r="G232" i="15"/>
  <c r="I232" i="15" s="1"/>
  <c r="G105" i="15"/>
  <c r="I105" i="15" s="1"/>
  <c r="G233" i="15"/>
  <c r="I233" i="15" s="1"/>
  <c r="G58" i="15"/>
  <c r="I58" i="15" s="1"/>
  <c r="G217" i="15"/>
  <c r="I217" i="15" s="1"/>
  <c r="G62" i="15"/>
  <c r="I62" i="15" s="1"/>
  <c r="G126" i="15"/>
  <c r="I126" i="15" s="1"/>
  <c r="G182" i="15"/>
  <c r="I182" i="15" s="1"/>
  <c r="G27" i="15"/>
  <c r="I27" i="15" s="1"/>
  <c r="G74" i="15"/>
  <c r="I74" i="15" s="1"/>
  <c r="G107" i="15"/>
  <c r="I107" i="15" s="1"/>
  <c r="G203" i="15"/>
  <c r="I203" i="15" s="1"/>
  <c r="G48" i="15"/>
  <c r="I48" i="15" s="1"/>
  <c r="G113" i="15"/>
  <c r="I113" i="15" s="1"/>
  <c r="G209" i="15"/>
  <c r="I209" i="15" s="1"/>
  <c r="G34" i="15"/>
  <c r="I34" i="15" s="1"/>
  <c r="G98" i="15"/>
  <c r="I98" i="15" s="1"/>
  <c r="G162" i="15"/>
  <c r="I162" i="15" s="1"/>
  <c r="G226" i="15"/>
  <c r="I226" i="15" s="1"/>
  <c r="G53" i="15"/>
  <c r="I53" i="15" s="1"/>
  <c r="G117" i="15"/>
  <c r="I117" i="15" s="1"/>
  <c r="G198" i="15"/>
  <c r="I198" i="15" s="1"/>
  <c r="G15" i="15"/>
  <c r="I15" i="15" s="1"/>
  <c r="G63" i="15"/>
  <c r="I63" i="15" s="1"/>
  <c r="G110" i="15"/>
  <c r="I110" i="15" s="1"/>
  <c r="G143" i="15"/>
  <c r="I143" i="15" s="1"/>
  <c r="G191" i="15"/>
  <c r="I191" i="15" s="1"/>
  <c r="G223" i="15"/>
  <c r="I223" i="15" s="1"/>
  <c r="G32" i="15"/>
  <c r="I32" i="15" s="1"/>
  <c r="G96" i="15"/>
  <c r="I96" i="15" s="1"/>
  <c r="G160" i="15"/>
  <c r="I160" i="15" s="1"/>
  <c r="G224" i="15"/>
  <c r="I224" i="15" s="1"/>
  <c r="G19" i="15"/>
  <c r="I19" i="15" s="1"/>
  <c r="G67" i="15"/>
  <c r="I67" i="15" s="1"/>
  <c r="G147" i="15"/>
  <c r="I147" i="15" s="1"/>
  <c r="G195" i="15"/>
  <c r="I195" i="15" s="1"/>
  <c r="G243" i="15"/>
  <c r="I243" i="15" s="1"/>
  <c r="G68" i="15"/>
  <c r="I68" i="15" s="1"/>
  <c r="G132" i="15"/>
  <c r="I132" i="15" s="1"/>
  <c r="G196" i="15"/>
  <c r="I196" i="15" s="1"/>
  <c r="G229" i="15"/>
  <c r="I229" i="15" s="1"/>
  <c r="G55" i="15"/>
  <c r="I55" i="15" s="1"/>
  <c r="G151" i="15"/>
  <c r="I151" i="15" s="1"/>
  <c r="G136" i="15"/>
  <c r="I136" i="15" s="1"/>
  <c r="G90" i="15"/>
  <c r="I90" i="15" s="1"/>
  <c r="G43" i="15"/>
  <c r="I43" i="15" s="1"/>
  <c r="G81" i="15"/>
  <c r="I81" i="15" s="1"/>
  <c r="G22" i="15"/>
  <c r="I22" i="15" s="1"/>
  <c r="G54" i="15"/>
  <c r="I54" i="15" s="1"/>
  <c r="G86" i="15"/>
  <c r="I86" i="15" s="1"/>
  <c r="G118" i="15"/>
  <c r="I118" i="15" s="1"/>
  <c r="G150" i="15"/>
  <c r="I150" i="15" s="1"/>
  <c r="G199" i="15"/>
  <c r="I199" i="15" s="1"/>
  <c r="G231" i="15"/>
  <c r="I231" i="15" s="1"/>
  <c r="G56" i="15"/>
  <c r="I56" i="15" s="1"/>
  <c r="G120" i="15"/>
  <c r="I120" i="15" s="1"/>
  <c r="G184" i="15"/>
  <c r="I184" i="15" s="1"/>
  <c r="G9" i="15"/>
  <c r="I9" i="15" s="1"/>
  <c r="G137" i="15"/>
  <c r="I137" i="15" s="1"/>
  <c r="G89" i="15"/>
  <c r="I89" i="15" s="1"/>
  <c r="G154" i="15"/>
  <c r="I154" i="15" s="1"/>
  <c r="G218" i="15"/>
  <c r="I218" i="15" s="1"/>
  <c r="G45" i="15"/>
  <c r="I45" i="15" s="1"/>
  <c r="G109" i="15"/>
  <c r="I109" i="15" s="1"/>
  <c r="G173" i="15"/>
  <c r="I173" i="15" s="1"/>
  <c r="G237" i="15"/>
  <c r="I237" i="15" s="1"/>
  <c r="G93" i="15"/>
  <c r="I93" i="15" s="1"/>
  <c r="G157" i="15"/>
  <c r="I157" i="15" s="1"/>
  <c r="G75" i="15"/>
  <c r="I75" i="15" s="1"/>
  <c r="G123" i="15"/>
  <c r="I123" i="15" s="1"/>
  <c r="G171" i="15"/>
  <c r="I171" i="15" s="1"/>
  <c r="G219" i="15"/>
  <c r="I219" i="15" s="1"/>
  <c r="G28" i="15"/>
  <c r="I28" i="15" s="1"/>
  <c r="G92" i="15"/>
  <c r="I92" i="15" s="1"/>
  <c r="G156" i="15"/>
  <c r="I156" i="15" s="1"/>
  <c r="G220" i="15"/>
  <c r="I220" i="15" s="1"/>
  <c r="G49" i="15"/>
  <c r="I49" i="15" s="1"/>
  <c r="G145" i="15"/>
  <c r="I145" i="15" s="1"/>
  <c r="G240" i="15"/>
  <c r="I240" i="15" s="1"/>
  <c r="G65" i="15"/>
  <c r="I65" i="15" s="1"/>
  <c r="G193" i="15"/>
  <c r="I193" i="15" s="1"/>
  <c r="G20" i="15"/>
  <c r="I20" i="15" s="1"/>
  <c r="G84" i="15"/>
  <c r="I84" i="15" s="1"/>
  <c r="G148" i="15"/>
  <c r="I148" i="15" s="1"/>
  <c r="G212" i="15"/>
  <c r="I212" i="15" s="1"/>
  <c r="G101" i="15"/>
  <c r="I101" i="15" s="1"/>
  <c r="G174" i="15"/>
  <c r="I174" i="15" s="1"/>
  <c r="G31" i="15"/>
  <c r="I31" i="15" s="1"/>
  <c r="G111" i="15"/>
  <c r="I111" i="15" s="1"/>
  <c r="G159" i="15"/>
  <c r="I159" i="15" s="1"/>
  <c r="G206" i="15"/>
  <c r="I206" i="15" s="1"/>
  <c r="G121" i="15"/>
  <c r="I121" i="15" s="1"/>
  <c r="G10" i="15"/>
  <c r="I10" i="15" s="1"/>
  <c r="G138" i="15"/>
  <c r="I138" i="15" s="1"/>
  <c r="G29" i="15"/>
  <c r="I29" i="15" s="1"/>
  <c r="G35" i="15"/>
  <c r="I35" i="15" s="1"/>
  <c r="G82" i="15"/>
  <c r="I82" i="15" s="1"/>
  <c r="G115" i="15"/>
  <c r="I115" i="15" s="1"/>
  <c r="G163" i="15"/>
  <c r="I163" i="15" s="1"/>
  <c r="G210" i="15"/>
  <c r="I210" i="15" s="1"/>
  <c r="G242" i="15"/>
  <c r="I242" i="15" s="1"/>
  <c r="I21" i="16"/>
  <c r="I230" i="16"/>
  <c r="I159" i="16"/>
  <c r="I214" i="16"/>
  <c r="I233" i="16"/>
  <c r="I34" i="16"/>
  <c r="I119" i="16"/>
  <c r="I162" i="16"/>
  <c r="I112" i="16"/>
  <c r="I96" i="16"/>
  <c r="I45" i="16"/>
  <c r="I77" i="16"/>
  <c r="I18" i="16"/>
  <c r="I14" i="16"/>
  <c r="I78" i="16"/>
  <c r="I15" i="16"/>
  <c r="I22" i="16"/>
  <c r="I107" i="16"/>
  <c r="I193" i="16"/>
  <c r="I194" i="16"/>
  <c r="I37" i="16"/>
  <c r="I69" i="16"/>
  <c r="I101" i="16"/>
  <c r="I133" i="16"/>
  <c r="I165" i="16"/>
  <c r="I197" i="16"/>
  <c r="I229" i="16"/>
  <c r="I28" i="16"/>
  <c r="I71" i="16"/>
  <c r="I135" i="16"/>
  <c r="I178" i="16"/>
  <c r="I220" i="16"/>
  <c r="I67" i="16"/>
  <c r="I131" i="16"/>
  <c r="I216" i="16"/>
  <c r="I122" i="16"/>
  <c r="I59" i="16"/>
  <c r="I105" i="16"/>
  <c r="I137" i="16"/>
  <c r="I201" i="16"/>
  <c r="I30" i="16"/>
  <c r="I222" i="16"/>
  <c r="I47" i="16"/>
  <c r="I175" i="16"/>
  <c r="I240" i="16"/>
  <c r="I170" i="16"/>
  <c r="I224" i="16"/>
  <c r="I189" i="16"/>
  <c r="I82" i="16"/>
  <c r="I167" i="16"/>
  <c r="I210" i="16"/>
  <c r="I150" i="16"/>
  <c r="I235" i="16"/>
  <c r="I87" i="16"/>
  <c r="I151" i="16"/>
  <c r="I62" i="16"/>
  <c r="I147" i="16"/>
  <c r="I74" i="16"/>
  <c r="I51" i="16"/>
  <c r="I115" i="16"/>
  <c r="I61" i="16"/>
  <c r="I125" i="16"/>
  <c r="I237" i="16"/>
  <c r="I39" i="16"/>
  <c r="I231" i="16"/>
  <c r="I99" i="16"/>
  <c r="I163" i="16"/>
  <c r="I186" i="16"/>
  <c r="I208" i="16"/>
  <c r="I64" i="16"/>
  <c r="I65" i="16"/>
  <c r="I8" i="15"/>
  <c r="H8" i="15"/>
  <c r="I7" i="15"/>
  <c r="H7" i="15"/>
  <c r="I53" i="16"/>
  <c r="I85" i="16"/>
  <c r="I117" i="16"/>
  <c r="I149" i="16"/>
  <c r="I181" i="16"/>
  <c r="I213" i="16"/>
  <c r="I7" i="16"/>
  <c r="H7" i="16"/>
  <c r="I50" i="16"/>
  <c r="I114" i="16"/>
  <c r="I156" i="16"/>
  <c r="I199" i="16"/>
  <c r="I24" i="16"/>
  <c r="I110" i="16"/>
  <c r="I174" i="16"/>
  <c r="I36" i="16"/>
  <c r="I207" i="16"/>
  <c r="I144" i="16"/>
  <c r="I128" i="16"/>
  <c r="I25" i="16"/>
  <c r="I153" i="16"/>
  <c r="I185" i="16"/>
  <c r="I90" i="16"/>
  <c r="I218" i="16"/>
  <c r="I42" i="16"/>
  <c r="I205" i="16"/>
  <c r="I103" i="16"/>
  <c r="I146" i="16"/>
  <c r="I80" i="16"/>
  <c r="I192" i="16"/>
  <c r="I241" i="16"/>
  <c r="I19" i="16"/>
  <c r="I190" i="16"/>
  <c r="I91" i="16"/>
  <c r="I68" i="16"/>
  <c r="I100" i="16"/>
  <c r="I132" i="16"/>
  <c r="I164" i="16"/>
  <c r="I196" i="16"/>
  <c r="I228" i="16"/>
  <c r="I27" i="16"/>
  <c r="I70" i="16"/>
  <c r="I134" i="16"/>
  <c r="I177" i="16"/>
  <c r="I219" i="16"/>
  <c r="I66" i="16"/>
  <c r="I130" i="16"/>
  <c r="I215" i="16"/>
  <c r="I121" i="16"/>
  <c r="I58" i="16"/>
  <c r="I158" i="16"/>
  <c r="I16" i="16"/>
  <c r="I48" i="16"/>
  <c r="I176" i="16"/>
  <c r="I43" i="16"/>
  <c r="I86" i="16"/>
  <c r="I129" i="16"/>
  <c r="I171" i="16"/>
  <c r="I238" i="16"/>
  <c r="I31" i="16"/>
  <c r="I202" i="16"/>
  <c r="I56" i="16"/>
  <c r="I88" i="16"/>
  <c r="I120" i="16"/>
  <c r="I152" i="16"/>
  <c r="I184" i="16"/>
  <c r="I11" i="16"/>
  <c r="I54" i="16"/>
  <c r="I97" i="16"/>
  <c r="I139" i="16"/>
  <c r="I182" i="16"/>
  <c r="I225" i="16"/>
  <c r="I29" i="16"/>
  <c r="I157" i="16"/>
  <c r="I242" i="16"/>
  <c r="I89" i="16"/>
  <c r="I26" i="16"/>
  <c r="I111" i="16"/>
  <c r="I41" i="16"/>
  <c r="I126" i="16"/>
  <c r="I211" i="16"/>
  <c r="I138" i="16"/>
  <c r="I223" i="16"/>
  <c r="I60" i="16"/>
  <c r="I92" i="16"/>
  <c r="I124" i="16"/>
  <c r="I188" i="16"/>
  <c r="I17" i="16"/>
  <c r="I102" i="16"/>
  <c r="I145" i="16"/>
  <c r="I187" i="16"/>
  <c r="I63" i="16"/>
  <c r="I234" i="16"/>
  <c r="I127" i="16"/>
  <c r="I6" i="15"/>
  <c r="H6" i="15"/>
  <c r="I20" i="16"/>
  <c r="I52" i="16"/>
  <c r="I84" i="16"/>
  <c r="I116" i="16"/>
  <c r="I148" i="16"/>
  <c r="I180" i="16"/>
  <c r="I212" i="16"/>
  <c r="I6" i="16"/>
  <c r="H6" i="16"/>
  <c r="I49" i="16"/>
  <c r="I113" i="16"/>
  <c r="I155" i="16"/>
  <c r="I198" i="16"/>
  <c r="I23" i="16"/>
  <c r="I109" i="16"/>
  <c r="I173" i="16"/>
  <c r="I206" i="16"/>
  <c r="I143" i="16"/>
  <c r="I73" i="16"/>
  <c r="I243" i="16"/>
  <c r="I32" i="16"/>
  <c r="I160" i="16"/>
  <c r="I195" i="16"/>
  <c r="I5" i="16"/>
  <c r="H5" i="16"/>
  <c r="I5" i="15"/>
  <c r="H5" i="15"/>
  <c r="I8" i="16"/>
  <c r="H8" i="16"/>
  <c r="I40" i="16"/>
  <c r="I72" i="16"/>
  <c r="I104" i="16"/>
  <c r="I136" i="16"/>
  <c r="I168" i="16"/>
  <c r="I200" i="16"/>
  <c r="I232" i="16"/>
  <c r="I33" i="16"/>
  <c r="I75" i="16"/>
  <c r="I118" i="16"/>
  <c r="I161" i="16"/>
  <c r="I203" i="16"/>
  <c r="I93" i="16"/>
  <c r="I221" i="16"/>
  <c r="I46" i="16"/>
  <c r="I217" i="16"/>
  <c r="I154" i="16"/>
  <c r="I239" i="16"/>
  <c r="I83" i="16"/>
  <c r="I169" i="16"/>
  <c r="I10" i="16"/>
  <c r="H10" i="16"/>
  <c r="I95" i="16"/>
  <c r="I12" i="16"/>
  <c r="I44" i="16"/>
  <c r="I76" i="16"/>
  <c r="I108" i="16"/>
  <c r="I140" i="16"/>
  <c r="I172" i="16"/>
  <c r="I204" i="16"/>
  <c r="I236" i="16"/>
  <c r="I38" i="16"/>
  <c r="I81" i="16"/>
  <c r="I123" i="16"/>
  <c r="I166" i="16"/>
  <c r="I209" i="16"/>
  <c r="I13" i="16"/>
  <c r="I55" i="16"/>
  <c r="I98" i="16"/>
  <c r="I141" i="16"/>
  <c r="I183" i="16"/>
  <c r="I226" i="16"/>
  <c r="I57" i="16"/>
  <c r="I142" i="16"/>
  <c r="I227" i="16"/>
  <c r="I79" i="16"/>
  <c r="I9" i="16"/>
  <c r="H9" i="16"/>
  <c r="I94" i="16"/>
  <c r="I179" i="16"/>
  <c r="I106" i="16"/>
  <c r="I191" i="16"/>
  <c r="F12" i="42"/>
  <c r="D13" i="42"/>
  <c r="C13" i="42"/>
  <c r="E14" i="42"/>
  <c r="A15" i="42"/>
  <c r="B14" i="42"/>
  <c r="F87" i="8" l="1"/>
  <c r="F79" i="8"/>
  <c r="F71" i="8"/>
  <c r="F63" i="8"/>
  <c r="F190" i="8"/>
  <c r="F126" i="8"/>
  <c r="F62" i="8"/>
  <c r="F235" i="8"/>
  <c r="F171" i="8"/>
  <c r="F107" i="8"/>
  <c r="F43" i="8"/>
  <c r="F218" i="8"/>
  <c r="F154" i="8"/>
  <c r="F90" i="8"/>
  <c r="F26" i="8"/>
  <c r="F225" i="8"/>
  <c r="F193" i="8"/>
  <c r="F145" i="8"/>
  <c r="F113" i="8"/>
  <c r="F81" i="8"/>
  <c r="F49" i="8"/>
  <c r="F17" i="8"/>
  <c r="F224" i="8"/>
  <c r="F192" i="8"/>
  <c r="F160" i="8"/>
  <c r="F144" i="8"/>
  <c r="F128" i="8"/>
  <c r="F112" i="8"/>
  <c r="F96" i="8"/>
  <c r="F80" i="8"/>
  <c r="F64" i="8"/>
  <c r="F32" i="8"/>
  <c r="F16" i="8"/>
  <c r="F215" i="8"/>
  <c r="F207" i="8"/>
  <c r="F199" i="8"/>
  <c r="F191" i="8"/>
  <c r="F222" i="8"/>
  <c r="F158" i="8"/>
  <c r="F94" i="8"/>
  <c r="F30" i="8"/>
  <c r="F203" i="8"/>
  <c r="F139" i="8"/>
  <c r="F75" i="8"/>
  <c r="F11" i="8"/>
  <c r="F186" i="8"/>
  <c r="F122" i="8"/>
  <c r="F58" i="8"/>
  <c r="F241" i="8"/>
  <c r="F209" i="8"/>
  <c r="F177" i="8"/>
  <c r="F161" i="8"/>
  <c r="F129" i="8"/>
  <c r="F97" i="8"/>
  <c r="F65" i="8"/>
  <c r="F33" i="8"/>
  <c r="F240" i="8"/>
  <c r="F208" i="8"/>
  <c r="F176" i="8"/>
  <c r="F48" i="8"/>
  <c r="F183" i="8"/>
  <c r="F55" i="8"/>
  <c r="F175" i="8"/>
  <c r="F47" i="8"/>
  <c r="F167" i="8"/>
  <c r="F39" i="8"/>
  <c r="F159" i="8"/>
  <c r="F31" i="8"/>
  <c r="F214" i="8"/>
  <c r="F182" i="8"/>
  <c r="F150" i="8"/>
  <c r="F118" i="8"/>
  <c r="F86" i="8"/>
  <c r="F54" i="8"/>
  <c r="F22" i="8"/>
  <c r="F227" i="8"/>
  <c r="F195" i="8"/>
  <c r="F163" i="8"/>
  <c r="F131" i="8"/>
  <c r="F99" i="8"/>
  <c r="F67" i="8"/>
  <c r="F35" i="8"/>
  <c r="F242" i="8"/>
  <c r="F210" i="8"/>
  <c r="F178" i="8"/>
  <c r="F146" i="8"/>
  <c r="F114" i="8"/>
  <c r="F82" i="8"/>
  <c r="F50" i="8"/>
  <c r="F18" i="8"/>
  <c r="F237" i="8"/>
  <c r="F221" i="8"/>
  <c r="F205" i="8"/>
  <c r="F189" i="8"/>
  <c r="F173" i="8"/>
  <c r="F157" i="8"/>
  <c r="F141" i="8"/>
  <c r="F125" i="8"/>
  <c r="F109" i="8"/>
  <c r="F93" i="8"/>
  <c r="F77" i="8"/>
  <c r="F61" i="8"/>
  <c r="F45" i="8"/>
  <c r="F29" i="8"/>
  <c r="F13" i="8"/>
  <c r="F236" i="8"/>
  <c r="F220" i="8"/>
  <c r="F204" i="8"/>
  <c r="F188" i="8"/>
  <c r="F172" i="8"/>
  <c r="F156" i="8"/>
  <c r="F140" i="8"/>
  <c r="F124" i="8"/>
  <c r="F108" i="8"/>
  <c r="F92" i="8"/>
  <c r="F76" i="8"/>
  <c r="F60" i="8"/>
  <c r="F44" i="8"/>
  <c r="F28" i="8"/>
  <c r="F12" i="8"/>
  <c r="F151" i="8"/>
  <c r="F23" i="8"/>
  <c r="F143" i="8"/>
  <c r="F15" i="8"/>
  <c r="F135" i="8"/>
  <c r="F7" i="8"/>
  <c r="F127" i="8"/>
  <c r="F238" i="8"/>
  <c r="F206" i="8"/>
  <c r="F174" i="8"/>
  <c r="F142" i="8"/>
  <c r="F110" i="8"/>
  <c r="F78" i="8"/>
  <c r="F46" i="8"/>
  <c r="F14" i="8"/>
  <c r="F219" i="8"/>
  <c r="F187" i="8"/>
  <c r="F155" i="8"/>
  <c r="F123" i="8"/>
  <c r="F91" i="8"/>
  <c r="F59" i="8"/>
  <c r="F27" i="8"/>
  <c r="F234" i="8"/>
  <c r="F202" i="8"/>
  <c r="F170" i="8"/>
  <c r="F138" i="8"/>
  <c r="F106" i="8"/>
  <c r="F74" i="8"/>
  <c r="F42" i="8"/>
  <c r="F10" i="8"/>
  <c r="F233" i="8"/>
  <c r="F217" i="8"/>
  <c r="F201" i="8"/>
  <c r="F185" i="8"/>
  <c r="F169" i="8"/>
  <c r="F153" i="8"/>
  <c r="F137" i="8"/>
  <c r="F121" i="8"/>
  <c r="F105" i="8"/>
  <c r="F89" i="8"/>
  <c r="F73" i="8"/>
  <c r="F57" i="8"/>
  <c r="F41" i="8"/>
  <c r="F25" i="8"/>
  <c r="F9" i="8"/>
  <c r="F232" i="8"/>
  <c r="F216" i="8"/>
  <c r="F200" i="8"/>
  <c r="F184" i="8"/>
  <c r="F168" i="8"/>
  <c r="F152" i="8"/>
  <c r="F136" i="8"/>
  <c r="F120" i="8"/>
  <c r="F104" i="8"/>
  <c r="F88" i="8"/>
  <c r="F72" i="8"/>
  <c r="F56" i="8"/>
  <c r="F40" i="8"/>
  <c r="F24" i="8"/>
  <c r="F8" i="8"/>
  <c r="F119" i="8"/>
  <c r="F239" i="8"/>
  <c r="F111" i="8"/>
  <c r="F231" i="8"/>
  <c r="F103" i="8"/>
  <c r="F223" i="8"/>
  <c r="F95" i="8"/>
  <c r="F230" i="8"/>
  <c r="F198" i="8"/>
  <c r="F166" i="8"/>
  <c r="F134" i="8"/>
  <c r="F102" i="8"/>
  <c r="F70" i="8"/>
  <c r="F38" i="8"/>
  <c r="F211" i="8"/>
  <c r="F179" i="8"/>
  <c r="F147" i="8"/>
  <c r="F115" i="8"/>
  <c r="F83" i="8"/>
  <c r="F51" i="8"/>
  <c r="F19" i="8"/>
  <c r="F226" i="8"/>
  <c r="F194" i="8"/>
  <c r="F162" i="8"/>
  <c r="F130" i="8"/>
  <c r="F98" i="8"/>
  <c r="F66" i="8"/>
  <c r="F34" i="8"/>
  <c r="F6" i="8"/>
  <c r="G6" i="8" s="1"/>
  <c r="F5" i="8"/>
  <c r="G5" i="8" s="1"/>
  <c r="F229" i="8"/>
  <c r="F213" i="8"/>
  <c r="F197" i="8"/>
  <c r="F181" i="8"/>
  <c r="F165" i="8"/>
  <c r="F149" i="8"/>
  <c r="F133" i="8"/>
  <c r="F117" i="8"/>
  <c r="F101" i="8"/>
  <c r="F85" i="8"/>
  <c r="F69" i="8"/>
  <c r="F53" i="8"/>
  <c r="F37" i="8"/>
  <c r="F21" i="8"/>
  <c r="F228" i="8"/>
  <c r="F212" i="8"/>
  <c r="F196" i="8"/>
  <c r="F180" i="8"/>
  <c r="F164" i="8"/>
  <c r="F148" i="8"/>
  <c r="F132" i="8"/>
  <c r="F116" i="8"/>
  <c r="F100" i="8"/>
  <c r="F84" i="8"/>
  <c r="F68" i="8"/>
  <c r="F52" i="8"/>
  <c r="F36" i="8"/>
  <c r="F20" i="8"/>
  <c r="I3" i="8"/>
  <c r="F13" i="42"/>
  <c r="E15" i="42"/>
  <c r="B15" i="42"/>
  <c r="A16" i="42"/>
  <c r="D14" i="42"/>
  <c r="C14" i="42"/>
  <c r="G8" i="8" l="1"/>
  <c r="I8" i="8" s="1"/>
  <c r="G36" i="8"/>
  <c r="I36" i="8" s="1"/>
  <c r="G100" i="8"/>
  <c r="I100" i="8" s="1"/>
  <c r="G132" i="8"/>
  <c r="I132" i="8" s="1"/>
  <c r="G196" i="8"/>
  <c r="I196" i="8" s="1"/>
  <c r="G228" i="8"/>
  <c r="I228" i="8" s="1"/>
  <c r="G69" i="8"/>
  <c r="I69" i="8" s="1"/>
  <c r="G133" i="8"/>
  <c r="I133" i="8" s="1"/>
  <c r="G197" i="8"/>
  <c r="I197" i="8" s="1"/>
  <c r="G66" i="8"/>
  <c r="I66" i="8" s="1"/>
  <c r="G130" i="8"/>
  <c r="I130" i="8" s="1"/>
  <c r="G194" i="8"/>
  <c r="I194" i="8" s="1"/>
  <c r="G70" i="8"/>
  <c r="I70" i="8" s="1"/>
  <c r="G198" i="8"/>
  <c r="I198" i="8" s="1"/>
  <c r="G222" i="8"/>
  <c r="I222" i="8" s="1"/>
  <c r="G110" i="8"/>
  <c r="I110" i="8" s="1"/>
  <c r="G118" i="8"/>
  <c r="I118" i="8" s="1"/>
  <c r="G23" i="8"/>
  <c r="I23" i="8" s="1"/>
  <c r="G55" i="8"/>
  <c r="I55" i="8" s="1"/>
  <c r="G87" i="8"/>
  <c r="I87" i="8" s="1"/>
  <c r="G135" i="8"/>
  <c r="I135" i="8" s="1"/>
  <c r="G167" i="8"/>
  <c r="I167" i="8" s="1"/>
  <c r="G199" i="8"/>
  <c r="I199" i="8" s="1"/>
  <c r="G232" i="8"/>
  <c r="I232" i="8" s="1"/>
  <c r="G41" i="8"/>
  <c r="I41" i="8" s="1"/>
  <c r="G105" i="8"/>
  <c r="I105" i="8" s="1"/>
  <c r="G169" i="8"/>
  <c r="I169" i="8" s="1"/>
  <c r="G233" i="8"/>
  <c r="I233" i="8" s="1"/>
  <c r="G106" i="8"/>
  <c r="I106" i="8" s="1"/>
  <c r="G234" i="8"/>
  <c r="I234" i="8" s="1"/>
  <c r="G59" i="8"/>
  <c r="I59" i="8" s="1"/>
  <c r="G123" i="8"/>
  <c r="I123" i="8" s="1"/>
  <c r="G187" i="8"/>
  <c r="I187" i="8" s="1"/>
  <c r="G14" i="8"/>
  <c r="I14" i="8" s="1"/>
  <c r="G78" i="8"/>
  <c r="I78" i="8" s="1"/>
  <c r="G142" i="8"/>
  <c r="I142" i="8" s="1"/>
  <c r="G206" i="8"/>
  <c r="I206" i="8" s="1"/>
  <c r="G127" i="8"/>
  <c r="I127" i="8" s="1"/>
  <c r="G143" i="8"/>
  <c r="I143" i="8" s="1"/>
  <c r="G11" i="8"/>
  <c r="I11" i="8" s="1"/>
  <c r="G44" i="8"/>
  <c r="I44" i="8" s="1"/>
  <c r="G92" i="8"/>
  <c r="I92" i="8" s="1"/>
  <c r="G140" i="8"/>
  <c r="I140" i="8" s="1"/>
  <c r="G188" i="8"/>
  <c r="I188" i="8" s="1"/>
  <c r="G235" i="8"/>
  <c r="I235" i="8" s="1"/>
  <c r="G145" i="8"/>
  <c r="I145" i="8" s="1"/>
  <c r="G150" i="8"/>
  <c r="I150" i="8" s="1"/>
  <c r="G159" i="8"/>
  <c r="I159" i="8" s="1"/>
  <c r="G175" i="8"/>
  <c r="I175" i="8" s="1"/>
  <c r="G176" i="8"/>
  <c r="I176" i="8" s="1"/>
  <c r="G128" i="8"/>
  <c r="I128" i="8" s="1"/>
  <c r="G177" i="8"/>
  <c r="I177" i="8" s="1"/>
  <c r="G139" i="8"/>
  <c r="I139" i="8" s="1"/>
  <c r="G158" i="8"/>
  <c r="I158" i="8" s="1"/>
  <c r="G207" i="8"/>
  <c r="I207" i="8" s="1"/>
  <c r="G63" i="8"/>
  <c r="I63" i="8" s="1"/>
  <c r="G112" i="8"/>
  <c r="I112" i="8" s="1"/>
  <c r="G192" i="8"/>
  <c r="I192" i="8" s="1"/>
  <c r="G19" i="8"/>
  <c r="I19" i="8" s="1"/>
  <c r="G51" i="8"/>
  <c r="I51" i="8" s="1"/>
  <c r="G83" i="8"/>
  <c r="I83" i="8" s="1"/>
  <c r="G115" i="8"/>
  <c r="I115" i="8" s="1"/>
  <c r="G147" i="8"/>
  <c r="I147" i="8" s="1"/>
  <c r="G179" i="8"/>
  <c r="I179" i="8" s="1"/>
  <c r="G211" i="8"/>
  <c r="I211" i="8" s="1"/>
  <c r="G21" i="8"/>
  <c r="I21" i="8" s="1"/>
  <c r="G85" i="8"/>
  <c r="I85" i="8" s="1"/>
  <c r="G149" i="8"/>
  <c r="I149" i="8" s="1"/>
  <c r="G213" i="8"/>
  <c r="I213" i="8" s="1"/>
  <c r="G33" i="8"/>
  <c r="I33" i="8" s="1"/>
  <c r="G97" i="8"/>
  <c r="I97" i="8" s="1"/>
  <c r="G161" i="8"/>
  <c r="I161" i="8" s="1"/>
  <c r="G225" i="8"/>
  <c r="I225" i="8" s="1"/>
  <c r="G50" i="8"/>
  <c r="I50" i="8" s="1"/>
  <c r="G114" i="8"/>
  <c r="I114" i="8" s="1"/>
  <c r="G178" i="8"/>
  <c r="I178" i="8" s="1"/>
  <c r="G242" i="8"/>
  <c r="I242" i="8" s="1"/>
  <c r="G102" i="8"/>
  <c r="I102" i="8" s="1"/>
  <c r="G230" i="8"/>
  <c r="I230" i="8" s="1"/>
  <c r="G223" i="8"/>
  <c r="I223" i="8" s="1"/>
  <c r="G111" i="8"/>
  <c r="I111" i="8" s="1"/>
  <c r="G119" i="8"/>
  <c r="I119" i="8" s="1"/>
  <c r="G24" i="8"/>
  <c r="I24" i="8" s="1"/>
  <c r="G56" i="8"/>
  <c r="I56" i="8" s="1"/>
  <c r="G88" i="8"/>
  <c r="I88" i="8" s="1"/>
  <c r="G136" i="8"/>
  <c r="I136" i="8" s="1"/>
  <c r="G168" i="8"/>
  <c r="I168" i="8" s="1"/>
  <c r="G200" i="8"/>
  <c r="I200" i="8" s="1"/>
  <c r="G57" i="8"/>
  <c r="I57" i="8" s="1"/>
  <c r="G121" i="8"/>
  <c r="I121" i="8" s="1"/>
  <c r="G185" i="8"/>
  <c r="I185" i="8" s="1"/>
  <c r="G10" i="8"/>
  <c r="I10" i="8" s="1"/>
  <c r="G138" i="8"/>
  <c r="I138" i="8" s="1"/>
  <c r="G26" i="8"/>
  <c r="I26" i="8" s="1"/>
  <c r="G90" i="8"/>
  <c r="I90" i="8" s="1"/>
  <c r="G154" i="8"/>
  <c r="I154" i="8" s="1"/>
  <c r="G218" i="8"/>
  <c r="I218" i="8" s="1"/>
  <c r="G45" i="8"/>
  <c r="I45" i="8" s="1"/>
  <c r="G109" i="8"/>
  <c r="I109" i="8" s="1"/>
  <c r="G173" i="8"/>
  <c r="I173" i="8" s="1"/>
  <c r="G237" i="8"/>
  <c r="I237" i="8" s="1"/>
  <c r="G22" i="8"/>
  <c r="I22" i="8" s="1"/>
  <c r="G12" i="8"/>
  <c r="I12" i="8" s="1"/>
  <c r="G60" i="8"/>
  <c r="I60" i="8" s="1"/>
  <c r="G107" i="8"/>
  <c r="I107" i="8" s="1"/>
  <c r="G156" i="8"/>
  <c r="I156" i="8" s="1"/>
  <c r="G203" i="8"/>
  <c r="I203" i="8" s="1"/>
  <c r="G236" i="8"/>
  <c r="I236" i="8" s="1"/>
  <c r="G61" i="8"/>
  <c r="I61" i="8" s="1"/>
  <c r="G125" i="8"/>
  <c r="I125" i="8" s="1"/>
  <c r="G189" i="8"/>
  <c r="I189" i="8" s="1"/>
  <c r="G17" i="8"/>
  <c r="I17" i="8" s="1"/>
  <c r="G81" i="8"/>
  <c r="I81" i="8" s="1"/>
  <c r="G54" i="8"/>
  <c r="I54" i="8" s="1"/>
  <c r="G182" i="8"/>
  <c r="I182" i="8" s="1"/>
  <c r="G208" i="8"/>
  <c r="I208" i="8" s="1"/>
  <c r="G209" i="8"/>
  <c r="I209" i="8" s="1"/>
  <c r="G64" i="8"/>
  <c r="I64" i="8" s="1"/>
  <c r="G224" i="8"/>
  <c r="I224" i="8" s="1"/>
  <c r="G113" i="8"/>
  <c r="I113" i="8" s="1"/>
  <c r="G62" i="8"/>
  <c r="I62" i="8" s="1"/>
  <c r="G68" i="8"/>
  <c r="I68" i="8" s="1"/>
  <c r="G164" i="8"/>
  <c r="I164" i="8" s="1"/>
  <c r="G20" i="8"/>
  <c r="I20" i="8" s="1"/>
  <c r="G52" i="8"/>
  <c r="I52" i="8" s="1"/>
  <c r="G84" i="8"/>
  <c r="I84" i="8" s="1"/>
  <c r="G116" i="8"/>
  <c r="I116" i="8" s="1"/>
  <c r="G148" i="8"/>
  <c r="I148" i="8" s="1"/>
  <c r="G180" i="8"/>
  <c r="I180" i="8" s="1"/>
  <c r="G212" i="8"/>
  <c r="I212" i="8" s="1"/>
  <c r="G37" i="8"/>
  <c r="I37" i="8" s="1"/>
  <c r="G101" i="8"/>
  <c r="I101" i="8" s="1"/>
  <c r="G165" i="8"/>
  <c r="I165" i="8" s="1"/>
  <c r="G229" i="8"/>
  <c r="I229" i="8" s="1"/>
  <c r="G34" i="8"/>
  <c r="I34" i="8" s="1"/>
  <c r="G98" i="8"/>
  <c r="I98" i="8" s="1"/>
  <c r="G162" i="8"/>
  <c r="I162" i="8" s="1"/>
  <c r="G226" i="8"/>
  <c r="I226" i="8" s="1"/>
  <c r="G134" i="8"/>
  <c r="I134" i="8" s="1"/>
  <c r="G94" i="8"/>
  <c r="I94" i="8" s="1"/>
  <c r="G103" i="8"/>
  <c r="I103" i="8" s="1"/>
  <c r="G238" i="8"/>
  <c r="I238" i="8" s="1"/>
  <c r="G7" i="8"/>
  <c r="I7" i="8" s="1"/>
  <c r="G39" i="8"/>
  <c r="I39" i="8" s="1"/>
  <c r="G71" i="8"/>
  <c r="I71" i="8" s="1"/>
  <c r="G104" i="8"/>
  <c r="I104" i="8" s="1"/>
  <c r="G151" i="8"/>
  <c r="I151" i="8" s="1"/>
  <c r="G183" i="8"/>
  <c r="I183" i="8" s="1"/>
  <c r="G215" i="8"/>
  <c r="I215" i="8" s="1"/>
  <c r="G9" i="8"/>
  <c r="I9" i="8" s="1"/>
  <c r="G73" i="8"/>
  <c r="I73" i="8" s="1"/>
  <c r="G137" i="8"/>
  <c r="I137" i="8" s="1"/>
  <c r="G201" i="8"/>
  <c r="I201" i="8" s="1"/>
  <c r="G42" i="8"/>
  <c r="I42" i="8" s="1"/>
  <c r="G170" i="8"/>
  <c r="I170" i="8" s="1"/>
  <c r="G27" i="8"/>
  <c r="I27" i="8" s="1"/>
  <c r="G91" i="8"/>
  <c r="I91" i="8" s="1"/>
  <c r="G155" i="8"/>
  <c r="I155" i="8" s="1"/>
  <c r="G219" i="8"/>
  <c r="I219" i="8" s="1"/>
  <c r="G46" i="8"/>
  <c r="I46" i="8" s="1"/>
  <c r="G174" i="8"/>
  <c r="I174" i="8" s="1"/>
  <c r="G28" i="8"/>
  <c r="I28" i="8" s="1"/>
  <c r="G75" i="8"/>
  <c r="I75" i="8" s="1"/>
  <c r="G108" i="8"/>
  <c r="I108" i="8" s="1"/>
  <c r="G171" i="8"/>
  <c r="I171" i="8" s="1"/>
  <c r="G204" i="8"/>
  <c r="I204" i="8" s="1"/>
  <c r="G86" i="8"/>
  <c r="I86" i="8" s="1"/>
  <c r="G214" i="8"/>
  <c r="I214" i="8" s="1"/>
  <c r="G240" i="8"/>
  <c r="I240" i="8" s="1"/>
  <c r="G96" i="8"/>
  <c r="I96" i="8" s="1"/>
  <c r="G160" i="8"/>
  <c r="I160" i="8" s="1"/>
  <c r="G241" i="8"/>
  <c r="I241" i="8" s="1"/>
  <c r="G30" i="8"/>
  <c r="I30" i="8" s="1"/>
  <c r="G191" i="8"/>
  <c r="I191" i="8" s="1"/>
  <c r="G16" i="8"/>
  <c r="I16" i="8" s="1"/>
  <c r="G80" i="8"/>
  <c r="I80" i="8" s="1"/>
  <c r="G144" i="8"/>
  <c r="I144" i="8" s="1"/>
  <c r="G79" i="8"/>
  <c r="I79" i="8" s="1"/>
  <c r="G35" i="8"/>
  <c r="I35" i="8" s="1"/>
  <c r="G67" i="8"/>
  <c r="I67" i="8" s="1"/>
  <c r="G99" i="8"/>
  <c r="I99" i="8" s="1"/>
  <c r="G131" i="8"/>
  <c r="I131" i="8" s="1"/>
  <c r="G163" i="8"/>
  <c r="I163" i="8" s="1"/>
  <c r="G195" i="8"/>
  <c r="I195" i="8" s="1"/>
  <c r="G227" i="8"/>
  <c r="I227" i="8" s="1"/>
  <c r="G53" i="8"/>
  <c r="I53" i="8" s="1"/>
  <c r="G117" i="8"/>
  <c r="I117" i="8" s="1"/>
  <c r="G181" i="8"/>
  <c r="I181" i="8" s="1"/>
  <c r="G65" i="8"/>
  <c r="I65" i="8" s="1"/>
  <c r="G129" i="8"/>
  <c r="I129" i="8" s="1"/>
  <c r="G193" i="8"/>
  <c r="I193" i="8" s="1"/>
  <c r="G18" i="8"/>
  <c r="I18" i="8" s="1"/>
  <c r="G82" i="8"/>
  <c r="I82" i="8" s="1"/>
  <c r="G146" i="8"/>
  <c r="I146" i="8" s="1"/>
  <c r="G210" i="8"/>
  <c r="I210" i="8" s="1"/>
  <c r="G38" i="8"/>
  <c r="I38" i="8" s="1"/>
  <c r="G166" i="8"/>
  <c r="I166" i="8" s="1"/>
  <c r="G95" i="8"/>
  <c r="I95" i="8" s="1"/>
  <c r="G231" i="8"/>
  <c r="I231" i="8" s="1"/>
  <c r="G239" i="8"/>
  <c r="I239" i="8" s="1"/>
  <c r="G40" i="8"/>
  <c r="I40" i="8" s="1"/>
  <c r="G72" i="8"/>
  <c r="I72" i="8" s="1"/>
  <c r="G120" i="8"/>
  <c r="I120" i="8" s="1"/>
  <c r="G152" i="8"/>
  <c r="I152" i="8" s="1"/>
  <c r="G184" i="8"/>
  <c r="I184" i="8" s="1"/>
  <c r="G216" i="8"/>
  <c r="I216" i="8" s="1"/>
  <c r="G25" i="8"/>
  <c r="I25" i="8" s="1"/>
  <c r="G89" i="8"/>
  <c r="I89" i="8" s="1"/>
  <c r="G153" i="8"/>
  <c r="I153" i="8" s="1"/>
  <c r="G217" i="8"/>
  <c r="I217" i="8" s="1"/>
  <c r="G74" i="8"/>
  <c r="I74" i="8" s="1"/>
  <c r="G202" i="8"/>
  <c r="I202" i="8" s="1"/>
  <c r="G58" i="8"/>
  <c r="I58" i="8" s="1"/>
  <c r="G122" i="8"/>
  <c r="I122" i="8" s="1"/>
  <c r="G186" i="8"/>
  <c r="I186" i="8" s="1"/>
  <c r="G13" i="8"/>
  <c r="I13" i="8" s="1"/>
  <c r="G77" i="8"/>
  <c r="I77" i="8" s="1"/>
  <c r="G141" i="8"/>
  <c r="I141" i="8" s="1"/>
  <c r="G205" i="8"/>
  <c r="I205" i="8" s="1"/>
  <c r="G126" i="8"/>
  <c r="I126" i="8" s="1"/>
  <c r="G15" i="8"/>
  <c r="I15" i="8" s="1"/>
  <c r="G43" i="8"/>
  <c r="I43" i="8" s="1"/>
  <c r="G76" i="8"/>
  <c r="I76" i="8" s="1"/>
  <c r="G124" i="8"/>
  <c r="I124" i="8" s="1"/>
  <c r="G172" i="8"/>
  <c r="I172" i="8" s="1"/>
  <c r="G220" i="8"/>
  <c r="I220" i="8" s="1"/>
  <c r="G29" i="8"/>
  <c r="I29" i="8" s="1"/>
  <c r="G93" i="8"/>
  <c r="I93" i="8" s="1"/>
  <c r="G157" i="8"/>
  <c r="I157" i="8" s="1"/>
  <c r="G221" i="8"/>
  <c r="I221" i="8" s="1"/>
  <c r="G49" i="8"/>
  <c r="I49" i="8" s="1"/>
  <c r="G31" i="8"/>
  <c r="I31" i="8" s="1"/>
  <c r="G47" i="8"/>
  <c r="I47" i="8" s="1"/>
  <c r="G48" i="8"/>
  <c r="I48" i="8" s="1"/>
  <c r="G32" i="8"/>
  <c r="I32" i="8" s="1"/>
  <c r="G190" i="8"/>
  <c r="I190" i="8" s="1"/>
  <c r="I6" i="8"/>
  <c r="H6" i="8"/>
  <c r="I5" i="8"/>
  <c r="H5" i="8"/>
  <c r="F14" i="42"/>
  <c r="E16" i="42"/>
  <c r="A17" i="42"/>
  <c r="B16" i="42"/>
  <c r="D15" i="42"/>
  <c r="C15" i="42"/>
  <c r="H4" i="20"/>
  <c r="F15" i="42" l="1"/>
  <c r="D16" i="42"/>
  <c r="C16" i="42"/>
  <c r="E17" i="42"/>
  <c r="A18" i="42"/>
  <c r="B17" i="42"/>
  <c r="E18" i="42" l="1"/>
  <c r="A19" i="42"/>
  <c r="B18" i="42"/>
  <c r="F16" i="42"/>
  <c r="D17" i="42"/>
  <c r="C17" i="42"/>
  <c r="K61" i="14"/>
  <c r="L61" i="14"/>
  <c r="M61" i="14"/>
  <c r="K75" i="14"/>
  <c r="K78" i="14" s="1"/>
  <c r="L75" i="14"/>
  <c r="L78" i="14" s="1"/>
  <c r="M75" i="14"/>
  <c r="M78" i="14" s="1"/>
  <c r="J75" i="14"/>
  <c r="J78" i="14" s="1"/>
  <c r="I75" i="14"/>
  <c r="I78" i="14" s="1"/>
  <c r="H75" i="14"/>
  <c r="H78" i="14" s="1"/>
  <c r="G75" i="14"/>
  <c r="G78" i="14" s="1"/>
  <c r="F75" i="14"/>
  <c r="F78" i="14" s="1"/>
  <c r="E75" i="14"/>
  <c r="J61" i="14"/>
  <c r="I61" i="14"/>
  <c r="H61" i="14"/>
  <c r="G61" i="14"/>
  <c r="F61" i="14"/>
  <c r="E61" i="14"/>
  <c r="E78" i="14" l="1"/>
  <c r="D18" i="42"/>
  <c r="C18" i="42"/>
  <c r="F17" i="42"/>
  <c r="E19" i="42"/>
  <c r="A20" i="42"/>
  <c r="B19" i="42"/>
  <c r="D61" i="14"/>
  <c r="D75" i="14"/>
  <c r="D78" i="14" s="1"/>
  <c r="R14" i="14"/>
  <c r="A12" i="36" l="1"/>
  <c r="AQ10" i="36" s="1"/>
  <c r="H35" i="14"/>
  <c r="K10" i="36"/>
  <c r="Z10" i="36"/>
  <c r="AA10" i="36"/>
  <c r="AI10" i="36"/>
  <c r="S10" i="36"/>
  <c r="W10" i="36"/>
  <c r="J10" i="36"/>
  <c r="M35" i="14"/>
  <c r="N35" i="14"/>
  <c r="K35" i="14"/>
  <c r="AQ9" i="36" s="1"/>
  <c r="O35" i="14"/>
  <c r="L35" i="14"/>
  <c r="F18" i="42"/>
  <c r="D19" i="42"/>
  <c r="C19" i="42"/>
  <c r="E20" i="42"/>
  <c r="A21" i="42"/>
  <c r="B20" i="42"/>
  <c r="K50" i="14"/>
  <c r="O50" i="14"/>
  <c r="L50" i="14"/>
  <c r="M50" i="14"/>
  <c r="N50" i="14"/>
  <c r="H3" i="20"/>
  <c r="M34" i="14"/>
  <c r="N34" i="14"/>
  <c r="K34" i="14"/>
  <c r="O34" i="14"/>
  <c r="L34" i="14"/>
  <c r="E35" i="14"/>
  <c r="F35" i="14"/>
  <c r="AL9" i="36" s="1"/>
  <c r="AL10" i="36" s="1"/>
  <c r="G35" i="14"/>
  <c r="AM9" i="36" s="1"/>
  <c r="AM10" i="36" s="1"/>
  <c r="H34" i="14"/>
  <c r="I35" i="14"/>
  <c r="AO9" i="36" s="1"/>
  <c r="AO10" i="36" s="1"/>
  <c r="J35" i="14"/>
  <c r="AP9" i="36" s="1"/>
  <c r="AP10" i="36" s="1"/>
  <c r="E23" i="14"/>
  <c r="F23" i="14"/>
  <c r="G23" i="14"/>
  <c r="H23" i="14"/>
  <c r="I23" i="14"/>
  <c r="J23" i="14"/>
  <c r="N5" i="36"/>
  <c r="X5" i="36"/>
  <c r="AH5" i="36"/>
  <c r="AR5" i="36"/>
  <c r="BB5" i="36"/>
  <c r="Y10" i="36" l="1"/>
  <c r="X10" i="36"/>
  <c r="AC5" i="36"/>
  <c r="S5" i="36"/>
  <c r="AW5" i="36"/>
  <c r="J34" i="14"/>
  <c r="J36" i="14" s="1"/>
  <c r="I34" i="14"/>
  <c r="I36" i="14" s="1"/>
  <c r="BG5" i="36"/>
  <c r="M36" i="14"/>
  <c r="O36" i="14"/>
  <c r="N36" i="14"/>
  <c r="K36" i="14"/>
  <c r="L36" i="14"/>
  <c r="F19" i="42"/>
  <c r="E34" i="14"/>
  <c r="G34" i="14"/>
  <c r="E21" i="42"/>
  <c r="A22" i="42"/>
  <c r="B21" i="42"/>
  <c r="D20" i="42"/>
  <c r="C20" i="42"/>
  <c r="R15" i="14"/>
  <c r="K52" i="14"/>
  <c r="K51" i="14"/>
  <c r="M52" i="14"/>
  <c r="M51" i="14"/>
  <c r="L52" i="14"/>
  <c r="L51" i="14"/>
  <c r="O52" i="14"/>
  <c r="O51" i="14"/>
  <c r="N52" i="14"/>
  <c r="N51" i="14"/>
  <c r="F34" i="14"/>
  <c r="E8" i="11"/>
  <c r="C8" i="11"/>
  <c r="D8" i="11"/>
  <c r="F8" i="11"/>
  <c r="J8" i="11" s="1"/>
  <c r="C9" i="11"/>
  <c r="D9" i="11"/>
  <c r="E9" i="11"/>
  <c r="F9" i="11"/>
  <c r="J9" i="11" s="1"/>
  <c r="C10" i="11"/>
  <c r="D10" i="11"/>
  <c r="E10" i="11"/>
  <c r="F10" i="11"/>
  <c r="J10" i="11" s="1"/>
  <c r="C11" i="11"/>
  <c r="D11" i="11"/>
  <c r="E11" i="11"/>
  <c r="F11" i="11"/>
  <c r="J11" i="11" s="1"/>
  <c r="C12" i="11"/>
  <c r="D12" i="11"/>
  <c r="E12" i="11"/>
  <c r="F12" i="11"/>
  <c r="J12" i="11" s="1"/>
  <c r="C13" i="11"/>
  <c r="D13" i="11"/>
  <c r="E13" i="11"/>
  <c r="F13" i="11"/>
  <c r="J13" i="11" s="1"/>
  <c r="C14" i="11"/>
  <c r="D14" i="11"/>
  <c r="E14" i="11"/>
  <c r="F14" i="11"/>
  <c r="J14" i="11" s="1"/>
  <c r="D7" i="11"/>
  <c r="E7" i="11"/>
  <c r="F7" i="11"/>
  <c r="J7" i="11" s="1"/>
  <c r="C7" i="11"/>
  <c r="AN9" i="36" l="1"/>
  <c r="AN10" i="36" s="1"/>
  <c r="H36" i="14"/>
  <c r="AM5" i="36"/>
  <c r="F36" i="14"/>
  <c r="F20" i="42"/>
  <c r="E36" i="14"/>
  <c r="G36" i="14"/>
  <c r="D21" i="42"/>
  <c r="C21" i="42"/>
  <c r="E22" i="42"/>
  <c r="A23" i="42"/>
  <c r="B22" i="42"/>
  <c r="G14" i="11"/>
  <c r="H14" i="11"/>
  <c r="G13" i="11"/>
  <c r="H13" i="11"/>
  <c r="G12" i="11"/>
  <c r="H12" i="11"/>
  <c r="G10" i="11"/>
  <c r="H10" i="11"/>
  <c r="G11" i="11"/>
  <c r="H11" i="11"/>
  <c r="G9" i="11"/>
  <c r="H9" i="11"/>
  <c r="G8" i="11"/>
  <c r="H8" i="11"/>
  <c r="G7" i="11"/>
  <c r="H7" i="11"/>
  <c r="F21" i="42" l="1"/>
  <c r="E23" i="42"/>
  <c r="A24" i="42"/>
  <c r="B23" i="42"/>
  <c r="D22" i="42"/>
  <c r="C22" i="42"/>
  <c r="D11" i="14"/>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193" i="8"/>
  <c r="H197" i="8"/>
  <c r="H201" i="8"/>
  <c r="H205" i="8"/>
  <c r="H209" i="8"/>
  <c r="H213" i="8"/>
  <c r="H217" i="8"/>
  <c r="H221" i="8"/>
  <c r="H225" i="8"/>
  <c r="H226" i="8"/>
  <c r="H229" i="8"/>
  <c r="H230" i="8"/>
  <c r="H231" i="8"/>
  <c r="H232" i="8"/>
  <c r="H233" i="8"/>
  <c r="H234" i="8"/>
  <c r="H235" i="8"/>
  <c r="H236" i="8"/>
  <c r="H237" i="8"/>
  <c r="H238" i="8"/>
  <c r="H239" i="8"/>
  <c r="H240" i="8"/>
  <c r="H241" i="8"/>
  <c r="H242" i="8"/>
  <c r="D20" i="14"/>
  <c r="V9" i="36" l="1"/>
  <c r="V10" i="36" s="1"/>
  <c r="D32" i="14"/>
  <c r="D18" i="14"/>
  <c r="D5" i="36" s="1"/>
  <c r="C10" i="36"/>
  <c r="U7" i="36" s="1"/>
  <c r="C5" i="36"/>
  <c r="F22" i="42"/>
  <c r="D23" i="42"/>
  <c r="C23" i="42"/>
  <c r="E24" i="42"/>
  <c r="A25" i="42"/>
  <c r="B24" i="42"/>
  <c r="D83" i="14"/>
  <c r="D48" i="14"/>
  <c r="D23" i="14"/>
  <c r="D16" i="14"/>
  <c r="F243" i="8"/>
  <c r="G243" i="8" s="1"/>
  <c r="H185" i="8"/>
  <c r="H173" i="8"/>
  <c r="H169" i="8"/>
  <c r="H153" i="8"/>
  <c r="H137" i="8"/>
  <c r="H117" i="8"/>
  <c r="H227" i="8"/>
  <c r="H223" i="8"/>
  <c r="H219" i="8"/>
  <c r="H215" i="8"/>
  <c r="H211" i="8"/>
  <c r="H207" i="8"/>
  <c r="H203" i="8"/>
  <c r="H199" i="8"/>
  <c r="H195" i="8"/>
  <c r="H191" i="8"/>
  <c r="H187" i="8"/>
  <c r="H183" i="8"/>
  <c r="H179" i="8"/>
  <c r="H175" i="8"/>
  <c r="H171" i="8"/>
  <c r="H167" i="8"/>
  <c r="H163" i="8"/>
  <c r="H159" i="8"/>
  <c r="H155" i="8"/>
  <c r="H151" i="8"/>
  <c r="H147" i="8"/>
  <c r="H143" i="8"/>
  <c r="H139" i="8"/>
  <c r="H135" i="8"/>
  <c r="H131" i="8"/>
  <c r="H127" i="8"/>
  <c r="H123" i="8"/>
  <c r="H119" i="8"/>
  <c r="H115" i="8"/>
  <c r="H111" i="8"/>
  <c r="H181" i="8"/>
  <c r="H161" i="8"/>
  <c r="H149" i="8"/>
  <c r="H141" i="8"/>
  <c r="H129" i="8"/>
  <c r="H121" i="8"/>
  <c r="H222" i="8"/>
  <c r="H218" i="8"/>
  <c r="H214" i="8"/>
  <c r="H210" i="8"/>
  <c r="H206" i="8"/>
  <c r="H202" i="8"/>
  <c r="H198" i="8"/>
  <c r="H194" i="8"/>
  <c r="H190" i="8"/>
  <c r="H186" i="8"/>
  <c r="H182" i="8"/>
  <c r="H178" i="8"/>
  <c r="H174" i="8"/>
  <c r="H170" i="8"/>
  <c r="H166" i="8"/>
  <c r="H162" i="8"/>
  <c r="H158" i="8"/>
  <c r="H154" i="8"/>
  <c r="H150" i="8"/>
  <c r="H146" i="8"/>
  <c r="H142" i="8"/>
  <c r="H138" i="8"/>
  <c r="H134" i="8"/>
  <c r="H130" i="8"/>
  <c r="H126" i="8"/>
  <c r="H122" i="8"/>
  <c r="H118" i="8"/>
  <c r="H114" i="8"/>
  <c r="H110" i="8"/>
  <c r="H189" i="8"/>
  <c r="H177" i="8"/>
  <c r="H165" i="8"/>
  <c r="H157" i="8"/>
  <c r="H145" i="8"/>
  <c r="H133" i="8"/>
  <c r="H125" i="8"/>
  <c r="H113" i="8"/>
  <c r="H228" i="8"/>
  <c r="H224" i="8"/>
  <c r="H220" i="8"/>
  <c r="H216" i="8"/>
  <c r="H212" i="8"/>
  <c r="H208" i="8"/>
  <c r="H204" i="8"/>
  <c r="H200" i="8"/>
  <c r="H196" i="8"/>
  <c r="H192" i="8"/>
  <c r="H188" i="8"/>
  <c r="H184" i="8"/>
  <c r="H180" i="8"/>
  <c r="H176" i="8"/>
  <c r="H172" i="8"/>
  <c r="H168" i="8"/>
  <c r="H164" i="8"/>
  <c r="H160" i="8"/>
  <c r="H156" i="8"/>
  <c r="H152" i="8"/>
  <c r="H148" i="8"/>
  <c r="H144" i="8"/>
  <c r="H140" i="8"/>
  <c r="H136" i="8"/>
  <c r="H132" i="8"/>
  <c r="H128" i="8"/>
  <c r="H124" i="8"/>
  <c r="H120" i="8"/>
  <c r="H116" i="8"/>
  <c r="H112" i="8"/>
  <c r="H57" i="14"/>
  <c r="M73" i="14"/>
  <c r="M57" i="14"/>
  <c r="L73" i="14"/>
  <c r="H73" i="14"/>
  <c r="G73" i="14"/>
  <c r="I73" i="14"/>
  <c r="E73" i="14"/>
  <c r="F57" i="14"/>
  <c r="J57" i="14"/>
  <c r="K57" i="14"/>
  <c r="F73" i="14"/>
  <c r="J73" i="14"/>
  <c r="G57" i="14"/>
  <c r="D77" i="14"/>
  <c r="D79" i="14" s="1"/>
  <c r="L57" i="14"/>
  <c r="D67" i="14"/>
  <c r="K73" i="14"/>
  <c r="E57" i="14"/>
  <c r="I57" i="14"/>
  <c r="H14" i="14"/>
  <c r="P9" i="36" s="1"/>
  <c r="I14" i="14"/>
  <c r="Q9" i="36" s="1"/>
  <c r="E14" i="14"/>
  <c r="G14" i="14"/>
  <c r="O9" i="36" s="1"/>
  <c r="J14" i="14"/>
  <c r="R9" i="36" s="1"/>
  <c r="R10" i="36" s="1"/>
  <c r="F14" i="14"/>
  <c r="N9" i="36" s="1"/>
  <c r="O14" i="14"/>
  <c r="O33" i="14" s="1"/>
  <c r="K14" i="14"/>
  <c r="L14" i="14"/>
  <c r="L33" i="14" s="1"/>
  <c r="N14" i="14"/>
  <c r="N33" i="14" s="1"/>
  <c r="M14" i="14"/>
  <c r="M33" i="14" s="1"/>
  <c r="D12" i="14"/>
  <c r="D25" i="14"/>
  <c r="D28" i="14"/>
  <c r="D13" i="14"/>
  <c r="D26" i="14"/>
  <c r="D27" i="14"/>
  <c r="D40" i="14"/>
  <c r="D29" i="14"/>
  <c r="U9" i="36" l="1"/>
  <c r="S9" i="36"/>
  <c r="K33" i="14"/>
  <c r="M39" i="14"/>
  <c r="L39" i="14"/>
  <c r="E67" i="14"/>
  <c r="E81" i="14" s="1"/>
  <c r="P10" i="36"/>
  <c r="O10" i="36"/>
  <c r="N10" i="36"/>
  <c r="P5" i="36"/>
  <c r="J33" i="14"/>
  <c r="I33" i="14"/>
  <c r="AY5" i="36" s="1"/>
  <c r="Q10" i="36"/>
  <c r="M67" i="14"/>
  <c r="M81" i="14" s="1"/>
  <c r="K24" i="14"/>
  <c r="K38" i="14" s="1"/>
  <c r="K19" i="14"/>
  <c r="K37" i="14" s="1"/>
  <c r="J24" i="14"/>
  <c r="J38" i="14" s="1"/>
  <c r="H24" i="14"/>
  <c r="H38" i="14" s="1"/>
  <c r="D81" i="14"/>
  <c r="F67" i="14"/>
  <c r="F81" i="14" s="1"/>
  <c r="H67" i="14"/>
  <c r="H81" i="14" s="1"/>
  <c r="N19" i="14"/>
  <c r="N37" i="14" s="1"/>
  <c r="N39" i="14" s="1"/>
  <c r="N24" i="14"/>
  <c r="N38" i="14" s="1"/>
  <c r="E24" i="14"/>
  <c r="E38" i="14" s="1"/>
  <c r="K67" i="14"/>
  <c r="K81" i="14" s="1"/>
  <c r="M19" i="14"/>
  <c r="M37" i="14" s="1"/>
  <c r="M24" i="14"/>
  <c r="M38" i="14" s="1"/>
  <c r="O24" i="14"/>
  <c r="O38" i="14" s="1"/>
  <c r="O19" i="14"/>
  <c r="O37" i="14" s="1"/>
  <c r="O39" i="14" s="1"/>
  <c r="G24" i="14"/>
  <c r="G38" i="14" s="1"/>
  <c r="I67" i="14"/>
  <c r="I81" i="14" s="1"/>
  <c r="L67" i="14"/>
  <c r="L81" i="14" s="1"/>
  <c r="L24" i="14"/>
  <c r="L38" i="14" s="1"/>
  <c r="L19" i="14"/>
  <c r="L37" i="14" s="1"/>
  <c r="F24" i="14"/>
  <c r="F38" i="14" s="1"/>
  <c r="I24" i="14"/>
  <c r="I38" i="14" s="1"/>
  <c r="G67" i="14"/>
  <c r="G81" i="14" s="1"/>
  <c r="J67" i="14"/>
  <c r="J81" i="14" s="1"/>
  <c r="E76" i="14"/>
  <c r="G76" i="14"/>
  <c r="J76" i="14"/>
  <c r="K76" i="14"/>
  <c r="M76" i="14"/>
  <c r="AJ5" i="36"/>
  <c r="F76" i="14"/>
  <c r="H76" i="14"/>
  <c r="Z5" i="36"/>
  <c r="I76" i="14"/>
  <c r="L76" i="14"/>
  <c r="I243" i="8"/>
  <c r="AT5" i="36"/>
  <c r="BD5" i="36"/>
  <c r="H33" i="14"/>
  <c r="AO5" i="36" s="1"/>
  <c r="F23" i="42"/>
  <c r="E25" i="42"/>
  <c r="A26" i="42"/>
  <c r="B25" i="42"/>
  <c r="D24" i="42"/>
  <c r="C24" i="42"/>
  <c r="G33" i="14"/>
  <c r="AE5" i="36" s="1"/>
  <c r="F33" i="14"/>
  <c r="U5" i="36" s="1"/>
  <c r="E33" i="14"/>
  <c r="F77" i="14"/>
  <c r="F79" i="14" s="1"/>
  <c r="E77" i="14"/>
  <c r="E79" i="14" s="1"/>
  <c r="L77" i="14"/>
  <c r="L79" i="14" s="1"/>
  <c r="K77" i="14"/>
  <c r="K79" i="14" s="1"/>
  <c r="G77" i="14"/>
  <c r="G79" i="14" s="1"/>
  <c r="M77" i="14"/>
  <c r="M79" i="14" s="1"/>
  <c r="I77" i="14"/>
  <c r="I79" i="14" s="1"/>
  <c r="D76" i="14"/>
  <c r="J77" i="14"/>
  <c r="J79" i="14" s="1"/>
  <c r="H77" i="14"/>
  <c r="H79" i="14" s="1"/>
  <c r="H243" i="8"/>
  <c r="H109" i="8"/>
  <c r="AI9" i="36" l="1"/>
  <c r="K39" i="14"/>
  <c r="BI5" i="36"/>
  <c r="R19" i="14"/>
  <c r="D25" i="42"/>
  <c r="C25" i="42"/>
  <c r="E26" i="42"/>
  <c r="A27" i="42"/>
  <c r="B26" i="42"/>
  <c r="F24" i="42"/>
  <c r="N31" i="14"/>
  <c r="M31" i="14"/>
  <c r="L31" i="14"/>
  <c r="O31" i="14"/>
  <c r="K31" i="14"/>
  <c r="H108" i="8"/>
  <c r="H10" i="36" l="1"/>
  <c r="F10" i="36"/>
  <c r="G10" i="36"/>
  <c r="F25" i="42"/>
  <c r="E27" i="42"/>
  <c r="A28" i="42"/>
  <c r="B27" i="42"/>
  <c r="D26" i="42"/>
  <c r="C26" i="42"/>
  <c r="H107" i="8"/>
  <c r="I10" i="36" l="1"/>
  <c r="F26" i="42"/>
  <c r="D27" i="42"/>
  <c r="C27" i="42"/>
  <c r="E28" i="42"/>
  <c r="A29" i="42"/>
  <c r="B28" i="42"/>
  <c r="H106" i="8"/>
  <c r="F27" i="42" l="1"/>
  <c r="D28" i="42"/>
  <c r="C28" i="42"/>
  <c r="E29" i="42"/>
  <c r="A30" i="42"/>
  <c r="B29" i="42"/>
  <c r="H105" i="8"/>
  <c r="F28" i="42" l="1"/>
  <c r="E30" i="42"/>
  <c r="A31" i="42"/>
  <c r="B30" i="42"/>
  <c r="D29" i="42"/>
  <c r="C29" i="42"/>
  <c r="H104" i="8"/>
  <c r="F29" i="42" l="1"/>
  <c r="D30" i="42"/>
  <c r="C30" i="42"/>
  <c r="E31" i="42"/>
  <c r="A32" i="42"/>
  <c r="B31" i="42"/>
  <c r="H103" i="8"/>
  <c r="F30" i="42" l="1"/>
  <c r="E32" i="42"/>
  <c r="A33" i="42"/>
  <c r="B32" i="42"/>
  <c r="D31" i="42"/>
  <c r="C31" i="42"/>
  <c r="H102" i="8"/>
  <c r="F31" i="42" l="1"/>
  <c r="D32" i="42"/>
  <c r="C32" i="42"/>
  <c r="E33" i="42"/>
  <c r="A34" i="42"/>
  <c r="B33" i="42"/>
  <c r="H101" i="8"/>
  <c r="F32" i="42" l="1"/>
  <c r="D33" i="42"/>
  <c r="C33" i="42"/>
  <c r="E34" i="42"/>
  <c r="A35" i="42"/>
  <c r="B34" i="42"/>
  <c r="H100" i="8"/>
  <c r="F33" i="42" l="1"/>
  <c r="E35" i="42"/>
  <c r="A36" i="42"/>
  <c r="B35" i="42"/>
  <c r="D34" i="42"/>
  <c r="C34" i="42"/>
  <c r="H99" i="8"/>
  <c r="F34" i="42" l="1"/>
  <c r="D35" i="42"/>
  <c r="C35" i="42"/>
  <c r="E36" i="42"/>
  <c r="A37" i="42"/>
  <c r="B36" i="42"/>
  <c r="H98" i="8"/>
  <c r="F35" i="42" l="1"/>
  <c r="E37" i="42"/>
  <c r="A38" i="42"/>
  <c r="B37" i="42"/>
  <c r="D36" i="42"/>
  <c r="C36" i="42"/>
  <c r="H97" i="8"/>
  <c r="D37" i="42" l="1"/>
  <c r="C37" i="42"/>
  <c r="E38" i="42"/>
  <c r="A39" i="42"/>
  <c r="B38" i="42"/>
  <c r="F36" i="42"/>
  <c r="H96" i="8"/>
  <c r="F37" i="42" l="1"/>
  <c r="E39" i="42"/>
  <c r="A40" i="42"/>
  <c r="B39" i="42"/>
  <c r="D38" i="42"/>
  <c r="C38" i="42"/>
  <c r="H95" i="8"/>
  <c r="F38" i="42" l="1"/>
  <c r="D39" i="42"/>
  <c r="C39" i="42"/>
  <c r="E40" i="42"/>
  <c r="A41" i="42"/>
  <c r="B40" i="42"/>
  <c r="H94" i="8"/>
  <c r="F39" i="42" l="1"/>
  <c r="E41" i="42"/>
  <c r="A42" i="42"/>
  <c r="B41" i="42"/>
  <c r="D40" i="42"/>
  <c r="C40" i="42"/>
  <c r="H93" i="8"/>
  <c r="D41" i="42" l="1"/>
  <c r="C41" i="42"/>
  <c r="E42" i="42"/>
  <c r="B42" i="42"/>
  <c r="A43" i="42"/>
  <c r="F40" i="42"/>
  <c r="H92" i="8"/>
  <c r="F41" i="42" l="1"/>
  <c r="D42" i="42"/>
  <c r="C42" i="42"/>
  <c r="E43" i="42"/>
  <c r="A44" i="42"/>
  <c r="B43" i="42"/>
  <c r="H91" i="8"/>
  <c r="F42" i="42" l="1"/>
  <c r="E44" i="42"/>
  <c r="A45" i="42"/>
  <c r="B44" i="42"/>
  <c r="D43" i="42"/>
  <c r="C43" i="42"/>
  <c r="H90" i="8"/>
  <c r="C35" i="14" l="1"/>
  <c r="D35" i="14"/>
  <c r="AK9" i="36" s="1"/>
  <c r="AK10" i="36" s="1"/>
  <c r="D30" i="14"/>
  <c r="E5" i="36" s="1"/>
  <c r="D14" i="14"/>
  <c r="F43" i="42"/>
  <c r="D44" i="42"/>
  <c r="C44" i="42"/>
  <c r="E45" i="42"/>
  <c r="A46" i="42"/>
  <c r="B45" i="42"/>
  <c r="H89" i="8"/>
  <c r="I5" i="36" l="1"/>
  <c r="D34" i="14"/>
  <c r="D36" i="14" s="1"/>
  <c r="D33" i="14"/>
  <c r="K5" i="36" s="1"/>
  <c r="F5" i="36"/>
  <c r="M9" i="36"/>
  <c r="M10" i="36" s="1"/>
  <c r="E9" i="36"/>
  <c r="E10" i="36" s="1"/>
  <c r="F44" i="42"/>
  <c r="D45" i="42"/>
  <c r="C45" i="42"/>
  <c r="E46" i="42"/>
  <c r="A47" i="42"/>
  <c r="B46" i="42"/>
  <c r="H88" i="8"/>
  <c r="F45" i="42" l="1"/>
  <c r="E47" i="42"/>
  <c r="A48" i="42"/>
  <c r="B47" i="42"/>
  <c r="D46" i="42"/>
  <c r="C46" i="42"/>
  <c r="H87" i="8"/>
  <c r="F46" i="42" l="1"/>
  <c r="D47" i="42"/>
  <c r="C47" i="42"/>
  <c r="E48" i="42"/>
  <c r="A49" i="42"/>
  <c r="B48" i="42"/>
  <c r="H86" i="8"/>
  <c r="M58" i="14"/>
  <c r="J15" i="14"/>
  <c r="G15" i="14"/>
  <c r="G58" i="14"/>
  <c r="H58" i="14"/>
  <c r="E58" i="14"/>
  <c r="D21" i="14"/>
  <c r="D58" i="14"/>
  <c r="I15" i="14"/>
  <c r="F15" i="14"/>
  <c r="K58" i="14"/>
  <c r="E15" i="14"/>
  <c r="D15" i="14"/>
  <c r="J58" i="14"/>
  <c r="F58" i="14"/>
  <c r="H15" i="14"/>
  <c r="G5" i="36"/>
  <c r="I58" i="14"/>
  <c r="L58" i="14"/>
  <c r="J50" i="14" l="1"/>
  <c r="K62" i="14"/>
  <c r="K80" i="14" s="1"/>
  <c r="K82" i="14" s="1"/>
  <c r="K86" i="14"/>
  <c r="J62" i="14"/>
  <c r="J80" i="14" s="1"/>
  <c r="J82" i="14" s="1"/>
  <c r="J86" i="14"/>
  <c r="L86" i="14"/>
  <c r="L62" i="14"/>
  <c r="L80" i="14" s="1"/>
  <c r="L82" i="14" s="1"/>
  <c r="L5" i="36"/>
  <c r="E86" i="14"/>
  <c r="E62" i="14"/>
  <c r="E80" i="14" s="1"/>
  <c r="E82" i="14" s="1"/>
  <c r="J19" i="14"/>
  <c r="F62" i="14"/>
  <c r="F80" i="14" s="1"/>
  <c r="F82" i="14" s="1"/>
  <c r="F86" i="14"/>
  <c r="D24" i="14"/>
  <c r="U10" i="36"/>
  <c r="I50" i="14"/>
  <c r="I19" i="14"/>
  <c r="G50" i="14"/>
  <c r="G19" i="14"/>
  <c r="F19" i="14"/>
  <c r="F50" i="14"/>
  <c r="E19" i="14"/>
  <c r="E50" i="14"/>
  <c r="D86" i="14"/>
  <c r="D62" i="14"/>
  <c r="D80" i="14" s="1"/>
  <c r="D82" i="14" s="1"/>
  <c r="H62" i="14"/>
  <c r="H80" i="14" s="1"/>
  <c r="H82" i="14" s="1"/>
  <c r="H86" i="14"/>
  <c r="M62" i="14"/>
  <c r="M80" i="14" s="1"/>
  <c r="M82" i="14" s="1"/>
  <c r="M86" i="14"/>
  <c r="H19" i="14"/>
  <c r="H50" i="14"/>
  <c r="I62" i="14"/>
  <c r="I80" i="14" s="1"/>
  <c r="I82" i="14" s="1"/>
  <c r="I86" i="14"/>
  <c r="G62" i="14"/>
  <c r="G80" i="14" s="1"/>
  <c r="G82" i="14" s="1"/>
  <c r="G86" i="14"/>
  <c r="D50" i="14"/>
  <c r="D19" i="14"/>
  <c r="D37" i="14" s="1"/>
  <c r="F47" i="42"/>
  <c r="E49" i="42"/>
  <c r="A50" i="42"/>
  <c r="B49" i="42"/>
  <c r="D48" i="42"/>
  <c r="C48" i="42"/>
  <c r="H85" i="8"/>
  <c r="J31" i="14" l="1"/>
  <c r="J37" i="14"/>
  <c r="J52" i="14"/>
  <c r="J51" i="14"/>
  <c r="D88" i="14"/>
  <c r="D87" i="14"/>
  <c r="F31" i="14"/>
  <c r="F37" i="14"/>
  <c r="D38" i="14"/>
  <c r="H5" i="36" s="1"/>
  <c r="D31" i="14"/>
  <c r="D52" i="14"/>
  <c r="D51" i="14"/>
  <c r="I52" i="14"/>
  <c r="I51" i="14"/>
  <c r="M88" i="14"/>
  <c r="M87" i="14"/>
  <c r="F88" i="14"/>
  <c r="F87" i="14"/>
  <c r="H88" i="14"/>
  <c r="H87" i="14"/>
  <c r="E51" i="14"/>
  <c r="E52" i="14"/>
  <c r="G31" i="14"/>
  <c r="G37" i="14"/>
  <c r="G87" i="14"/>
  <c r="G88" i="14"/>
  <c r="H52" i="14"/>
  <c r="H51" i="14"/>
  <c r="E37" i="14"/>
  <c r="E39" i="14" s="1"/>
  <c r="E31" i="14"/>
  <c r="G52" i="14"/>
  <c r="G51" i="14"/>
  <c r="I87" i="14"/>
  <c r="I88" i="14"/>
  <c r="F51" i="14"/>
  <c r="F52" i="14"/>
  <c r="H37" i="14"/>
  <c r="H31" i="14"/>
  <c r="L87" i="14"/>
  <c r="L88" i="14"/>
  <c r="J88" i="14"/>
  <c r="J87" i="14"/>
  <c r="K88" i="14"/>
  <c r="K87" i="14"/>
  <c r="E88" i="14"/>
  <c r="E87" i="14"/>
  <c r="I31" i="14"/>
  <c r="I37" i="14"/>
  <c r="F48" i="42"/>
  <c r="D49" i="42"/>
  <c r="C49" i="42"/>
  <c r="E50" i="42"/>
  <c r="A51" i="42"/>
  <c r="B50" i="42"/>
  <c r="H84" i="8"/>
  <c r="J39" i="14" l="1"/>
  <c r="AH9" i="36"/>
  <c r="AH10" i="36" s="1"/>
  <c r="BH5" i="36"/>
  <c r="BF5" i="36"/>
  <c r="AX5" i="36"/>
  <c r="AV5" i="36"/>
  <c r="R18" i="14"/>
  <c r="AG9" i="36"/>
  <c r="AG10" i="36" s="1"/>
  <c r="I39" i="14"/>
  <c r="R20" i="14" s="1"/>
  <c r="D39" i="14"/>
  <c r="R8" i="14" s="1"/>
  <c r="AC9" i="36"/>
  <c r="AC10" i="36" s="1"/>
  <c r="J5" i="36"/>
  <c r="H39" i="14"/>
  <c r="AN5" i="36"/>
  <c r="AL5" i="36"/>
  <c r="AF9" i="36"/>
  <c r="AF10" i="36" s="1"/>
  <c r="G39" i="14"/>
  <c r="AD5" i="36"/>
  <c r="AB5" i="36"/>
  <c r="AE9" i="36"/>
  <c r="AE10" i="36" s="1"/>
  <c r="R5" i="36"/>
  <c r="AD9" i="36"/>
  <c r="AD10" i="36" s="1"/>
  <c r="F39" i="14"/>
  <c r="T5" i="36"/>
  <c r="F49" i="42"/>
  <c r="E51" i="42"/>
  <c r="A52" i="42"/>
  <c r="B51" i="42"/>
  <c r="D50" i="42"/>
  <c r="C50" i="42"/>
  <c r="H83" i="8"/>
  <c r="R21" i="14" l="1"/>
  <c r="R10" i="14"/>
  <c r="L46" i="14"/>
  <c r="L47" i="14" s="1"/>
  <c r="D44" i="14"/>
  <c r="R9" i="14"/>
  <c r="F46" i="14"/>
  <c r="F47" i="14" s="1"/>
  <c r="E44" i="14"/>
  <c r="G46" i="14"/>
  <c r="G47" i="14" s="1"/>
  <c r="I46" i="14"/>
  <c r="I47" i="14" s="1"/>
  <c r="K46" i="14"/>
  <c r="K47" i="14" s="1"/>
  <c r="O46" i="14"/>
  <c r="O47" i="14" s="1"/>
  <c r="M46" i="14"/>
  <c r="M47" i="14" s="1"/>
  <c r="J46" i="14"/>
  <c r="J47" i="14" s="1"/>
  <c r="N46" i="14"/>
  <c r="N47" i="14" s="1"/>
  <c r="R11" i="14"/>
  <c r="H46" i="14"/>
  <c r="H47" i="14" s="1"/>
  <c r="E46" i="14"/>
  <c r="E47" i="14" s="1"/>
  <c r="D46" i="14"/>
  <c r="D47" i="14" s="1"/>
  <c r="F50" i="42"/>
  <c r="D51" i="42"/>
  <c r="C51" i="42"/>
  <c r="E52" i="42"/>
  <c r="A53" i="42"/>
  <c r="B52" i="42"/>
  <c r="H82" i="8"/>
  <c r="E45" i="14" l="1"/>
  <c r="D45" i="14" s="1"/>
  <c r="E43" i="14"/>
  <c r="D43" i="14" s="1"/>
  <c r="J44" i="14"/>
  <c r="F42" i="14"/>
  <c r="N44" i="14"/>
  <c r="L44" i="14"/>
  <c r="G42" i="14"/>
  <c r="G44" i="14"/>
  <c r="M44" i="14"/>
  <c r="K42" i="14"/>
  <c r="H42" i="14"/>
  <c r="D42" i="14"/>
  <c r="O44" i="14"/>
  <c r="I44" i="14"/>
  <c r="H44" i="14"/>
  <c r="J42" i="14"/>
  <c r="K44" i="14"/>
  <c r="F44" i="14"/>
  <c r="L42" i="14"/>
  <c r="M42" i="14"/>
  <c r="O42" i="14"/>
  <c r="E42" i="14"/>
  <c r="N42" i="14"/>
  <c r="I42" i="14"/>
  <c r="F51" i="42"/>
  <c r="E53" i="42"/>
  <c r="A54" i="42"/>
  <c r="B53" i="42"/>
  <c r="D52" i="42"/>
  <c r="C52" i="42"/>
  <c r="H81" i="8"/>
  <c r="O43" i="14" l="1"/>
  <c r="O45" i="14"/>
  <c r="F45" i="14"/>
  <c r="F43" i="14"/>
  <c r="K45" i="14"/>
  <c r="K43" i="14"/>
  <c r="J45" i="14"/>
  <c r="J43" i="14"/>
  <c r="H43" i="14"/>
  <c r="H45" i="14"/>
  <c r="I43" i="14"/>
  <c r="I45" i="14"/>
  <c r="M45" i="14"/>
  <c r="M43" i="14"/>
  <c r="G43" i="14"/>
  <c r="G45" i="14"/>
  <c r="L45" i="14"/>
  <c r="L43" i="14"/>
  <c r="N43" i="14"/>
  <c r="N45" i="14"/>
  <c r="F52" i="42"/>
  <c r="D53" i="42"/>
  <c r="C53" i="42"/>
  <c r="E54" i="42"/>
  <c r="A55" i="42"/>
  <c r="B54" i="42"/>
  <c r="H80" i="8"/>
  <c r="F53" i="42" l="1"/>
  <c r="E55" i="42"/>
  <c r="A56" i="42"/>
  <c r="B55" i="42"/>
  <c r="D54" i="42"/>
  <c r="C54" i="42"/>
  <c r="H79" i="8"/>
  <c r="F54" i="42" l="1"/>
  <c r="D55" i="42"/>
  <c r="C55" i="42"/>
  <c r="E56" i="42"/>
  <c r="A57" i="42"/>
  <c r="B56" i="42"/>
  <c r="H78" i="8"/>
  <c r="F55" i="42" l="1"/>
  <c r="E57" i="42"/>
  <c r="A58" i="42"/>
  <c r="B57" i="42"/>
  <c r="D56" i="42"/>
  <c r="C56" i="42"/>
  <c r="H77" i="8"/>
  <c r="F56" i="42" l="1"/>
  <c r="D57" i="42"/>
  <c r="C57" i="42"/>
  <c r="E58" i="42"/>
  <c r="A59" i="42"/>
  <c r="B58" i="42"/>
  <c r="H76" i="8"/>
  <c r="F57" i="42" l="1"/>
  <c r="E59" i="42"/>
  <c r="A60" i="42"/>
  <c r="B59" i="42"/>
  <c r="D58" i="42"/>
  <c r="C58" i="42"/>
  <c r="H75" i="8"/>
  <c r="F58" i="42" l="1"/>
  <c r="D59" i="42"/>
  <c r="C59" i="42"/>
  <c r="E60" i="42"/>
  <c r="A61" i="42"/>
  <c r="B60" i="42"/>
  <c r="H74" i="8"/>
  <c r="F59" i="42" l="1"/>
  <c r="E61" i="42"/>
  <c r="A62" i="42"/>
  <c r="B61" i="42"/>
  <c r="D60" i="42"/>
  <c r="C60" i="42"/>
  <c r="H73" i="8"/>
  <c r="F60" i="42" l="1"/>
  <c r="D61" i="42"/>
  <c r="C61" i="42"/>
  <c r="E62" i="42"/>
  <c r="A63" i="42"/>
  <c r="B62" i="42"/>
  <c r="H72" i="8"/>
  <c r="F61" i="42" l="1"/>
  <c r="E63" i="42"/>
  <c r="A64" i="42"/>
  <c r="B63" i="42"/>
  <c r="D62" i="42"/>
  <c r="C62" i="42"/>
  <c r="H71" i="8"/>
  <c r="F62" i="42" l="1"/>
  <c r="D63" i="42"/>
  <c r="C63" i="42"/>
  <c r="E64" i="42"/>
  <c r="A65" i="42"/>
  <c r="B64" i="42"/>
  <c r="H70" i="8"/>
  <c r="F63" i="42" l="1"/>
  <c r="E65" i="42"/>
  <c r="A66" i="42"/>
  <c r="B65" i="42"/>
  <c r="D64" i="42"/>
  <c r="C64" i="42"/>
  <c r="H69" i="8"/>
  <c r="F64" i="42" l="1"/>
  <c r="D65" i="42"/>
  <c r="C65" i="42"/>
  <c r="E66" i="42"/>
  <c r="A67" i="42"/>
  <c r="B66" i="42"/>
  <c r="H68" i="8"/>
  <c r="F65" i="42" l="1"/>
  <c r="E67" i="42"/>
  <c r="A68" i="42"/>
  <c r="B67" i="42"/>
  <c r="D66" i="42"/>
  <c r="C66" i="42"/>
  <c r="H67" i="8"/>
  <c r="F66" i="42" l="1"/>
  <c r="D67" i="42"/>
  <c r="C67" i="42"/>
  <c r="E68" i="42"/>
  <c r="A69" i="42"/>
  <c r="B68" i="42"/>
  <c r="H66" i="8"/>
  <c r="F67" i="42" l="1"/>
  <c r="E69" i="42"/>
  <c r="A70" i="42"/>
  <c r="B69" i="42"/>
  <c r="D68" i="42"/>
  <c r="C68" i="42"/>
  <c r="H65" i="8"/>
  <c r="F68" i="42" l="1"/>
  <c r="D69" i="42"/>
  <c r="C69" i="42"/>
  <c r="E70" i="42"/>
  <c r="A71" i="42"/>
  <c r="B70" i="42"/>
  <c r="H64" i="8"/>
  <c r="F69" i="42" l="1"/>
  <c r="E71" i="42"/>
  <c r="A72" i="42"/>
  <c r="B71" i="42"/>
  <c r="D70" i="42"/>
  <c r="C70" i="42"/>
  <c r="H63" i="8"/>
  <c r="F70" i="42" l="1"/>
  <c r="D71" i="42"/>
  <c r="C71" i="42"/>
  <c r="E72" i="42"/>
  <c r="A73" i="42"/>
  <c r="B72" i="42"/>
  <c r="H62" i="8"/>
  <c r="F71" i="42" l="1"/>
  <c r="E73" i="42"/>
  <c r="A74" i="42"/>
  <c r="B73" i="42"/>
  <c r="D72" i="42"/>
  <c r="C72" i="42"/>
  <c r="H61" i="8"/>
  <c r="F72" i="42" l="1"/>
  <c r="D73" i="42"/>
  <c r="C73" i="42"/>
  <c r="E74" i="42"/>
  <c r="A75" i="42"/>
  <c r="B74" i="42"/>
  <c r="H60" i="8"/>
  <c r="F73" i="42" l="1"/>
  <c r="E75" i="42"/>
  <c r="A76" i="42"/>
  <c r="B75" i="42"/>
  <c r="D74" i="42"/>
  <c r="C74" i="42"/>
  <c r="H59" i="8"/>
  <c r="F74" i="42" l="1"/>
  <c r="D75" i="42"/>
  <c r="C75" i="42"/>
  <c r="E76" i="42"/>
  <c r="A77" i="42"/>
  <c r="B76" i="42"/>
  <c r="H58" i="8"/>
  <c r="F75" i="42" l="1"/>
  <c r="E77" i="42"/>
  <c r="A78" i="42"/>
  <c r="B77" i="42"/>
  <c r="D76" i="42"/>
  <c r="C76" i="42"/>
  <c r="H57" i="8"/>
  <c r="F76" i="42" l="1"/>
  <c r="D77" i="42"/>
  <c r="C77" i="42"/>
  <c r="E78" i="42"/>
  <c r="A79" i="42"/>
  <c r="B78" i="42"/>
  <c r="H56" i="8"/>
  <c r="F77" i="42" l="1"/>
  <c r="E79" i="42"/>
  <c r="A80" i="42"/>
  <c r="B79" i="42"/>
  <c r="D78" i="42"/>
  <c r="C78" i="42"/>
  <c r="H55" i="8"/>
  <c r="F78" i="42" l="1"/>
  <c r="D79" i="42"/>
  <c r="C79" i="42"/>
  <c r="E80" i="42"/>
  <c r="B80" i="42"/>
  <c r="A81" i="42"/>
  <c r="H54" i="8"/>
  <c r="F79" i="42" l="1"/>
  <c r="D80" i="42"/>
  <c r="C80" i="42"/>
  <c r="E81" i="42"/>
  <c r="A82" i="42"/>
  <c r="B81" i="42"/>
  <c r="H53" i="8"/>
  <c r="F80" i="42" l="1"/>
  <c r="E82" i="42"/>
  <c r="A83" i="42"/>
  <c r="B82" i="42"/>
  <c r="D81" i="42"/>
  <c r="C81" i="42"/>
  <c r="H52" i="8"/>
  <c r="F81" i="42" l="1"/>
  <c r="D82" i="42"/>
  <c r="C82" i="42"/>
  <c r="E83" i="42"/>
  <c r="A84" i="42"/>
  <c r="B83" i="42"/>
  <c r="H51" i="8"/>
  <c r="F82" i="42" l="1"/>
  <c r="E84" i="42"/>
  <c r="A85" i="42"/>
  <c r="B84" i="42"/>
  <c r="D83" i="42"/>
  <c r="C83" i="42"/>
  <c r="H50" i="8"/>
  <c r="F83" i="42" l="1"/>
  <c r="D84" i="42"/>
  <c r="C84" i="42"/>
  <c r="E85" i="42"/>
  <c r="A86" i="42"/>
  <c r="B85" i="42"/>
  <c r="H49" i="8"/>
  <c r="F84" i="42" l="1"/>
  <c r="E86" i="42"/>
  <c r="A87" i="42"/>
  <c r="B86" i="42"/>
  <c r="D85" i="42"/>
  <c r="C85" i="42"/>
  <c r="H48" i="8"/>
  <c r="F85" i="42" l="1"/>
  <c r="D86" i="42"/>
  <c r="C86" i="42"/>
  <c r="E87" i="42"/>
  <c r="A88" i="42"/>
  <c r="B87" i="42"/>
  <c r="H47" i="8"/>
  <c r="F86" i="42" l="1"/>
  <c r="E88" i="42"/>
  <c r="A89" i="42"/>
  <c r="B88" i="42"/>
  <c r="D87" i="42"/>
  <c r="C87" i="42"/>
  <c r="H46" i="8"/>
  <c r="F87" i="42" l="1"/>
  <c r="D88" i="42"/>
  <c r="C88" i="42"/>
  <c r="E89" i="42"/>
  <c r="A90" i="42"/>
  <c r="B89" i="42"/>
  <c r="H45" i="8"/>
  <c r="F88" i="42" l="1"/>
  <c r="E90" i="42"/>
  <c r="A91" i="42"/>
  <c r="B90" i="42"/>
  <c r="D89" i="42"/>
  <c r="C89" i="42"/>
  <c r="H44" i="8"/>
  <c r="F89" i="42" l="1"/>
  <c r="D90" i="42"/>
  <c r="C90" i="42"/>
  <c r="E91" i="42"/>
  <c r="A92" i="42"/>
  <c r="B91" i="42"/>
  <c r="H43" i="8"/>
  <c r="F90" i="42" l="1"/>
  <c r="E92" i="42"/>
  <c r="A93" i="42"/>
  <c r="B92" i="42"/>
  <c r="D91" i="42"/>
  <c r="C91" i="42"/>
  <c r="H42" i="8"/>
  <c r="F91" i="42" l="1"/>
  <c r="D92" i="42"/>
  <c r="C92" i="42"/>
  <c r="E93" i="42"/>
  <c r="A94" i="42"/>
  <c r="B93" i="42"/>
  <c r="H41" i="8"/>
  <c r="F92" i="42" l="1"/>
  <c r="E94" i="42"/>
  <c r="A95" i="42"/>
  <c r="B94" i="42"/>
  <c r="D93" i="42"/>
  <c r="C93" i="42"/>
  <c r="H40" i="8"/>
  <c r="F93" i="42" l="1"/>
  <c r="D94" i="42"/>
  <c r="C94" i="42"/>
  <c r="E95" i="42"/>
  <c r="A96" i="42"/>
  <c r="B95" i="42"/>
  <c r="H39" i="8"/>
  <c r="F94" i="42" l="1"/>
  <c r="E96" i="42"/>
  <c r="A97" i="42"/>
  <c r="B96" i="42"/>
  <c r="D95" i="42"/>
  <c r="C95" i="42"/>
  <c r="H38" i="8"/>
  <c r="F95" i="42" l="1"/>
  <c r="D96" i="42"/>
  <c r="C96" i="42"/>
  <c r="E97" i="42"/>
  <c r="A98" i="42"/>
  <c r="B97" i="42"/>
  <c r="H37" i="8"/>
  <c r="F96" i="42" l="1"/>
  <c r="E98" i="42"/>
  <c r="A99" i="42"/>
  <c r="B98" i="42"/>
  <c r="D97" i="42"/>
  <c r="C97" i="42"/>
  <c r="H36" i="8"/>
  <c r="F97" i="42" l="1"/>
  <c r="D98" i="42"/>
  <c r="C98" i="42"/>
  <c r="E99" i="42"/>
  <c r="A100" i="42"/>
  <c r="B99" i="42"/>
  <c r="H35" i="8"/>
  <c r="F98" i="42" l="1"/>
  <c r="E100" i="42"/>
  <c r="A101" i="42"/>
  <c r="B100" i="42"/>
  <c r="D99" i="42"/>
  <c r="C99" i="42"/>
  <c r="H34" i="8"/>
  <c r="F99" i="42" l="1"/>
  <c r="D100" i="42"/>
  <c r="C100" i="42"/>
  <c r="E101" i="42"/>
  <c r="A102" i="42"/>
  <c r="B101" i="42"/>
  <c r="H33" i="8"/>
  <c r="F100" i="42" l="1"/>
  <c r="E102" i="42"/>
  <c r="B102" i="42"/>
  <c r="A103" i="42"/>
  <c r="D101" i="42"/>
  <c r="C101" i="42"/>
  <c r="H32" i="8"/>
  <c r="F101" i="42" l="1"/>
  <c r="E103" i="42"/>
  <c r="A104" i="42"/>
  <c r="B103" i="42"/>
  <c r="D102" i="42"/>
  <c r="C102" i="42"/>
  <c r="H31" i="8"/>
  <c r="F102" i="42" l="1"/>
  <c r="D103" i="42"/>
  <c r="C103" i="42"/>
  <c r="E104" i="42"/>
  <c r="B104" i="42"/>
  <c r="A105" i="42"/>
  <c r="H30" i="8"/>
  <c r="F103" i="42" l="1"/>
  <c r="D104" i="42"/>
  <c r="C104" i="42"/>
  <c r="E105" i="42"/>
  <c r="A106" i="42"/>
  <c r="B105" i="42"/>
  <c r="H29" i="8"/>
  <c r="F104" i="42" l="1"/>
  <c r="E106" i="42"/>
  <c r="B106" i="42"/>
  <c r="A107" i="42"/>
  <c r="D105" i="42"/>
  <c r="C105" i="42"/>
  <c r="H28" i="8"/>
  <c r="F105" i="42" l="1"/>
  <c r="E107" i="42"/>
  <c r="A108" i="42"/>
  <c r="B107" i="42"/>
  <c r="D106" i="42"/>
  <c r="C106" i="42"/>
  <c r="H27" i="8"/>
  <c r="F106" i="42" l="1"/>
  <c r="D107" i="42"/>
  <c r="C107" i="42"/>
  <c r="E108" i="42"/>
  <c r="A109" i="42"/>
  <c r="B108" i="42"/>
  <c r="H26" i="8"/>
  <c r="F107" i="42" l="1"/>
  <c r="E109" i="42"/>
  <c r="A110" i="42"/>
  <c r="B109" i="42"/>
  <c r="D108" i="42"/>
  <c r="C108" i="42"/>
  <c r="H25" i="8"/>
  <c r="F108" i="42" l="1"/>
  <c r="D109" i="42"/>
  <c r="C109" i="42"/>
  <c r="E110" i="42"/>
  <c r="A111" i="42"/>
  <c r="B110" i="42"/>
  <c r="H24" i="8"/>
  <c r="F109" i="42" l="1"/>
  <c r="E111" i="42"/>
  <c r="A112" i="42"/>
  <c r="B111" i="42"/>
  <c r="D110" i="42"/>
  <c r="C110" i="42"/>
  <c r="H23" i="8"/>
  <c r="F110" i="42" l="1"/>
  <c r="D111" i="42"/>
  <c r="C111" i="42"/>
  <c r="E112" i="42"/>
  <c r="A113" i="42"/>
  <c r="B112" i="42"/>
  <c r="H22" i="8"/>
  <c r="F111" i="42" l="1"/>
  <c r="E113" i="42"/>
  <c r="A114" i="42"/>
  <c r="B113" i="42"/>
  <c r="D112" i="42"/>
  <c r="C112" i="42"/>
  <c r="H21" i="8"/>
  <c r="F112" i="42" l="1"/>
  <c r="D113" i="42"/>
  <c r="C113" i="42"/>
  <c r="E114" i="42"/>
  <c r="A115" i="42"/>
  <c r="B114" i="42"/>
  <c r="H20" i="8"/>
  <c r="F113" i="42" l="1"/>
  <c r="E115" i="42"/>
  <c r="A116" i="42"/>
  <c r="B115" i="42"/>
  <c r="D114" i="42"/>
  <c r="C114" i="42"/>
  <c r="H19" i="8"/>
  <c r="F114" i="42" l="1"/>
  <c r="E116" i="42"/>
  <c r="A117" i="42"/>
  <c r="B116" i="42"/>
  <c r="D115" i="42"/>
  <c r="C115" i="42"/>
  <c r="H18" i="8"/>
  <c r="F115" i="42" l="1"/>
  <c r="D116" i="42"/>
  <c r="C116" i="42"/>
  <c r="E117" i="42"/>
  <c r="A118" i="42"/>
  <c r="B117" i="42"/>
  <c r="H17" i="8"/>
  <c r="F116" i="42" l="1"/>
  <c r="E118" i="42"/>
  <c r="A119" i="42"/>
  <c r="B118" i="42"/>
  <c r="D117" i="42"/>
  <c r="C117" i="42"/>
  <c r="H16" i="8"/>
  <c r="F117" i="42" l="1"/>
  <c r="D118" i="42"/>
  <c r="C118" i="42"/>
  <c r="E119" i="42"/>
  <c r="A120" i="42"/>
  <c r="B119" i="42"/>
  <c r="H15" i="8"/>
  <c r="F118" i="42" l="1"/>
  <c r="E120" i="42"/>
  <c r="A121" i="42"/>
  <c r="B120" i="42"/>
  <c r="D119" i="42"/>
  <c r="C119" i="42"/>
  <c r="H14" i="8"/>
  <c r="F119" i="42" l="1"/>
  <c r="D120" i="42"/>
  <c r="C120" i="42"/>
  <c r="E121" i="42"/>
  <c r="A122" i="42"/>
  <c r="B121" i="42"/>
  <c r="H13" i="8"/>
  <c r="F120" i="42" l="1"/>
  <c r="E122" i="42"/>
  <c r="A123" i="42"/>
  <c r="B122" i="42"/>
  <c r="D121" i="42"/>
  <c r="C121" i="42"/>
  <c r="H12" i="8"/>
  <c r="F121" i="42" l="1"/>
  <c r="D122" i="42"/>
  <c r="C122" i="42"/>
  <c r="E123" i="42"/>
  <c r="A124" i="42"/>
  <c r="B123" i="42"/>
  <c r="H11" i="8"/>
  <c r="F122" i="42" l="1"/>
  <c r="E124" i="42"/>
  <c r="A125" i="42"/>
  <c r="B124" i="42"/>
  <c r="D123" i="42"/>
  <c r="C123" i="42"/>
  <c r="H10" i="8"/>
  <c r="F123" i="42" l="1"/>
  <c r="D124" i="42"/>
  <c r="C124" i="42"/>
  <c r="E125" i="42"/>
  <c r="A126" i="42"/>
  <c r="B125" i="42"/>
  <c r="H9" i="8"/>
  <c r="F124" i="42" l="1"/>
  <c r="E126" i="42"/>
  <c r="A127" i="42"/>
  <c r="B126" i="42"/>
  <c r="D125" i="42"/>
  <c r="C125" i="42"/>
  <c r="H8" i="8"/>
  <c r="F125" i="42" l="1"/>
  <c r="D126" i="42"/>
  <c r="C126" i="42"/>
  <c r="E127" i="42"/>
  <c r="A128" i="42"/>
  <c r="B127" i="42"/>
  <c r="H7" i="8"/>
  <c r="F126" i="42" l="1"/>
  <c r="E128" i="42"/>
  <c r="A129" i="42"/>
  <c r="B128" i="42"/>
  <c r="D127" i="42"/>
  <c r="C127" i="42"/>
  <c r="F127" i="42" l="1"/>
  <c r="D128" i="42"/>
  <c r="C128" i="42"/>
  <c r="E129" i="42"/>
  <c r="A130" i="42"/>
  <c r="B129" i="42"/>
  <c r="F128" i="42" l="1"/>
  <c r="E130" i="42"/>
  <c r="A131" i="42"/>
  <c r="B130" i="42"/>
  <c r="D129" i="42"/>
  <c r="C129" i="42"/>
  <c r="F129" i="42" l="1"/>
  <c r="D130" i="42"/>
  <c r="C130" i="42"/>
  <c r="E131" i="42"/>
  <c r="A132" i="42"/>
  <c r="B131" i="42"/>
  <c r="F130" i="42" l="1"/>
  <c r="E132" i="42"/>
  <c r="A133" i="42"/>
  <c r="B132" i="42"/>
  <c r="D131" i="42"/>
  <c r="C131" i="42"/>
  <c r="F131" i="42" l="1"/>
  <c r="D132" i="42"/>
  <c r="C132" i="42"/>
  <c r="E133" i="42"/>
  <c r="A134" i="42"/>
  <c r="B133" i="42"/>
  <c r="F132" i="42" l="1"/>
  <c r="E134" i="42"/>
  <c r="A135" i="42"/>
  <c r="B134" i="42"/>
  <c r="D133" i="42"/>
  <c r="C133" i="42"/>
  <c r="F133" i="42" l="1"/>
  <c r="E135" i="42"/>
  <c r="A136" i="42"/>
  <c r="B135" i="42"/>
  <c r="D134" i="42"/>
  <c r="C134" i="42"/>
  <c r="F134" i="42" l="1"/>
  <c r="D135" i="42"/>
  <c r="C135" i="42"/>
  <c r="E136" i="42"/>
  <c r="A137" i="42"/>
  <c r="B136" i="42"/>
  <c r="F135" i="42" l="1"/>
  <c r="E137" i="42"/>
  <c r="A138" i="42"/>
  <c r="B137" i="42"/>
  <c r="D136" i="42"/>
  <c r="C136" i="42"/>
  <c r="F136" i="42" l="1"/>
  <c r="D137" i="42"/>
  <c r="C137" i="42"/>
  <c r="E138" i="42"/>
  <c r="A139" i="42"/>
  <c r="B138" i="42"/>
  <c r="F137" i="42" l="1"/>
  <c r="E139" i="42"/>
  <c r="A140" i="42"/>
  <c r="B139" i="42"/>
  <c r="D138" i="42"/>
  <c r="C138" i="42"/>
  <c r="F138" i="42" l="1"/>
  <c r="D139" i="42"/>
  <c r="C139" i="42"/>
  <c r="E140" i="42"/>
  <c r="A141" i="42"/>
  <c r="B140" i="42"/>
  <c r="F139" i="42" l="1"/>
  <c r="E141" i="42"/>
  <c r="A142" i="42"/>
  <c r="B141" i="42"/>
  <c r="D140" i="42"/>
  <c r="C140" i="42"/>
  <c r="F140" i="42" l="1"/>
  <c r="D141" i="42"/>
  <c r="C141" i="42"/>
  <c r="E142" i="42"/>
  <c r="A143" i="42"/>
  <c r="B142" i="42"/>
  <c r="F141" i="42" l="1"/>
  <c r="E143" i="42"/>
  <c r="A144" i="42"/>
  <c r="B143" i="42"/>
  <c r="D142" i="42"/>
  <c r="C142" i="42"/>
  <c r="F142" i="42" l="1"/>
  <c r="D143" i="42"/>
  <c r="C143" i="42"/>
  <c r="E144" i="42"/>
  <c r="A145" i="42"/>
  <c r="B144" i="42"/>
  <c r="F143" i="42" l="1"/>
  <c r="E145" i="42"/>
  <c r="A146" i="42"/>
  <c r="B145" i="42"/>
  <c r="D144" i="42"/>
  <c r="C144" i="42"/>
  <c r="F144" i="42" l="1"/>
  <c r="D145" i="42"/>
  <c r="C145" i="42"/>
  <c r="E146" i="42"/>
  <c r="A147" i="42"/>
  <c r="B146" i="42"/>
  <c r="F145" i="42" l="1"/>
  <c r="E147" i="42"/>
  <c r="A148" i="42"/>
  <c r="B147" i="42"/>
  <c r="D146" i="42"/>
  <c r="C146" i="42"/>
  <c r="F146" i="42" l="1"/>
  <c r="D147" i="42"/>
  <c r="C147" i="42"/>
  <c r="E148" i="42"/>
  <c r="A149" i="42"/>
  <c r="B148" i="42"/>
  <c r="F147" i="42" l="1"/>
  <c r="E149" i="42"/>
  <c r="A150" i="42"/>
  <c r="B149" i="42"/>
  <c r="D148" i="42"/>
  <c r="C148" i="42"/>
  <c r="F148" i="42" l="1"/>
  <c r="D149" i="42"/>
  <c r="C149" i="42"/>
  <c r="E150" i="42"/>
  <c r="A151" i="42"/>
  <c r="B150" i="42"/>
  <c r="F149" i="42" l="1"/>
  <c r="E151" i="42"/>
  <c r="A152" i="42"/>
  <c r="B151" i="42"/>
  <c r="D150" i="42"/>
  <c r="C150" i="42"/>
  <c r="F150" i="42" l="1"/>
  <c r="D151" i="42"/>
  <c r="C151" i="42"/>
  <c r="E152" i="42"/>
  <c r="A153" i="42"/>
  <c r="B152" i="42"/>
  <c r="F151" i="42" l="1"/>
  <c r="E153" i="42"/>
  <c r="A154" i="42"/>
  <c r="B153" i="42"/>
  <c r="D152" i="42"/>
  <c r="C152" i="42"/>
  <c r="F152" i="42" l="1"/>
  <c r="D153" i="42"/>
  <c r="C153" i="42"/>
  <c r="E154" i="42"/>
  <c r="A155" i="42"/>
  <c r="B154" i="42"/>
  <c r="F153" i="42" l="1"/>
  <c r="E155" i="42"/>
  <c r="A156" i="42"/>
  <c r="B155" i="42"/>
  <c r="D154" i="42"/>
  <c r="C154" i="42"/>
  <c r="F154" i="42" l="1"/>
  <c r="D155" i="42"/>
  <c r="C155" i="42"/>
  <c r="E156" i="42"/>
  <c r="B156" i="42"/>
  <c r="A157" i="42"/>
  <c r="F155" i="42" l="1"/>
  <c r="D156" i="42"/>
  <c r="C156" i="42"/>
  <c r="E157" i="42"/>
  <c r="A158" i="42"/>
  <c r="B157" i="42"/>
  <c r="F156" i="42" l="1"/>
  <c r="E158" i="42"/>
  <c r="A159" i="42"/>
  <c r="B158" i="42"/>
  <c r="D157" i="42"/>
  <c r="C157" i="42"/>
  <c r="F157" i="42" l="1"/>
  <c r="D158" i="42"/>
  <c r="C158" i="42"/>
  <c r="E159" i="42"/>
  <c r="A160" i="42"/>
  <c r="B159" i="42"/>
  <c r="E160" i="42" l="1"/>
  <c r="A161" i="42"/>
  <c r="B160" i="42"/>
  <c r="F158" i="42"/>
  <c r="D159" i="42"/>
  <c r="C159" i="42"/>
  <c r="D160" i="42" l="1"/>
  <c r="C160" i="42"/>
  <c r="F159" i="42"/>
  <c r="E161" i="42"/>
  <c r="A162" i="42"/>
  <c r="B161" i="42"/>
  <c r="F160" i="42" l="1"/>
  <c r="D161" i="42"/>
  <c r="C161" i="42"/>
  <c r="E162" i="42"/>
  <c r="B162" i="42"/>
  <c r="A163" i="42"/>
  <c r="F161" i="42" l="1"/>
  <c r="D162" i="42"/>
  <c r="C162" i="42"/>
  <c r="E163" i="42"/>
  <c r="A164" i="42"/>
  <c r="B163" i="42"/>
  <c r="F162" i="42" l="1"/>
  <c r="E164" i="42"/>
  <c r="A165" i="42"/>
  <c r="B164" i="42"/>
  <c r="D163" i="42"/>
  <c r="C163" i="42"/>
  <c r="F163" i="42" l="1"/>
  <c r="D164" i="42"/>
  <c r="C164" i="42"/>
  <c r="E165" i="42"/>
  <c r="A166" i="42"/>
  <c r="B165" i="42"/>
  <c r="F164" i="42" l="1"/>
  <c r="E166" i="42"/>
  <c r="A167" i="42"/>
  <c r="B166" i="42"/>
  <c r="D165" i="42"/>
  <c r="C165" i="42"/>
  <c r="F165" i="42" l="1"/>
  <c r="D166" i="42"/>
  <c r="C166" i="42"/>
  <c r="E167" i="42"/>
  <c r="A168" i="42"/>
  <c r="B167" i="42"/>
  <c r="F166" i="42" l="1"/>
  <c r="E168" i="42"/>
  <c r="A169" i="42"/>
  <c r="B168" i="42"/>
  <c r="D167" i="42"/>
  <c r="C167" i="42"/>
  <c r="F167" i="42" l="1"/>
  <c r="D168" i="42"/>
  <c r="C168" i="42"/>
  <c r="E169" i="42"/>
  <c r="A170" i="42"/>
  <c r="B169" i="42"/>
  <c r="F168" i="42" l="1"/>
  <c r="E170" i="42"/>
  <c r="A171" i="42"/>
  <c r="B170" i="42"/>
  <c r="D169" i="42"/>
  <c r="C169" i="42"/>
  <c r="F169" i="42" l="1"/>
  <c r="D170" i="42"/>
  <c r="C170" i="42"/>
  <c r="E171" i="42"/>
  <c r="A172" i="42"/>
  <c r="B171" i="42"/>
  <c r="F170" i="42" l="1"/>
  <c r="E172" i="42"/>
  <c r="A173" i="42"/>
  <c r="B172" i="42"/>
  <c r="D171" i="42"/>
  <c r="C171" i="42"/>
  <c r="F171" i="42" l="1"/>
  <c r="D172" i="42"/>
  <c r="C172" i="42"/>
  <c r="E173" i="42"/>
  <c r="A174" i="42"/>
  <c r="B173" i="42"/>
  <c r="F172" i="42" l="1"/>
  <c r="E174" i="42"/>
  <c r="A175" i="42"/>
  <c r="B174" i="42"/>
  <c r="D173" i="42"/>
  <c r="C173" i="42"/>
  <c r="F173" i="42" l="1"/>
  <c r="D174" i="42"/>
  <c r="C174" i="42"/>
  <c r="E175" i="42"/>
  <c r="A176" i="42"/>
  <c r="B175" i="42"/>
  <c r="F174" i="42" l="1"/>
  <c r="E176" i="42"/>
  <c r="A177" i="42"/>
  <c r="B176" i="42"/>
  <c r="D175" i="42"/>
  <c r="C175" i="42"/>
  <c r="F175" i="42" l="1"/>
  <c r="D176" i="42"/>
  <c r="C176" i="42"/>
  <c r="E177" i="42"/>
  <c r="A178" i="42"/>
  <c r="B177" i="42"/>
  <c r="F176" i="42" l="1"/>
  <c r="E178" i="42"/>
  <c r="A179" i="42"/>
  <c r="B178" i="42"/>
  <c r="D177" i="42"/>
  <c r="C177" i="42"/>
  <c r="F177" i="42" l="1"/>
  <c r="D178" i="42"/>
  <c r="C178" i="42"/>
  <c r="E179" i="42"/>
  <c r="A180" i="42"/>
  <c r="B179" i="42"/>
  <c r="F178" i="42" l="1"/>
  <c r="E180" i="42"/>
  <c r="A181" i="42"/>
  <c r="B180" i="42"/>
  <c r="D179" i="42"/>
  <c r="C179" i="42"/>
  <c r="F179" i="42" l="1"/>
  <c r="D180" i="42"/>
  <c r="C180" i="42"/>
  <c r="E181" i="42"/>
  <c r="A182" i="42"/>
  <c r="B181" i="42"/>
  <c r="F180" i="42" l="1"/>
  <c r="E182" i="42"/>
  <c r="A183" i="42"/>
  <c r="B182" i="42"/>
  <c r="D181" i="42"/>
  <c r="C181" i="42"/>
  <c r="F181" i="42" l="1"/>
  <c r="D182" i="42"/>
  <c r="C182" i="42"/>
  <c r="E183" i="42"/>
  <c r="A184" i="42"/>
  <c r="B183" i="42"/>
  <c r="F182" i="42" l="1"/>
  <c r="E184" i="42"/>
  <c r="A185" i="42"/>
  <c r="B184" i="42"/>
  <c r="D183" i="42"/>
  <c r="C183" i="42"/>
  <c r="F183" i="42" l="1"/>
  <c r="D184" i="42"/>
  <c r="C184" i="42"/>
  <c r="E185" i="42"/>
  <c r="A186" i="42"/>
  <c r="B185" i="42"/>
  <c r="F184" i="42" l="1"/>
  <c r="E186" i="42"/>
  <c r="A187" i="42"/>
  <c r="B186" i="42"/>
  <c r="D185" i="42"/>
  <c r="C185" i="42"/>
  <c r="F185" i="42" l="1"/>
  <c r="D186" i="42"/>
  <c r="C186" i="42"/>
  <c r="E187" i="42"/>
  <c r="A188" i="42"/>
  <c r="B187" i="42"/>
  <c r="F186" i="42" l="1"/>
  <c r="E188" i="42"/>
  <c r="A189" i="42"/>
  <c r="B188" i="42"/>
  <c r="D187" i="42"/>
  <c r="C187" i="42"/>
  <c r="F187" i="42" l="1"/>
  <c r="D188" i="42"/>
  <c r="C188" i="42"/>
  <c r="E189" i="42"/>
  <c r="A190" i="42"/>
  <c r="B189" i="42"/>
  <c r="F188" i="42" l="1"/>
  <c r="E190" i="42"/>
  <c r="A191" i="42"/>
  <c r="B190" i="42"/>
  <c r="D189" i="42"/>
  <c r="C189" i="42"/>
  <c r="F189" i="42" l="1"/>
  <c r="D190" i="42"/>
  <c r="C190" i="42"/>
  <c r="E191" i="42"/>
  <c r="A192" i="42"/>
  <c r="B191" i="42"/>
  <c r="F190" i="42" l="1"/>
  <c r="E192" i="42"/>
  <c r="A193" i="42"/>
  <c r="B192" i="42"/>
  <c r="D191" i="42"/>
  <c r="C191" i="42"/>
  <c r="F191" i="42" l="1"/>
  <c r="D192" i="42"/>
  <c r="C192" i="42"/>
  <c r="E193" i="42"/>
  <c r="A194" i="42"/>
  <c r="B193" i="42"/>
  <c r="F192" i="42" l="1"/>
  <c r="E194" i="42"/>
  <c r="A195" i="42"/>
  <c r="B194" i="42"/>
  <c r="D193" i="42"/>
  <c r="C193" i="42"/>
  <c r="F193" i="42" l="1"/>
  <c r="D194" i="42"/>
  <c r="C194" i="42"/>
  <c r="E195" i="42"/>
  <c r="A196" i="42"/>
  <c r="B195" i="42"/>
  <c r="F194" i="42" l="1"/>
  <c r="E196" i="42"/>
  <c r="A197" i="42"/>
  <c r="B196" i="42"/>
  <c r="D195" i="42"/>
  <c r="C195" i="42"/>
  <c r="F195" i="42" l="1"/>
  <c r="D196" i="42"/>
  <c r="C196" i="42"/>
  <c r="E197" i="42"/>
  <c r="A198" i="42"/>
  <c r="B197" i="42"/>
  <c r="F196" i="42" l="1"/>
  <c r="E198" i="42"/>
  <c r="A199" i="42"/>
  <c r="B198" i="42"/>
  <c r="D197" i="42"/>
  <c r="C197" i="42"/>
  <c r="F197" i="42" l="1"/>
  <c r="D198" i="42"/>
  <c r="C198" i="42"/>
  <c r="E199" i="42"/>
  <c r="A200" i="42"/>
  <c r="B199" i="42"/>
  <c r="F198" i="42" l="1"/>
  <c r="E200" i="42"/>
  <c r="A201" i="42"/>
  <c r="B200" i="42"/>
  <c r="D199" i="42"/>
  <c r="C199" i="42"/>
  <c r="F199" i="42" l="1"/>
  <c r="D200" i="42"/>
  <c r="C200" i="42"/>
  <c r="E201" i="42"/>
  <c r="A202" i="42"/>
  <c r="B201" i="42"/>
  <c r="F200" i="42" l="1"/>
  <c r="E202" i="42"/>
  <c r="A203" i="42"/>
  <c r="B202" i="42"/>
  <c r="D201" i="42"/>
  <c r="C201" i="42"/>
  <c r="F201" i="42" l="1"/>
  <c r="D202" i="42"/>
  <c r="C202" i="42"/>
  <c r="E203" i="42"/>
  <c r="A204" i="42"/>
  <c r="B203" i="42"/>
  <c r="F202" i="42" l="1"/>
  <c r="E204" i="42"/>
  <c r="A205" i="42"/>
  <c r="B204" i="42"/>
  <c r="D203" i="42"/>
  <c r="C203" i="42"/>
  <c r="F203" i="42" l="1"/>
  <c r="D204" i="42"/>
  <c r="C204" i="42"/>
  <c r="E205" i="42"/>
  <c r="A206" i="42"/>
  <c r="B205" i="42"/>
  <c r="F204" i="42" l="1"/>
  <c r="E206" i="42"/>
  <c r="B206" i="42"/>
  <c r="A207" i="42"/>
  <c r="D205" i="42"/>
  <c r="C205" i="42"/>
  <c r="F4" i="2"/>
  <c r="G4" i="2" s="1"/>
  <c r="B3" i="2"/>
  <c r="I4" i="2" l="1"/>
  <c r="F205" i="42"/>
  <c r="E207" i="42"/>
  <c r="A208" i="42"/>
  <c r="B207" i="42"/>
  <c r="D206" i="42"/>
  <c r="C206" i="42"/>
  <c r="F3" i="2"/>
  <c r="H4" i="2"/>
  <c r="F232" i="2" l="1"/>
  <c r="G232" i="2" s="1"/>
  <c r="F216" i="2"/>
  <c r="G216" i="2" s="1"/>
  <c r="F200" i="2"/>
  <c r="G200" i="2" s="1"/>
  <c r="F184" i="2"/>
  <c r="G184" i="2" s="1"/>
  <c r="F168" i="2"/>
  <c r="G168" i="2" s="1"/>
  <c r="F152" i="2"/>
  <c r="G152" i="2" s="1"/>
  <c r="F136" i="2"/>
  <c r="G136" i="2" s="1"/>
  <c r="F231" i="2"/>
  <c r="G231" i="2" s="1"/>
  <c r="F215" i="2"/>
  <c r="G215" i="2" s="1"/>
  <c r="F199" i="2"/>
  <c r="G199" i="2" s="1"/>
  <c r="F183" i="2"/>
  <c r="G183" i="2" s="1"/>
  <c r="F167" i="2"/>
  <c r="G167" i="2" s="1"/>
  <c r="F151" i="2"/>
  <c r="G151" i="2" s="1"/>
  <c r="F135" i="2"/>
  <c r="G135" i="2" s="1"/>
  <c r="F230" i="2"/>
  <c r="G230" i="2" s="1"/>
  <c r="F214" i="2"/>
  <c r="G214" i="2" s="1"/>
  <c r="F198" i="2"/>
  <c r="G198" i="2" s="1"/>
  <c r="F182" i="2"/>
  <c r="G182" i="2" s="1"/>
  <c r="F166" i="2"/>
  <c r="G166" i="2" s="1"/>
  <c r="F150" i="2"/>
  <c r="G150" i="2" s="1"/>
  <c r="F134" i="2"/>
  <c r="G134" i="2" s="1"/>
  <c r="F5" i="2"/>
  <c r="G5" i="2" s="1"/>
  <c r="F229" i="2"/>
  <c r="G229" i="2" s="1"/>
  <c r="F213" i="2"/>
  <c r="G213" i="2" s="1"/>
  <c r="F197" i="2"/>
  <c r="G197" i="2" s="1"/>
  <c r="F181" i="2"/>
  <c r="G181" i="2" s="1"/>
  <c r="F165" i="2"/>
  <c r="G165" i="2" s="1"/>
  <c r="F149" i="2"/>
  <c r="G149" i="2" s="1"/>
  <c r="F133" i="2"/>
  <c r="G133" i="2" s="1"/>
  <c r="F228" i="2"/>
  <c r="G228" i="2" s="1"/>
  <c r="F212" i="2"/>
  <c r="G212" i="2" s="1"/>
  <c r="F196" i="2"/>
  <c r="G196" i="2" s="1"/>
  <c r="F180" i="2"/>
  <c r="G180" i="2" s="1"/>
  <c r="F164" i="2"/>
  <c r="G164" i="2" s="1"/>
  <c r="F148" i="2"/>
  <c r="G148" i="2" s="1"/>
  <c r="F132" i="2"/>
  <c r="G132" i="2" s="1"/>
  <c r="F243" i="2"/>
  <c r="G243" i="2" s="1"/>
  <c r="F227" i="2"/>
  <c r="G227" i="2" s="1"/>
  <c r="F211" i="2"/>
  <c r="G211" i="2" s="1"/>
  <c r="F195" i="2"/>
  <c r="G195" i="2" s="1"/>
  <c r="F179" i="2"/>
  <c r="G179" i="2" s="1"/>
  <c r="F163" i="2"/>
  <c r="G163" i="2" s="1"/>
  <c r="F147" i="2"/>
  <c r="G147" i="2" s="1"/>
  <c r="F131" i="2"/>
  <c r="G131" i="2" s="1"/>
  <c r="F242" i="2"/>
  <c r="G242" i="2" s="1"/>
  <c r="F226" i="2"/>
  <c r="G226" i="2" s="1"/>
  <c r="F210" i="2"/>
  <c r="G210" i="2" s="1"/>
  <c r="F194" i="2"/>
  <c r="G194" i="2" s="1"/>
  <c r="F178" i="2"/>
  <c r="G178" i="2" s="1"/>
  <c r="F162" i="2"/>
  <c r="G162" i="2" s="1"/>
  <c r="F146" i="2"/>
  <c r="G146" i="2" s="1"/>
  <c r="F130" i="2"/>
  <c r="G130" i="2" s="1"/>
  <c r="F241" i="2"/>
  <c r="G241" i="2" s="1"/>
  <c r="F225" i="2"/>
  <c r="G225" i="2" s="1"/>
  <c r="F209" i="2"/>
  <c r="G209" i="2" s="1"/>
  <c r="F193" i="2"/>
  <c r="G193" i="2" s="1"/>
  <c r="F177" i="2"/>
  <c r="G177" i="2" s="1"/>
  <c r="F161" i="2"/>
  <c r="G161" i="2" s="1"/>
  <c r="F145" i="2"/>
  <c r="G145" i="2" s="1"/>
  <c r="F129" i="2"/>
  <c r="G129" i="2" s="1"/>
  <c r="F240" i="2"/>
  <c r="G240" i="2" s="1"/>
  <c r="F224" i="2"/>
  <c r="G224" i="2" s="1"/>
  <c r="F208" i="2"/>
  <c r="G208" i="2" s="1"/>
  <c r="F192" i="2"/>
  <c r="G192" i="2" s="1"/>
  <c r="F176" i="2"/>
  <c r="G176" i="2" s="1"/>
  <c r="F160" i="2"/>
  <c r="G160" i="2" s="1"/>
  <c r="F144" i="2"/>
  <c r="G144" i="2" s="1"/>
  <c r="F128" i="2"/>
  <c r="G128" i="2" s="1"/>
  <c r="F239" i="2"/>
  <c r="G239" i="2" s="1"/>
  <c r="F223" i="2"/>
  <c r="G223" i="2" s="1"/>
  <c r="F207" i="2"/>
  <c r="G207" i="2" s="1"/>
  <c r="F191" i="2"/>
  <c r="G191" i="2" s="1"/>
  <c r="F175" i="2"/>
  <c r="G175" i="2" s="1"/>
  <c r="F159" i="2"/>
  <c r="G159" i="2" s="1"/>
  <c r="F143" i="2"/>
  <c r="G143" i="2" s="1"/>
  <c r="F127" i="2"/>
  <c r="G127" i="2" s="1"/>
  <c r="F238" i="2"/>
  <c r="G238" i="2" s="1"/>
  <c r="F222" i="2"/>
  <c r="G222" i="2" s="1"/>
  <c r="F206" i="2"/>
  <c r="G206" i="2" s="1"/>
  <c r="F190" i="2"/>
  <c r="G190" i="2" s="1"/>
  <c r="F174" i="2"/>
  <c r="G174" i="2" s="1"/>
  <c r="F158" i="2"/>
  <c r="G158" i="2" s="1"/>
  <c r="F142" i="2"/>
  <c r="G142" i="2" s="1"/>
  <c r="F237" i="2"/>
  <c r="G237" i="2" s="1"/>
  <c r="F221" i="2"/>
  <c r="G221" i="2" s="1"/>
  <c r="F205" i="2"/>
  <c r="G205" i="2" s="1"/>
  <c r="F189" i="2"/>
  <c r="G189" i="2" s="1"/>
  <c r="F173" i="2"/>
  <c r="G173" i="2" s="1"/>
  <c r="F157" i="2"/>
  <c r="G157" i="2" s="1"/>
  <c r="F141" i="2"/>
  <c r="G141" i="2" s="1"/>
  <c r="F236" i="2"/>
  <c r="G236" i="2" s="1"/>
  <c r="F220" i="2"/>
  <c r="G220" i="2" s="1"/>
  <c r="F204" i="2"/>
  <c r="G204" i="2" s="1"/>
  <c r="F188" i="2"/>
  <c r="G188" i="2" s="1"/>
  <c r="F172" i="2"/>
  <c r="G172" i="2" s="1"/>
  <c r="F156" i="2"/>
  <c r="G156" i="2" s="1"/>
  <c r="F140" i="2"/>
  <c r="G140" i="2" s="1"/>
  <c r="F235" i="2"/>
  <c r="G235" i="2" s="1"/>
  <c r="F219" i="2"/>
  <c r="G219" i="2" s="1"/>
  <c r="F203" i="2"/>
  <c r="G203" i="2" s="1"/>
  <c r="F187" i="2"/>
  <c r="G187" i="2" s="1"/>
  <c r="F171" i="2"/>
  <c r="G171" i="2" s="1"/>
  <c r="F155" i="2"/>
  <c r="G155" i="2" s="1"/>
  <c r="F139" i="2"/>
  <c r="G139" i="2" s="1"/>
  <c r="F234" i="2"/>
  <c r="G234" i="2" s="1"/>
  <c r="F218" i="2"/>
  <c r="G218" i="2" s="1"/>
  <c r="F202" i="2"/>
  <c r="G202" i="2" s="1"/>
  <c r="F186" i="2"/>
  <c r="G186" i="2" s="1"/>
  <c r="F170" i="2"/>
  <c r="G170" i="2" s="1"/>
  <c r="F154" i="2"/>
  <c r="G154" i="2" s="1"/>
  <c r="F138" i="2"/>
  <c r="G138" i="2" s="1"/>
  <c r="F233" i="2"/>
  <c r="G233" i="2" s="1"/>
  <c r="F217" i="2"/>
  <c r="G217" i="2" s="1"/>
  <c r="F201" i="2"/>
  <c r="G201" i="2" s="1"/>
  <c r="F185" i="2"/>
  <c r="G185" i="2" s="1"/>
  <c r="F169" i="2"/>
  <c r="G169" i="2" s="1"/>
  <c r="F153" i="2"/>
  <c r="G153" i="2" s="1"/>
  <c r="F137" i="2"/>
  <c r="G137" i="2" s="1"/>
  <c r="F206" i="42"/>
  <c r="D207" i="42"/>
  <c r="C207" i="42"/>
  <c r="E208" i="42"/>
  <c r="A209" i="42"/>
  <c r="B208" i="42"/>
  <c r="B3" i="1"/>
  <c r="F91" i="2" l="1"/>
  <c r="G91" i="2" s="1"/>
  <c r="I91" i="2" s="1"/>
  <c r="F76" i="2"/>
  <c r="G76" i="2" s="1"/>
  <c r="I76" i="2" s="1"/>
  <c r="F46" i="2"/>
  <c r="G46" i="2" s="1"/>
  <c r="I46" i="2" s="1"/>
  <c r="F16" i="2"/>
  <c r="G16" i="2" s="1"/>
  <c r="F122" i="2"/>
  <c r="G122" i="2" s="1"/>
  <c r="I122" i="2" s="1"/>
  <c r="F92" i="2"/>
  <c r="G92" i="2" s="1"/>
  <c r="I92" i="2" s="1"/>
  <c r="F62" i="2"/>
  <c r="G62" i="2" s="1"/>
  <c r="F47" i="2"/>
  <c r="F17" i="2"/>
  <c r="G17" i="2" s="1"/>
  <c r="I17" i="2" s="1"/>
  <c r="F123" i="2"/>
  <c r="F78" i="2"/>
  <c r="G78" i="2" s="1"/>
  <c r="I78" i="2" s="1"/>
  <c r="F33" i="2"/>
  <c r="G33" i="2" s="1"/>
  <c r="I33" i="2" s="1"/>
  <c r="F124" i="2"/>
  <c r="G124" i="2" s="1"/>
  <c r="I124" i="2" s="1"/>
  <c r="F94" i="2"/>
  <c r="G94" i="2" s="1"/>
  <c r="I94" i="2" s="1"/>
  <c r="F64" i="2"/>
  <c r="G64" i="2" s="1"/>
  <c r="F49" i="2"/>
  <c r="G49" i="2" s="1"/>
  <c r="I49" i="2" s="1"/>
  <c r="F19" i="2"/>
  <c r="F125" i="2"/>
  <c r="G125" i="2" s="1"/>
  <c r="F110" i="2"/>
  <c r="G110" i="2" s="1"/>
  <c r="F95" i="2"/>
  <c r="G95" i="2" s="1"/>
  <c r="F80" i="2"/>
  <c r="G80" i="2" s="1"/>
  <c r="F65" i="2"/>
  <c r="F50" i="2"/>
  <c r="F35" i="2"/>
  <c r="G35" i="2" s="1"/>
  <c r="I35" i="2" s="1"/>
  <c r="F20" i="2"/>
  <c r="G20" i="2" s="1"/>
  <c r="I20" i="2" s="1"/>
  <c r="F21" i="2"/>
  <c r="G21" i="2" s="1"/>
  <c r="F96" i="2"/>
  <c r="G96" i="2" s="1"/>
  <c r="I96" i="2" s="1"/>
  <c r="F97" i="2"/>
  <c r="G97" i="2" s="1"/>
  <c r="I97" i="2" s="1"/>
  <c r="F67" i="2"/>
  <c r="G67" i="2" s="1"/>
  <c r="I67" i="2" s="1"/>
  <c r="F22" i="2"/>
  <c r="G22" i="2" s="1"/>
  <c r="F25" i="2"/>
  <c r="G25" i="2" s="1"/>
  <c r="F113" i="2"/>
  <c r="G113" i="2" s="1"/>
  <c r="F83" i="2"/>
  <c r="G83" i="2" s="1"/>
  <c r="I83" i="2" s="1"/>
  <c r="F68" i="2"/>
  <c r="G68" i="2" s="1"/>
  <c r="F38" i="2"/>
  <c r="F23" i="2"/>
  <c r="G23" i="2" s="1"/>
  <c r="F8" i="2"/>
  <c r="G8" i="2" s="1"/>
  <c r="I8" i="2" s="1"/>
  <c r="F41" i="2"/>
  <c r="G41" i="2" s="1"/>
  <c r="I41" i="2" s="1"/>
  <c r="F99" i="2"/>
  <c r="F57" i="2"/>
  <c r="G57" i="2" s="1"/>
  <c r="I57" i="2" s="1"/>
  <c r="F26" i="2"/>
  <c r="G26" i="2" s="1"/>
  <c r="F100" i="2"/>
  <c r="G100" i="2" s="1"/>
  <c r="F70" i="2"/>
  <c r="G70" i="2" s="1"/>
  <c r="F55" i="2"/>
  <c r="G55" i="2" s="1"/>
  <c r="F73" i="2"/>
  <c r="F27" i="2"/>
  <c r="G27" i="2" s="1"/>
  <c r="I27" i="2" s="1"/>
  <c r="F12" i="2"/>
  <c r="F116" i="2"/>
  <c r="G116" i="2" s="1"/>
  <c r="I116" i="2" s="1"/>
  <c r="F86" i="2"/>
  <c r="G86" i="2" s="1"/>
  <c r="I86" i="2" s="1"/>
  <c r="F71" i="2"/>
  <c r="G71" i="2" s="1"/>
  <c r="I71" i="2" s="1"/>
  <c r="F56" i="2"/>
  <c r="G56" i="2" s="1"/>
  <c r="I56" i="2" s="1"/>
  <c r="F89" i="2"/>
  <c r="G89" i="2" s="1"/>
  <c r="I89" i="2" s="1"/>
  <c r="F58" i="2"/>
  <c r="F43" i="2"/>
  <c r="G43" i="2" s="1"/>
  <c r="F13" i="2"/>
  <c r="G13" i="2" s="1"/>
  <c r="F87" i="2"/>
  <c r="G87" i="2" s="1"/>
  <c r="F72" i="2"/>
  <c r="G72" i="2" s="1"/>
  <c r="I72" i="2" s="1"/>
  <c r="F105" i="2"/>
  <c r="G105" i="2" s="1"/>
  <c r="F74" i="2"/>
  <c r="G74" i="2" s="1"/>
  <c r="F59" i="2"/>
  <c r="F44" i="2"/>
  <c r="G44" i="2" s="1"/>
  <c r="I44" i="2" s="1"/>
  <c r="F29" i="2"/>
  <c r="G29" i="2" s="1"/>
  <c r="I29" i="2" s="1"/>
  <c r="F14" i="2"/>
  <c r="G14" i="2" s="1"/>
  <c r="F118" i="2"/>
  <c r="G118" i="2" s="1"/>
  <c r="I118" i="2" s="1"/>
  <c r="F103" i="2"/>
  <c r="F88" i="2"/>
  <c r="G88" i="2" s="1"/>
  <c r="I88" i="2" s="1"/>
  <c r="F106" i="2"/>
  <c r="G106" i="2" s="1"/>
  <c r="F61" i="2"/>
  <c r="G61" i="2" s="1"/>
  <c r="F31" i="2"/>
  <c r="G31" i="2" s="1"/>
  <c r="F120" i="2"/>
  <c r="G120" i="2" s="1"/>
  <c r="F107" i="2"/>
  <c r="F77" i="2"/>
  <c r="G77" i="2" s="1"/>
  <c r="I77" i="2" s="1"/>
  <c r="F32" i="2"/>
  <c r="G32" i="2" s="1"/>
  <c r="I32" i="2" s="1"/>
  <c r="F108" i="2"/>
  <c r="G108" i="2" s="1"/>
  <c r="I108" i="2" s="1"/>
  <c r="F93" i="2"/>
  <c r="G93" i="2" s="1"/>
  <c r="I93" i="2" s="1"/>
  <c r="F63" i="2"/>
  <c r="G63" i="2" s="1"/>
  <c r="I63" i="2" s="1"/>
  <c r="F48" i="2"/>
  <c r="G48" i="2" s="1"/>
  <c r="I48" i="2" s="1"/>
  <c r="F18" i="2"/>
  <c r="G18" i="2" s="1"/>
  <c r="I18" i="2" s="1"/>
  <c r="F109" i="2"/>
  <c r="G109" i="2" s="1"/>
  <c r="I109" i="2" s="1"/>
  <c r="F79" i="2"/>
  <c r="G79" i="2" s="1"/>
  <c r="F34" i="2"/>
  <c r="G34" i="2" s="1"/>
  <c r="I34" i="2" s="1"/>
  <c r="F126" i="2"/>
  <c r="G126" i="2" s="1"/>
  <c r="F111" i="2"/>
  <c r="G111" i="2" s="1"/>
  <c r="F81" i="2"/>
  <c r="G81" i="2" s="1"/>
  <c r="F66" i="2"/>
  <c r="F51" i="2"/>
  <c r="F36" i="2"/>
  <c r="G36" i="2" s="1"/>
  <c r="I36" i="2" s="1"/>
  <c r="F37" i="2"/>
  <c r="G37" i="2" s="1"/>
  <c r="I37" i="2" s="1"/>
  <c r="F6" i="2"/>
  <c r="G6" i="2" s="1"/>
  <c r="I6" i="2" s="1"/>
  <c r="F9" i="2"/>
  <c r="G9" i="2" s="1"/>
  <c r="I9" i="2" s="1"/>
  <c r="F112" i="2"/>
  <c r="G112" i="2" s="1"/>
  <c r="I112" i="2" s="1"/>
  <c r="F82" i="2"/>
  <c r="G82" i="2" s="1"/>
  <c r="I82" i="2" s="1"/>
  <c r="F52" i="2"/>
  <c r="G52" i="2" s="1"/>
  <c r="F53" i="2"/>
  <c r="G53" i="2" s="1"/>
  <c r="I53" i="2" s="1"/>
  <c r="F7" i="2"/>
  <c r="G7" i="2" s="1"/>
  <c r="F98" i="2"/>
  <c r="G98" i="2" s="1"/>
  <c r="F69" i="2"/>
  <c r="F10" i="2"/>
  <c r="G10" i="2" s="1"/>
  <c r="I10" i="2" s="1"/>
  <c r="F114" i="2"/>
  <c r="G114" i="2" s="1"/>
  <c r="I114" i="2" s="1"/>
  <c r="F84" i="2"/>
  <c r="G84" i="2" s="1"/>
  <c r="I84" i="2" s="1"/>
  <c r="F85" i="2"/>
  <c r="G85" i="2" s="1"/>
  <c r="F54" i="2"/>
  <c r="F39" i="2"/>
  <c r="G39" i="2" s="1"/>
  <c r="I39" i="2" s="1"/>
  <c r="F24" i="2"/>
  <c r="G24" i="2" s="1"/>
  <c r="F11" i="2"/>
  <c r="G11" i="2" s="1"/>
  <c r="I11" i="2" s="1"/>
  <c r="F115" i="2"/>
  <c r="F101" i="2"/>
  <c r="G101" i="2" s="1"/>
  <c r="F40" i="2"/>
  <c r="G40" i="2" s="1"/>
  <c r="I40" i="2" s="1"/>
  <c r="F42" i="2"/>
  <c r="F117" i="2"/>
  <c r="F28" i="2"/>
  <c r="F102" i="2"/>
  <c r="G102" i="2" s="1"/>
  <c r="I102" i="2" s="1"/>
  <c r="F121" i="2"/>
  <c r="G121" i="2" s="1"/>
  <c r="I121" i="2" s="1"/>
  <c r="F90" i="2"/>
  <c r="F75" i="2"/>
  <c r="G75" i="2" s="1"/>
  <c r="I75" i="2" s="1"/>
  <c r="F60" i="2"/>
  <c r="G60" i="2" s="1"/>
  <c r="I60" i="2" s="1"/>
  <c r="F45" i="2"/>
  <c r="G45" i="2" s="1"/>
  <c r="I45" i="2" s="1"/>
  <c r="F30" i="2"/>
  <c r="G30" i="2" s="1"/>
  <c r="I30" i="2" s="1"/>
  <c r="F15" i="2"/>
  <c r="G15" i="2" s="1"/>
  <c r="I15" i="2" s="1"/>
  <c r="F119" i="2"/>
  <c r="G119" i="2" s="1"/>
  <c r="F104" i="2"/>
  <c r="G104" i="2" s="1"/>
  <c r="F228" i="1"/>
  <c r="G228" i="1" s="1"/>
  <c r="F186" i="1"/>
  <c r="G186" i="1" s="1"/>
  <c r="F202" i="1"/>
  <c r="G202" i="1" s="1"/>
  <c r="F100" i="1"/>
  <c r="G100" i="1" s="1"/>
  <c r="F209" i="1"/>
  <c r="G209" i="1" s="1"/>
  <c r="F233" i="1"/>
  <c r="G233" i="1" s="1"/>
  <c r="I127" i="2"/>
  <c r="H127" i="2"/>
  <c r="I159" i="2"/>
  <c r="H159" i="2"/>
  <c r="I191" i="2"/>
  <c r="H191" i="2"/>
  <c r="I223" i="2"/>
  <c r="H223" i="2"/>
  <c r="I160" i="2"/>
  <c r="H160" i="2"/>
  <c r="I224" i="2"/>
  <c r="H224" i="2"/>
  <c r="I177" i="2"/>
  <c r="H177" i="2"/>
  <c r="I241" i="2"/>
  <c r="H241" i="2"/>
  <c r="I130" i="2"/>
  <c r="H130" i="2"/>
  <c r="I147" i="2"/>
  <c r="H147" i="2"/>
  <c r="I211" i="2"/>
  <c r="H211" i="2"/>
  <c r="I164" i="2"/>
  <c r="H164" i="2"/>
  <c r="I228" i="2"/>
  <c r="H228" i="2"/>
  <c r="I133" i="2"/>
  <c r="H133" i="2"/>
  <c r="I197" i="2"/>
  <c r="H197" i="2"/>
  <c r="I134" i="2"/>
  <c r="H134" i="2"/>
  <c r="I198" i="2"/>
  <c r="H198" i="2"/>
  <c r="I151" i="2"/>
  <c r="H151" i="2"/>
  <c r="I215" i="2"/>
  <c r="H215" i="2"/>
  <c r="I176" i="2"/>
  <c r="H176" i="2"/>
  <c r="I240" i="2"/>
  <c r="H240" i="2"/>
  <c r="I129" i="2"/>
  <c r="H129" i="2"/>
  <c r="I193" i="2"/>
  <c r="H193" i="2"/>
  <c r="I146" i="2"/>
  <c r="H146" i="2"/>
  <c r="I210" i="2"/>
  <c r="H210" i="2"/>
  <c r="I163" i="2"/>
  <c r="H163" i="2"/>
  <c r="I227" i="2"/>
  <c r="H227" i="2"/>
  <c r="I180" i="2"/>
  <c r="H180" i="2"/>
  <c r="I149" i="2"/>
  <c r="H149" i="2"/>
  <c r="I213" i="2"/>
  <c r="H213" i="2"/>
  <c r="I150" i="2"/>
  <c r="H150" i="2"/>
  <c r="I214" i="2"/>
  <c r="H214" i="2"/>
  <c r="I167" i="2"/>
  <c r="H167" i="2"/>
  <c r="I231" i="2"/>
  <c r="H231" i="2"/>
  <c r="I209" i="2"/>
  <c r="H209" i="2"/>
  <c r="I143" i="2"/>
  <c r="H143" i="2"/>
  <c r="I175" i="2"/>
  <c r="H175" i="2"/>
  <c r="I207" i="2"/>
  <c r="H207" i="2"/>
  <c r="I239" i="2"/>
  <c r="H239" i="2"/>
  <c r="I128" i="2"/>
  <c r="H128" i="2"/>
  <c r="I192" i="2"/>
  <c r="H192" i="2"/>
  <c r="I145" i="2"/>
  <c r="H145" i="2"/>
  <c r="I162" i="2"/>
  <c r="H162" i="2"/>
  <c r="I226" i="2"/>
  <c r="H226" i="2"/>
  <c r="I179" i="2"/>
  <c r="H179" i="2"/>
  <c r="I243" i="2"/>
  <c r="H243" i="2"/>
  <c r="I132" i="2"/>
  <c r="H132" i="2"/>
  <c r="I196" i="2"/>
  <c r="H196" i="2"/>
  <c r="I165" i="2"/>
  <c r="H165" i="2"/>
  <c r="I229" i="2"/>
  <c r="H229" i="2"/>
  <c r="I166" i="2"/>
  <c r="H166" i="2"/>
  <c r="I230" i="2"/>
  <c r="H230" i="2"/>
  <c r="I183" i="2"/>
  <c r="H183" i="2"/>
  <c r="I144" i="2"/>
  <c r="H144" i="2"/>
  <c r="I208" i="2"/>
  <c r="H208" i="2"/>
  <c r="I161" i="2"/>
  <c r="H161" i="2"/>
  <c r="I225" i="2"/>
  <c r="H225" i="2"/>
  <c r="I178" i="2"/>
  <c r="H178" i="2"/>
  <c r="I242" i="2"/>
  <c r="H242" i="2"/>
  <c r="I131" i="2"/>
  <c r="H131" i="2"/>
  <c r="I195" i="2"/>
  <c r="H195" i="2"/>
  <c r="I148" i="2"/>
  <c r="H148" i="2"/>
  <c r="I212" i="2"/>
  <c r="H212" i="2"/>
  <c r="I181" i="2"/>
  <c r="H181" i="2"/>
  <c r="I182" i="2"/>
  <c r="H182" i="2"/>
  <c r="I135" i="2"/>
  <c r="H135" i="2"/>
  <c r="I199" i="2"/>
  <c r="H199" i="2"/>
  <c r="I194" i="2"/>
  <c r="H194" i="2"/>
  <c r="I168" i="2"/>
  <c r="H168" i="2"/>
  <c r="I200" i="2"/>
  <c r="H200" i="2"/>
  <c r="I232" i="2"/>
  <c r="H232" i="2"/>
  <c r="I185" i="2"/>
  <c r="H185" i="2"/>
  <c r="F184" i="1"/>
  <c r="G184" i="1" s="1"/>
  <c r="F183" i="1"/>
  <c r="G183" i="1" s="1"/>
  <c r="F216" i="1"/>
  <c r="G216" i="1" s="1"/>
  <c r="I184" i="2"/>
  <c r="H184" i="2"/>
  <c r="I137" i="2"/>
  <c r="H137" i="2"/>
  <c r="I233" i="2"/>
  <c r="H233" i="2"/>
  <c r="I154" i="2"/>
  <c r="H154" i="2"/>
  <c r="I139" i="2"/>
  <c r="H139" i="2"/>
  <c r="I171" i="2"/>
  <c r="H171" i="2"/>
  <c r="I235" i="2"/>
  <c r="H235" i="2"/>
  <c r="I141" i="2"/>
  <c r="H141" i="2"/>
  <c r="I173" i="2"/>
  <c r="H173" i="2"/>
  <c r="I205" i="2"/>
  <c r="H205" i="2"/>
  <c r="I237" i="2"/>
  <c r="H237" i="2"/>
  <c r="I158" i="2"/>
  <c r="H158" i="2"/>
  <c r="I190" i="2"/>
  <c r="H190" i="2"/>
  <c r="I222" i="2"/>
  <c r="H222" i="2"/>
  <c r="I152" i="2"/>
  <c r="H152" i="2"/>
  <c r="I201" i="2"/>
  <c r="H201" i="2"/>
  <c r="I186" i="2"/>
  <c r="H186" i="2"/>
  <c r="I203" i="2"/>
  <c r="H203" i="2"/>
  <c r="I156" i="2"/>
  <c r="H156" i="2"/>
  <c r="I188" i="2"/>
  <c r="H188" i="2"/>
  <c r="I220" i="2"/>
  <c r="H220" i="2"/>
  <c r="I5" i="2"/>
  <c r="H5" i="2"/>
  <c r="I216" i="2"/>
  <c r="H216" i="2"/>
  <c r="I169" i="2"/>
  <c r="H169" i="2"/>
  <c r="I218" i="2"/>
  <c r="H218" i="2"/>
  <c r="I136" i="2"/>
  <c r="H136" i="2"/>
  <c r="I153" i="2"/>
  <c r="H153" i="2"/>
  <c r="I217" i="2"/>
  <c r="H217" i="2"/>
  <c r="I138" i="2"/>
  <c r="H138" i="2"/>
  <c r="I170" i="2"/>
  <c r="H170" i="2"/>
  <c r="I202" i="2"/>
  <c r="H202" i="2"/>
  <c r="I234" i="2"/>
  <c r="H234" i="2"/>
  <c r="I155" i="2"/>
  <c r="H155" i="2"/>
  <c r="I187" i="2"/>
  <c r="H187" i="2"/>
  <c r="I219" i="2"/>
  <c r="H219" i="2"/>
  <c r="I140" i="2"/>
  <c r="H140" i="2"/>
  <c r="I172" i="2"/>
  <c r="H172" i="2"/>
  <c r="I204" i="2"/>
  <c r="H204" i="2"/>
  <c r="I236" i="2"/>
  <c r="H236" i="2"/>
  <c r="I157" i="2"/>
  <c r="H157" i="2"/>
  <c r="I189" i="2"/>
  <c r="H189" i="2"/>
  <c r="I221" i="2"/>
  <c r="H221" i="2"/>
  <c r="I142" i="2"/>
  <c r="H142" i="2"/>
  <c r="I174" i="2"/>
  <c r="H174" i="2"/>
  <c r="I206" i="2"/>
  <c r="H206" i="2"/>
  <c r="I238" i="2"/>
  <c r="H238" i="2"/>
  <c r="F207" i="42"/>
  <c r="D208" i="42"/>
  <c r="C208" i="42"/>
  <c r="E209" i="42"/>
  <c r="A210" i="42"/>
  <c r="B209" i="42"/>
  <c r="F3" i="1"/>
  <c r="H36" i="2" l="1"/>
  <c r="F170" i="1"/>
  <c r="G170" i="1" s="1"/>
  <c r="I170" i="1" s="1"/>
  <c r="F171" i="1"/>
  <c r="G171" i="1" s="1"/>
  <c r="I171" i="1" s="1"/>
  <c r="F161" i="1"/>
  <c r="G161" i="1" s="1"/>
  <c r="I161" i="1" s="1"/>
  <c r="F153" i="1"/>
  <c r="G153" i="1" s="1"/>
  <c r="H14" i="2"/>
  <c r="H84" i="2"/>
  <c r="H23" i="2"/>
  <c r="H83" i="2"/>
  <c r="H60" i="2"/>
  <c r="H122" i="2"/>
  <c r="I22" i="2"/>
  <c r="I23" i="2"/>
  <c r="H32" i="2"/>
  <c r="H114" i="2"/>
  <c r="H35" i="2"/>
  <c r="H71" i="2"/>
  <c r="H10" i="2"/>
  <c r="H108" i="2"/>
  <c r="G54" i="2"/>
  <c r="H54" i="2"/>
  <c r="G51" i="2"/>
  <c r="H51" i="2"/>
  <c r="H78" i="2"/>
  <c r="G58" i="2"/>
  <c r="H58" i="2"/>
  <c r="G99" i="2"/>
  <c r="H99" i="2"/>
  <c r="G123" i="2"/>
  <c r="H123" i="2"/>
  <c r="G103" i="2"/>
  <c r="H103" i="2"/>
  <c r="G50" i="2"/>
  <c r="H50" i="2"/>
  <c r="G115" i="2"/>
  <c r="I115" i="2" s="1"/>
  <c r="H115" i="2"/>
  <c r="H20" i="2"/>
  <c r="H8" i="2"/>
  <c r="H88" i="2"/>
  <c r="H89" i="2"/>
  <c r="H11" i="2"/>
  <c r="H55" i="2"/>
  <c r="G117" i="2"/>
  <c r="H117" i="2"/>
  <c r="G90" i="2"/>
  <c r="H90" i="2"/>
  <c r="G69" i="2"/>
  <c r="H69" i="2"/>
  <c r="G73" i="2"/>
  <c r="H73" i="2"/>
  <c r="G19" i="2"/>
  <c r="H19" i="2"/>
  <c r="G28" i="2"/>
  <c r="H28" i="2"/>
  <c r="H85" i="2"/>
  <c r="H44" i="2"/>
  <c r="H92" i="2"/>
  <c r="H121" i="2"/>
  <c r="H37" i="2"/>
  <c r="H22" i="2"/>
  <c r="H26" i="2"/>
  <c r="H119" i="2"/>
  <c r="H49" i="2"/>
  <c r="H39" i="2"/>
  <c r="H29" i="2"/>
  <c r="H67" i="2"/>
  <c r="H97" i="2"/>
  <c r="H116" i="2"/>
  <c r="H82" i="2"/>
  <c r="H48" i="2"/>
  <c r="H63" i="2"/>
  <c r="H43" i="2"/>
  <c r="H41" i="2"/>
  <c r="H53" i="2"/>
  <c r="H17" i="2"/>
  <c r="H104" i="2"/>
  <c r="H24" i="2"/>
  <c r="H33" i="2"/>
  <c r="H102" i="2"/>
  <c r="H52" i="2"/>
  <c r="H18" i="2"/>
  <c r="H96" i="2"/>
  <c r="H100" i="2"/>
  <c r="H124" i="2"/>
  <c r="H34" i="2"/>
  <c r="H112" i="2"/>
  <c r="H15" i="2"/>
  <c r="H72" i="2"/>
  <c r="H77" i="2"/>
  <c r="H86" i="2"/>
  <c r="G42" i="2"/>
  <c r="H42" i="2"/>
  <c r="G66" i="2"/>
  <c r="H66" i="2"/>
  <c r="G107" i="2"/>
  <c r="H107" i="2"/>
  <c r="G59" i="2"/>
  <c r="H59" i="2"/>
  <c r="G12" i="2"/>
  <c r="H12" i="2"/>
  <c r="G38" i="2"/>
  <c r="H38" i="2"/>
  <c r="G65" i="2"/>
  <c r="H65" i="2"/>
  <c r="G47" i="2"/>
  <c r="H47" i="2"/>
  <c r="I104" i="2"/>
  <c r="I119" i="2"/>
  <c r="H7" i="2"/>
  <c r="H101" i="2"/>
  <c r="H81" i="2"/>
  <c r="H95" i="2"/>
  <c r="H110" i="2"/>
  <c r="H125" i="2"/>
  <c r="H40" i="2"/>
  <c r="H120" i="2"/>
  <c r="I7" i="2"/>
  <c r="I55" i="2"/>
  <c r="I101" i="2"/>
  <c r="I81" i="2"/>
  <c r="I52" i="2"/>
  <c r="I95" i="2"/>
  <c r="I110" i="2"/>
  <c r="I125" i="2"/>
  <c r="I120" i="2"/>
  <c r="H70" i="2"/>
  <c r="H93" i="2"/>
  <c r="H105" i="2"/>
  <c r="H126" i="2"/>
  <c r="I70" i="2"/>
  <c r="I100" i="2"/>
  <c r="I24" i="2"/>
  <c r="I105" i="2"/>
  <c r="I126" i="2"/>
  <c r="H118" i="2"/>
  <c r="H111" i="2"/>
  <c r="H6" i="2"/>
  <c r="H31" i="2"/>
  <c r="H46" i="2"/>
  <c r="H61" i="2"/>
  <c r="H76" i="2"/>
  <c r="H91" i="2"/>
  <c r="H106" i="2"/>
  <c r="H57" i="2"/>
  <c r="H9" i="2"/>
  <c r="H94" i="2"/>
  <c r="H109" i="2"/>
  <c r="I111" i="2"/>
  <c r="I31" i="2"/>
  <c r="H25" i="2"/>
  <c r="I13" i="2"/>
  <c r="H16" i="2"/>
  <c r="H68" i="2"/>
  <c r="H98" i="2"/>
  <c r="H64" i="2"/>
  <c r="H21" i="2"/>
  <c r="H87" i="2"/>
  <c r="H113" i="2"/>
  <c r="I61" i="2"/>
  <c r="I106" i="2"/>
  <c r="H80" i="2"/>
  <c r="H79" i="2"/>
  <c r="H74" i="2"/>
  <c r="H13" i="2"/>
  <c r="H62" i="2"/>
  <c r="I80" i="2"/>
  <c r="I79" i="2"/>
  <c r="I85" i="2"/>
  <c r="I14" i="2"/>
  <c r="I74" i="2"/>
  <c r="I25" i="2"/>
  <c r="I26" i="2"/>
  <c r="I43" i="2"/>
  <c r="I62" i="2"/>
  <c r="H27" i="2"/>
  <c r="H56" i="2"/>
  <c r="H30" i="2"/>
  <c r="H45" i="2"/>
  <c r="H75" i="2"/>
  <c r="I16" i="2"/>
  <c r="I68" i="2"/>
  <c r="I98" i="2"/>
  <c r="I64" i="2"/>
  <c r="I21" i="2"/>
  <c r="I87" i="2"/>
  <c r="I113" i="2"/>
  <c r="F17" i="1"/>
  <c r="G17" i="1" s="1"/>
  <c r="F103" i="1"/>
  <c r="G103" i="1" s="1"/>
  <c r="I103" i="1" s="1"/>
  <c r="F26" i="1"/>
  <c r="G26" i="1" s="1"/>
  <c r="F108" i="1"/>
  <c r="G108" i="1" s="1"/>
  <c r="I108" i="1" s="1"/>
  <c r="F55" i="1"/>
  <c r="G55" i="1" s="1"/>
  <c r="F74" i="1"/>
  <c r="G74" i="1" s="1"/>
  <c r="I74" i="1" s="1"/>
  <c r="F51" i="1"/>
  <c r="G51" i="1" s="1"/>
  <c r="F147" i="1"/>
  <c r="G147" i="1" s="1"/>
  <c r="I147" i="1" s="1"/>
  <c r="F31" i="1"/>
  <c r="G31" i="1" s="1"/>
  <c r="F68" i="1"/>
  <c r="G68" i="1" s="1"/>
  <c r="I68" i="1" s="1"/>
  <c r="F33" i="1"/>
  <c r="G33" i="1" s="1"/>
  <c r="F10" i="1"/>
  <c r="G10" i="1" s="1"/>
  <c r="F138" i="1"/>
  <c r="G138" i="1" s="1"/>
  <c r="I138" i="1" s="1"/>
  <c r="F106" i="1"/>
  <c r="G106" i="1" s="1"/>
  <c r="I106" i="1" s="1"/>
  <c r="F120" i="1"/>
  <c r="G120" i="1" s="1"/>
  <c r="I120" i="1" s="1"/>
  <c r="F155" i="1"/>
  <c r="G155" i="1" s="1"/>
  <c r="I155" i="1" s="1"/>
  <c r="F123" i="1"/>
  <c r="G123" i="1" s="1"/>
  <c r="I123" i="1" s="1"/>
  <c r="F116" i="1"/>
  <c r="G116" i="1" s="1"/>
  <c r="I116" i="1" s="1"/>
  <c r="F122" i="1"/>
  <c r="G122" i="1" s="1"/>
  <c r="I122" i="1" s="1"/>
  <c r="F148" i="1"/>
  <c r="G148" i="1" s="1"/>
  <c r="I148" i="1" s="1"/>
  <c r="F90" i="1"/>
  <c r="G90" i="1" s="1"/>
  <c r="I90" i="1" s="1"/>
  <c r="F88" i="1"/>
  <c r="G88" i="1" s="1"/>
  <c r="I88" i="1" s="1"/>
  <c r="F40" i="1"/>
  <c r="G40" i="1" s="1"/>
  <c r="F192" i="1"/>
  <c r="G192" i="1" s="1"/>
  <c r="I192" i="1" s="1"/>
  <c r="F219" i="1"/>
  <c r="G219" i="1" s="1"/>
  <c r="I219" i="1" s="1"/>
  <c r="F212" i="1"/>
  <c r="G212" i="1" s="1"/>
  <c r="I212" i="1" s="1"/>
  <c r="F168" i="1"/>
  <c r="G168" i="1" s="1"/>
  <c r="F203" i="1"/>
  <c r="G203" i="1" s="1"/>
  <c r="I203" i="1" s="1"/>
  <c r="F208" i="1"/>
  <c r="G208" i="1" s="1"/>
  <c r="I208" i="1" s="1"/>
  <c r="F218" i="1"/>
  <c r="G218" i="1" s="1"/>
  <c r="I218" i="1" s="1"/>
  <c r="F49" i="1"/>
  <c r="G49" i="1" s="1"/>
  <c r="F7" i="1"/>
  <c r="G7" i="1" s="1"/>
  <c r="F58" i="1"/>
  <c r="G58" i="1" s="1"/>
  <c r="F71" i="1"/>
  <c r="G71" i="1" s="1"/>
  <c r="I71" i="1" s="1"/>
  <c r="F160" i="1"/>
  <c r="G160" i="1" s="1"/>
  <c r="I160" i="1" s="1"/>
  <c r="F127" i="1"/>
  <c r="G127" i="1" s="1"/>
  <c r="I127" i="1" s="1"/>
  <c r="F95" i="1"/>
  <c r="G95" i="1" s="1"/>
  <c r="I95" i="1" s="1"/>
  <c r="F177" i="1"/>
  <c r="G177" i="1" s="1"/>
  <c r="I177" i="1" s="1"/>
  <c r="F20" i="1"/>
  <c r="G20" i="1" s="1"/>
  <c r="F144" i="1"/>
  <c r="G144" i="1" s="1"/>
  <c r="I144" i="1" s="1"/>
  <c r="F175" i="1"/>
  <c r="G175" i="1" s="1"/>
  <c r="F196" i="1"/>
  <c r="G196" i="1" s="1"/>
  <c r="I196" i="1" s="1"/>
  <c r="F132" i="1"/>
  <c r="G132" i="1" s="1"/>
  <c r="I132" i="1" s="1"/>
  <c r="F231" i="1"/>
  <c r="G231" i="1" s="1"/>
  <c r="I231" i="1" s="1"/>
  <c r="F167" i="1"/>
  <c r="G167" i="1" s="1"/>
  <c r="F119" i="1"/>
  <c r="G119" i="1" s="1"/>
  <c r="I119" i="1" s="1"/>
  <c r="F24" i="1"/>
  <c r="G24" i="1" s="1"/>
  <c r="F84" i="1"/>
  <c r="G84" i="1" s="1"/>
  <c r="I84" i="1" s="1"/>
  <c r="F195" i="1"/>
  <c r="G195" i="1" s="1"/>
  <c r="I195" i="1" s="1"/>
  <c r="F179" i="1"/>
  <c r="G179" i="1" s="1"/>
  <c r="I179" i="1" s="1"/>
  <c r="F15" i="1"/>
  <c r="G15" i="1" s="1"/>
  <c r="F104" i="1"/>
  <c r="G104" i="1" s="1"/>
  <c r="I104" i="1" s="1"/>
  <c r="F188" i="1"/>
  <c r="G188" i="1" s="1"/>
  <c r="I188" i="1" s="1"/>
  <c r="F140" i="1"/>
  <c r="G140" i="1" s="1"/>
  <c r="I140" i="1" s="1"/>
  <c r="F76" i="1"/>
  <c r="H76" i="1" s="1"/>
  <c r="F60" i="1"/>
  <c r="F35" i="1"/>
  <c r="H35" i="1" s="1"/>
  <c r="F239" i="1"/>
  <c r="G239" i="1" s="1"/>
  <c r="I239" i="1" s="1"/>
  <c r="F223" i="1"/>
  <c r="G223" i="1" s="1"/>
  <c r="I223" i="1" s="1"/>
  <c r="F111" i="1"/>
  <c r="F79" i="1"/>
  <c r="F63" i="1"/>
  <c r="G63" i="1" s="1"/>
  <c r="F28" i="1"/>
  <c r="F18" i="1"/>
  <c r="H18" i="1" s="1"/>
  <c r="F92" i="1"/>
  <c r="G92" i="1" s="1"/>
  <c r="I92" i="1" s="1"/>
  <c r="F220" i="1"/>
  <c r="G220" i="1" s="1"/>
  <c r="I220" i="1" s="1"/>
  <c r="F172" i="1"/>
  <c r="G172" i="1" s="1"/>
  <c r="F53" i="1"/>
  <c r="H53" i="1" s="1"/>
  <c r="F204" i="1"/>
  <c r="G204" i="1" s="1"/>
  <c r="I204" i="1" s="1"/>
  <c r="F156" i="1"/>
  <c r="F124" i="1"/>
  <c r="G124" i="1" s="1"/>
  <c r="I124" i="1" s="1"/>
  <c r="F37" i="1"/>
  <c r="F21" i="1"/>
  <c r="F12" i="1"/>
  <c r="G12" i="1" s="1"/>
  <c r="F199" i="1"/>
  <c r="G199" i="1" s="1"/>
  <c r="I199" i="1" s="1"/>
  <c r="F151" i="1"/>
  <c r="H151" i="1" s="1"/>
  <c r="F135" i="1"/>
  <c r="G135" i="1" s="1"/>
  <c r="I135" i="1" s="1"/>
  <c r="F146" i="1"/>
  <c r="G146" i="1" s="1"/>
  <c r="I146" i="1" s="1"/>
  <c r="F130" i="1"/>
  <c r="G130" i="1" s="1"/>
  <c r="I130" i="1" s="1"/>
  <c r="F114" i="1"/>
  <c r="F98" i="1"/>
  <c r="G98" i="1" s="1"/>
  <c r="I98" i="1" s="1"/>
  <c r="F82" i="1"/>
  <c r="G82" i="1" s="1"/>
  <c r="I82" i="1" s="1"/>
  <c r="F66" i="1"/>
  <c r="G66" i="1" s="1"/>
  <c r="F47" i="1"/>
  <c r="F236" i="1"/>
  <c r="G236" i="1" s="1"/>
  <c r="I236" i="1" s="1"/>
  <c r="F241" i="1"/>
  <c r="G241" i="1" s="1"/>
  <c r="I241" i="1" s="1"/>
  <c r="F225" i="1"/>
  <c r="G225" i="1" s="1"/>
  <c r="I225" i="1" s="1"/>
  <c r="F193" i="1"/>
  <c r="F44" i="1"/>
  <c r="G44" i="1" s="1"/>
  <c r="F42" i="1"/>
  <c r="G42" i="1" s="1"/>
  <c r="F191" i="1"/>
  <c r="F143" i="1"/>
  <c r="G143" i="1" s="1"/>
  <c r="I143" i="1" s="1"/>
  <c r="F72" i="1"/>
  <c r="G72" i="1" s="1"/>
  <c r="I72" i="1" s="1"/>
  <c r="F56" i="1"/>
  <c r="F27" i="1"/>
  <c r="H27" i="1" s="1"/>
  <c r="F197" i="1"/>
  <c r="G197" i="1" s="1"/>
  <c r="I197" i="1" s="1"/>
  <c r="F174" i="1"/>
  <c r="G174" i="1" s="1"/>
  <c r="F200" i="1"/>
  <c r="G200" i="1" s="1"/>
  <c r="F152" i="1"/>
  <c r="G152" i="1" s="1"/>
  <c r="F80" i="1"/>
  <c r="G80" i="1" s="1"/>
  <c r="F64" i="1"/>
  <c r="G64" i="1" s="1"/>
  <c r="F43" i="1"/>
  <c r="G43" i="1" s="1"/>
  <c r="F243" i="1"/>
  <c r="G243" i="1" s="1"/>
  <c r="F227" i="1"/>
  <c r="G227" i="1" s="1"/>
  <c r="F211" i="1"/>
  <c r="G211" i="1" s="1"/>
  <c r="F131" i="1"/>
  <c r="G131" i="1" s="1"/>
  <c r="F115" i="1"/>
  <c r="G115" i="1" s="1"/>
  <c r="F99" i="1"/>
  <c r="G99" i="1" s="1"/>
  <c r="F83" i="1"/>
  <c r="G83" i="1" s="1"/>
  <c r="F67" i="1"/>
  <c r="G67" i="1" s="1"/>
  <c r="F48" i="1"/>
  <c r="G48" i="1" s="1"/>
  <c r="F240" i="1"/>
  <c r="G240" i="1" s="1"/>
  <c r="F194" i="1"/>
  <c r="G194" i="1" s="1"/>
  <c r="F166" i="1"/>
  <c r="G166" i="1" s="1"/>
  <c r="F142" i="1"/>
  <c r="G142" i="1" s="1"/>
  <c r="F126" i="1"/>
  <c r="G126" i="1" s="1"/>
  <c r="F110" i="1"/>
  <c r="G110" i="1" s="1"/>
  <c r="F94" i="1"/>
  <c r="G94" i="1" s="1"/>
  <c r="F78" i="1"/>
  <c r="G78" i="1" s="1"/>
  <c r="F62" i="1"/>
  <c r="G62" i="1" s="1"/>
  <c r="F39" i="1"/>
  <c r="G39" i="1" s="1"/>
  <c r="F224" i="1"/>
  <c r="G224" i="1" s="1"/>
  <c r="F180" i="1"/>
  <c r="G180" i="1" s="1"/>
  <c r="F136" i="1"/>
  <c r="G136" i="1" s="1"/>
  <c r="F112" i="1"/>
  <c r="G112" i="1" s="1"/>
  <c r="F242" i="1"/>
  <c r="G242" i="1" s="1"/>
  <c r="F226" i="1"/>
  <c r="G226" i="1" s="1"/>
  <c r="F198" i="1"/>
  <c r="G198" i="1" s="1"/>
  <c r="F237" i="1"/>
  <c r="G237" i="1" s="1"/>
  <c r="F221" i="1"/>
  <c r="G221" i="1" s="1"/>
  <c r="F205" i="1"/>
  <c r="G205" i="1" s="1"/>
  <c r="F189" i="1"/>
  <c r="G189" i="1" s="1"/>
  <c r="F173" i="1"/>
  <c r="G173" i="1" s="1"/>
  <c r="F157" i="1"/>
  <c r="G157" i="1" s="1"/>
  <c r="F141" i="1"/>
  <c r="G141" i="1" s="1"/>
  <c r="F125" i="1"/>
  <c r="G125" i="1" s="1"/>
  <c r="F109" i="1"/>
  <c r="G109" i="1" s="1"/>
  <c r="F93" i="1"/>
  <c r="G93" i="1" s="1"/>
  <c r="F77" i="1"/>
  <c r="G77" i="1" s="1"/>
  <c r="F61" i="1"/>
  <c r="G61" i="1" s="1"/>
  <c r="F36" i="1"/>
  <c r="G36" i="1" s="1"/>
  <c r="F45" i="1"/>
  <c r="G45" i="1" s="1"/>
  <c r="F29" i="1"/>
  <c r="G29" i="1" s="1"/>
  <c r="F13" i="1"/>
  <c r="G13" i="1" s="1"/>
  <c r="F19" i="1"/>
  <c r="G19" i="1" s="1"/>
  <c r="F54" i="1"/>
  <c r="G54" i="1" s="1"/>
  <c r="F38" i="1"/>
  <c r="G38" i="1" s="1"/>
  <c r="F22" i="1"/>
  <c r="G22" i="1" s="1"/>
  <c r="I100" i="1"/>
  <c r="H100" i="1"/>
  <c r="F207" i="1"/>
  <c r="G207" i="1" s="1"/>
  <c r="F159" i="1"/>
  <c r="G159" i="1" s="1"/>
  <c r="I228" i="1"/>
  <c r="H228" i="1"/>
  <c r="I184" i="1"/>
  <c r="H184" i="1"/>
  <c r="I186" i="1"/>
  <c r="H186" i="1"/>
  <c r="F158" i="1"/>
  <c r="F128" i="1"/>
  <c r="G128" i="1" s="1"/>
  <c r="F238" i="1"/>
  <c r="G238" i="1" s="1"/>
  <c r="F222" i="1"/>
  <c r="G222" i="1" s="1"/>
  <c r="F190" i="1"/>
  <c r="G190" i="1" s="1"/>
  <c r="I233" i="1"/>
  <c r="H233" i="1"/>
  <c r="F217" i="1"/>
  <c r="G217" i="1" s="1"/>
  <c r="F201" i="1"/>
  <c r="G201" i="1" s="1"/>
  <c r="F185" i="1"/>
  <c r="G185" i="1" s="1"/>
  <c r="F169" i="1"/>
  <c r="G169" i="1" s="1"/>
  <c r="F137" i="1"/>
  <c r="G137" i="1" s="1"/>
  <c r="F121" i="1"/>
  <c r="G121" i="1" s="1"/>
  <c r="F105" i="1"/>
  <c r="G105" i="1" s="1"/>
  <c r="F89" i="1"/>
  <c r="G89" i="1" s="1"/>
  <c r="F73" i="1"/>
  <c r="G73" i="1" s="1"/>
  <c r="F57" i="1"/>
  <c r="G57" i="1" s="1"/>
  <c r="F41" i="1"/>
  <c r="G41" i="1" s="1"/>
  <c r="F25" i="1"/>
  <c r="G25" i="1" s="1"/>
  <c r="F9" i="1"/>
  <c r="G9" i="1" s="1"/>
  <c r="F50" i="1"/>
  <c r="G50" i="1" s="1"/>
  <c r="F34" i="1"/>
  <c r="G34" i="1" s="1"/>
  <c r="F232" i="1"/>
  <c r="G232" i="1" s="1"/>
  <c r="F176" i="1"/>
  <c r="G176" i="1" s="1"/>
  <c r="F235" i="1"/>
  <c r="G235" i="1" s="1"/>
  <c r="F187" i="1"/>
  <c r="G187" i="1" s="1"/>
  <c r="F139" i="1"/>
  <c r="G139" i="1" s="1"/>
  <c r="F107" i="1"/>
  <c r="G107" i="1" s="1"/>
  <c r="F91" i="1"/>
  <c r="G91" i="1" s="1"/>
  <c r="F75" i="1"/>
  <c r="G75" i="1" s="1"/>
  <c r="F59" i="1"/>
  <c r="G59" i="1" s="1"/>
  <c r="F32" i="1"/>
  <c r="G32" i="1" s="1"/>
  <c r="F210" i="1"/>
  <c r="G210" i="1" s="1"/>
  <c r="F182" i="1"/>
  <c r="G182" i="1" s="1"/>
  <c r="F150" i="1"/>
  <c r="G150" i="1" s="1"/>
  <c r="F134" i="1"/>
  <c r="G134" i="1" s="1"/>
  <c r="F118" i="1"/>
  <c r="G118" i="1" s="1"/>
  <c r="F102" i="1"/>
  <c r="G102" i="1" s="1"/>
  <c r="F86" i="1"/>
  <c r="G86" i="1" s="1"/>
  <c r="F70" i="1"/>
  <c r="G70" i="1" s="1"/>
  <c r="F96" i="1"/>
  <c r="G96" i="1" s="1"/>
  <c r="F234" i="1"/>
  <c r="G234" i="1" s="1"/>
  <c r="F214" i="1"/>
  <c r="G214" i="1" s="1"/>
  <c r="F178" i="1"/>
  <c r="G178" i="1" s="1"/>
  <c r="F5" i="1"/>
  <c r="G5" i="1" s="1"/>
  <c r="F229" i="1"/>
  <c r="G229" i="1" s="1"/>
  <c r="F213" i="1"/>
  <c r="G213" i="1" s="1"/>
  <c r="F181" i="1"/>
  <c r="G181" i="1" s="1"/>
  <c r="F149" i="1"/>
  <c r="G149" i="1" s="1"/>
  <c r="F133" i="1"/>
  <c r="G133" i="1" s="1"/>
  <c r="F117" i="1"/>
  <c r="G117" i="1" s="1"/>
  <c r="F101" i="1"/>
  <c r="G101" i="1" s="1"/>
  <c r="F85" i="1"/>
  <c r="G85" i="1" s="1"/>
  <c r="F69" i="1"/>
  <c r="G69" i="1" s="1"/>
  <c r="F52" i="1"/>
  <c r="G52" i="1" s="1"/>
  <c r="F16" i="1"/>
  <c r="G16" i="1" s="1"/>
  <c r="F8" i="1"/>
  <c r="G8" i="1" s="1"/>
  <c r="F11" i="1"/>
  <c r="G11" i="1" s="1"/>
  <c r="F46" i="1"/>
  <c r="G46" i="1" s="1"/>
  <c r="F30" i="1"/>
  <c r="G30" i="1" s="1"/>
  <c r="F14" i="1"/>
  <c r="G14" i="1" s="1"/>
  <c r="I216" i="1"/>
  <c r="H216" i="1"/>
  <c r="F215" i="1"/>
  <c r="G215" i="1" s="1"/>
  <c r="I183" i="1"/>
  <c r="H183" i="1"/>
  <c r="F87" i="1"/>
  <c r="G87" i="1" s="1"/>
  <c r="I202" i="1"/>
  <c r="H202" i="1"/>
  <c r="F230" i="1"/>
  <c r="G230" i="1" s="1"/>
  <c r="F206" i="1"/>
  <c r="G206" i="1" s="1"/>
  <c r="I209" i="1"/>
  <c r="H209" i="1"/>
  <c r="F145" i="1"/>
  <c r="G145" i="1" s="1"/>
  <c r="F129" i="1"/>
  <c r="G129" i="1" s="1"/>
  <c r="F113" i="1"/>
  <c r="G113" i="1" s="1"/>
  <c r="F97" i="1"/>
  <c r="G97" i="1" s="1"/>
  <c r="F81" i="1"/>
  <c r="G81" i="1" s="1"/>
  <c r="F65" i="1"/>
  <c r="G65" i="1" s="1"/>
  <c r="F23" i="1"/>
  <c r="G23" i="1" s="1"/>
  <c r="F208" i="42"/>
  <c r="E210" i="42"/>
  <c r="A211" i="42"/>
  <c r="B210" i="42"/>
  <c r="D209" i="42"/>
  <c r="C209" i="42"/>
  <c r="F4" i="3"/>
  <c r="G4" i="3" s="1"/>
  <c r="B3" i="3"/>
  <c r="H170" i="1" l="1"/>
  <c r="H171" i="1"/>
  <c r="G156" i="1"/>
  <c r="I156" i="1" s="1"/>
  <c r="H161" i="1"/>
  <c r="H153" i="1"/>
  <c r="G158" i="1"/>
  <c r="I158" i="1" s="1"/>
  <c r="I174" i="1"/>
  <c r="I175" i="1"/>
  <c r="I69" i="2"/>
  <c r="I99" i="2"/>
  <c r="I17" i="1"/>
  <c r="I168" i="1"/>
  <c r="I167" i="1"/>
  <c r="I172" i="1"/>
  <c r="I54" i="2"/>
  <c r="I51" i="2"/>
  <c r="H51" i="1"/>
  <c r="I103" i="2"/>
  <c r="I123" i="2"/>
  <c r="I50" i="2"/>
  <c r="I58" i="2"/>
  <c r="I28" i="2"/>
  <c r="I19" i="2"/>
  <c r="I90" i="2"/>
  <c r="I73" i="2"/>
  <c r="I117" i="2"/>
  <c r="H219" i="1"/>
  <c r="H17" i="1"/>
  <c r="H208" i="1"/>
  <c r="I59" i="2"/>
  <c r="I66" i="2"/>
  <c r="I47" i="2"/>
  <c r="I42" i="2"/>
  <c r="I65" i="2"/>
  <c r="I38" i="2"/>
  <c r="I107" i="2"/>
  <c r="I12" i="2"/>
  <c r="I20" i="1"/>
  <c r="I10" i="1"/>
  <c r="I15" i="1"/>
  <c r="I33" i="1"/>
  <c r="I42" i="1"/>
  <c r="I40" i="1"/>
  <c r="I31" i="1"/>
  <c r="I44" i="1"/>
  <c r="I63" i="1"/>
  <c r="I24" i="1"/>
  <c r="I51" i="1"/>
  <c r="I12" i="1"/>
  <c r="I58" i="1"/>
  <c r="I55" i="1"/>
  <c r="I7" i="1"/>
  <c r="F6" i="1"/>
  <c r="G6" i="1" s="1"/>
  <c r="I49" i="1"/>
  <c r="I26" i="1"/>
  <c r="I66" i="1"/>
  <c r="H203" i="1"/>
  <c r="H103" i="1"/>
  <c r="H55" i="1"/>
  <c r="H138" i="1"/>
  <c r="H108" i="1"/>
  <c r="H26" i="1"/>
  <c r="H225" i="1"/>
  <c r="H71" i="1"/>
  <c r="H92" i="1"/>
  <c r="H88" i="1"/>
  <c r="H155" i="1"/>
  <c r="H144" i="1"/>
  <c r="H58" i="1"/>
  <c r="H148" i="1"/>
  <c r="H147" i="1"/>
  <c r="H74" i="1"/>
  <c r="H24" i="1"/>
  <c r="H132" i="1"/>
  <c r="H33" i="1"/>
  <c r="H10" i="1"/>
  <c r="H120" i="1"/>
  <c r="H40" i="1"/>
  <c r="H106" i="1"/>
  <c r="H49" i="1"/>
  <c r="H95" i="1"/>
  <c r="H130" i="1"/>
  <c r="H68" i="1"/>
  <c r="H123" i="1"/>
  <c r="H31" i="1"/>
  <c r="H119" i="1"/>
  <c r="H192" i="1"/>
  <c r="H116" i="1"/>
  <c r="H124" i="1"/>
  <c r="H104" i="1"/>
  <c r="H66" i="1"/>
  <c r="H135" i="1"/>
  <c r="H90" i="1"/>
  <c r="H15" i="1"/>
  <c r="H122" i="1"/>
  <c r="H84" i="1"/>
  <c r="H212" i="1"/>
  <c r="H168" i="1"/>
  <c r="H231" i="1"/>
  <c r="H177" i="1"/>
  <c r="H218" i="1"/>
  <c r="H236" i="1"/>
  <c r="H197" i="1"/>
  <c r="H127" i="1"/>
  <c r="H179" i="1"/>
  <c r="H98" i="1"/>
  <c r="H195" i="1"/>
  <c r="H7" i="1"/>
  <c r="H199" i="1"/>
  <c r="H175" i="1"/>
  <c r="H42" i="1"/>
  <c r="H160" i="1"/>
  <c r="H20" i="1"/>
  <c r="H196" i="1"/>
  <c r="H172" i="1"/>
  <c r="H223" i="1"/>
  <c r="H143" i="1"/>
  <c r="H204" i="1"/>
  <c r="H167" i="1"/>
  <c r="H188" i="1"/>
  <c r="H241" i="1"/>
  <c r="H146" i="1"/>
  <c r="H156" i="1"/>
  <c r="H63" i="1"/>
  <c r="H140" i="1"/>
  <c r="H44" i="1"/>
  <c r="H12" i="1"/>
  <c r="H220" i="1"/>
  <c r="H82" i="1"/>
  <c r="H174" i="1"/>
  <c r="H72" i="1"/>
  <c r="H239" i="1"/>
  <c r="G27" i="1"/>
  <c r="G191" i="1"/>
  <c r="I191" i="1" s="1"/>
  <c r="H193" i="1"/>
  <c r="G193" i="1"/>
  <c r="I193" i="1" s="1"/>
  <c r="G47" i="1"/>
  <c r="G114" i="1"/>
  <c r="G151" i="1"/>
  <c r="G37" i="1"/>
  <c r="G53" i="1"/>
  <c r="G18" i="1"/>
  <c r="H111" i="1"/>
  <c r="G111" i="1"/>
  <c r="G60" i="1"/>
  <c r="H56" i="1"/>
  <c r="G56" i="1"/>
  <c r="H28" i="1"/>
  <c r="G28" i="1"/>
  <c r="G76" i="1"/>
  <c r="H21" i="1"/>
  <c r="G21" i="1"/>
  <c r="H79" i="1"/>
  <c r="G79" i="1"/>
  <c r="G35" i="1"/>
  <c r="H191" i="1"/>
  <c r="H47" i="1"/>
  <c r="H114" i="1"/>
  <c r="H60" i="1"/>
  <c r="H37" i="1"/>
  <c r="I81" i="1"/>
  <c r="H81" i="1"/>
  <c r="I230" i="1"/>
  <c r="H230" i="1"/>
  <c r="I11" i="1"/>
  <c r="H11" i="1"/>
  <c r="I69" i="1"/>
  <c r="H69" i="1"/>
  <c r="I133" i="1"/>
  <c r="H133" i="1"/>
  <c r="I5" i="1"/>
  <c r="H5" i="1"/>
  <c r="I234" i="1"/>
  <c r="H234" i="1"/>
  <c r="I70" i="1"/>
  <c r="H70" i="1"/>
  <c r="I134" i="1"/>
  <c r="H134" i="1"/>
  <c r="I32" i="1"/>
  <c r="H32" i="1"/>
  <c r="I107" i="1"/>
  <c r="H107" i="1"/>
  <c r="I187" i="1"/>
  <c r="H187" i="1"/>
  <c r="I176" i="1"/>
  <c r="H176" i="1"/>
  <c r="I34" i="1"/>
  <c r="H34" i="1"/>
  <c r="I9" i="1"/>
  <c r="H9" i="1"/>
  <c r="I105" i="1"/>
  <c r="H105" i="1"/>
  <c r="I169" i="1"/>
  <c r="H169" i="1"/>
  <c r="I190" i="1"/>
  <c r="H190" i="1"/>
  <c r="H158" i="1"/>
  <c r="I207" i="1"/>
  <c r="H207" i="1"/>
  <c r="I19" i="1"/>
  <c r="H19" i="1"/>
  <c r="I36" i="1"/>
  <c r="H36" i="1"/>
  <c r="I109" i="1"/>
  <c r="H109" i="1"/>
  <c r="I173" i="1"/>
  <c r="H173" i="1"/>
  <c r="I237" i="1"/>
  <c r="H237" i="1"/>
  <c r="I242" i="1"/>
  <c r="H242" i="1"/>
  <c r="I224" i="1"/>
  <c r="H224" i="1"/>
  <c r="I94" i="1"/>
  <c r="H94" i="1"/>
  <c r="I166" i="1"/>
  <c r="H166" i="1"/>
  <c r="I67" i="1"/>
  <c r="H67" i="1"/>
  <c r="I131" i="1"/>
  <c r="H131" i="1"/>
  <c r="I211" i="1"/>
  <c r="H211" i="1"/>
  <c r="I64" i="1"/>
  <c r="H64" i="1"/>
  <c r="I152" i="1"/>
  <c r="H152" i="1"/>
  <c r="I113" i="1"/>
  <c r="H113" i="1"/>
  <c r="I65" i="1"/>
  <c r="H65" i="1"/>
  <c r="I206" i="1"/>
  <c r="H206" i="1"/>
  <c r="I117" i="1"/>
  <c r="H117" i="1"/>
  <c r="I214" i="1"/>
  <c r="H214" i="1"/>
  <c r="I145" i="1"/>
  <c r="H145" i="1"/>
  <c r="I97" i="1"/>
  <c r="H97" i="1"/>
  <c r="I14" i="1"/>
  <c r="H14" i="1"/>
  <c r="I8" i="1"/>
  <c r="H8" i="1"/>
  <c r="I85" i="1"/>
  <c r="H85" i="1"/>
  <c r="I149" i="1"/>
  <c r="H149" i="1"/>
  <c r="I96" i="1"/>
  <c r="H96" i="1"/>
  <c r="I86" i="1"/>
  <c r="H86" i="1"/>
  <c r="I150" i="1"/>
  <c r="H150" i="1"/>
  <c r="I59" i="1"/>
  <c r="H59" i="1"/>
  <c r="I235" i="1"/>
  <c r="H235" i="1"/>
  <c r="I232" i="1"/>
  <c r="H232" i="1"/>
  <c r="I50" i="1"/>
  <c r="H50" i="1"/>
  <c r="I25" i="1"/>
  <c r="H25" i="1"/>
  <c r="I57" i="1"/>
  <c r="H57" i="1"/>
  <c r="I121" i="1"/>
  <c r="H121" i="1"/>
  <c r="I185" i="1"/>
  <c r="H185" i="1"/>
  <c r="I222" i="1"/>
  <c r="H222" i="1"/>
  <c r="I128" i="1"/>
  <c r="H128" i="1"/>
  <c r="I22" i="1"/>
  <c r="H22" i="1"/>
  <c r="I13" i="1"/>
  <c r="H13" i="1"/>
  <c r="I61" i="1"/>
  <c r="H61" i="1"/>
  <c r="I125" i="1"/>
  <c r="H125" i="1"/>
  <c r="I189" i="1"/>
  <c r="H189" i="1"/>
  <c r="I112" i="1"/>
  <c r="H112" i="1"/>
  <c r="I39" i="1"/>
  <c r="H39" i="1"/>
  <c r="I110" i="1"/>
  <c r="H110" i="1"/>
  <c r="I194" i="1"/>
  <c r="H194" i="1"/>
  <c r="I83" i="1"/>
  <c r="H83" i="1"/>
  <c r="I227" i="1"/>
  <c r="H227" i="1"/>
  <c r="I80" i="1"/>
  <c r="H80" i="1"/>
  <c r="I200" i="1"/>
  <c r="H200" i="1"/>
  <c r="I215" i="1"/>
  <c r="H215" i="1"/>
  <c r="I30" i="1"/>
  <c r="H30" i="1"/>
  <c r="I16" i="1"/>
  <c r="H16" i="1"/>
  <c r="I101" i="1"/>
  <c r="H101" i="1"/>
  <c r="I213" i="1"/>
  <c r="H213" i="1"/>
  <c r="I178" i="1"/>
  <c r="H178" i="1"/>
  <c r="I102" i="1"/>
  <c r="H102" i="1"/>
  <c r="I182" i="1"/>
  <c r="H182" i="1"/>
  <c r="I75" i="1"/>
  <c r="H75" i="1"/>
  <c r="I41" i="1"/>
  <c r="H41" i="1"/>
  <c r="I73" i="1"/>
  <c r="H73" i="1"/>
  <c r="I137" i="1"/>
  <c r="H137" i="1"/>
  <c r="I201" i="1"/>
  <c r="H201" i="1"/>
  <c r="I238" i="1"/>
  <c r="H238" i="1"/>
  <c r="I38" i="1"/>
  <c r="H38" i="1"/>
  <c r="I29" i="1"/>
  <c r="H29" i="1"/>
  <c r="I77" i="1"/>
  <c r="H77" i="1"/>
  <c r="I141" i="1"/>
  <c r="H141" i="1"/>
  <c r="I205" i="1"/>
  <c r="H205" i="1"/>
  <c r="I198" i="1"/>
  <c r="H198" i="1"/>
  <c r="I136" i="1"/>
  <c r="H136" i="1"/>
  <c r="I62" i="1"/>
  <c r="H62" i="1"/>
  <c r="I126" i="1"/>
  <c r="H126" i="1"/>
  <c r="I240" i="1"/>
  <c r="H240" i="1"/>
  <c r="I99" i="1"/>
  <c r="H99" i="1"/>
  <c r="I243" i="1"/>
  <c r="H243" i="1"/>
  <c r="I23" i="1"/>
  <c r="H23" i="1"/>
  <c r="I129" i="1"/>
  <c r="H129" i="1"/>
  <c r="I87" i="1"/>
  <c r="H87" i="1"/>
  <c r="I46" i="1"/>
  <c r="H46" i="1"/>
  <c r="I52" i="1"/>
  <c r="H52" i="1"/>
  <c r="I181" i="1"/>
  <c r="H181" i="1"/>
  <c r="I229" i="1"/>
  <c r="H229" i="1"/>
  <c r="I118" i="1"/>
  <c r="H118" i="1"/>
  <c r="I210" i="1"/>
  <c r="H210" i="1"/>
  <c r="I91" i="1"/>
  <c r="H91" i="1"/>
  <c r="I139" i="1"/>
  <c r="H139" i="1"/>
  <c r="I89" i="1"/>
  <c r="H89" i="1"/>
  <c r="I153" i="1"/>
  <c r="I217" i="1"/>
  <c r="H217" i="1"/>
  <c r="I159" i="1"/>
  <c r="H159" i="1"/>
  <c r="I54" i="1"/>
  <c r="H54" i="1"/>
  <c r="I45" i="1"/>
  <c r="H45" i="1"/>
  <c r="I93" i="1"/>
  <c r="H93" i="1"/>
  <c r="I157" i="1"/>
  <c r="H157" i="1"/>
  <c r="I221" i="1"/>
  <c r="H221" i="1"/>
  <c r="I226" i="1"/>
  <c r="H226" i="1"/>
  <c r="I180" i="1"/>
  <c r="H180" i="1"/>
  <c r="I78" i="1"/>
  <c r="H78" i="1"/>
  <c r="I142" i="1"/>
  <c r="H142" i="1"/>
  <c r="I48" i="1"/>
  <c r="H48" i="1"/>
  <c r="I115" i="1"/>
  <c r="H115" i="1"/>
  <c r="I43" i="1"/>
  <c r="H43" i="1"/>
  <c r="I4" i="3"/>
  <c r="F209" i="42"/>
  <c r="D210" i="42"/>
  <c r="C210" i="42"/>
  <c r="E211" i="42"/>
  <c r="A212" i="42"/>
  <c r="B211" i="42"/>
  <c r="F3" i="3"/>
  <c r="H4" i="3"/>
  <c r="F154" i="1" l="1"/>
  <c r="G154" i="1" s="1"/>
  <c r="I154" i="1" s="1"/>
  <c r="F162" i="1"/>
  <c r="G162" i="1" s="1"/>
  <c r="I162" i="1" s="1"/>
  <c r="I79" i="1"/>
  <c r="I111" i="1"/>
  <c r="I114" i="1"/>
  <c r="I151" i="1"/>
  <c r="I6" i="1"/>
  <c r="I76" i="1"/>
  <c r="H6" i="1"/>
  <c r="I27" i="1"/>
  <c r="I18" i="1"/>
  <c r="I35" i="1"/>
  <c r="I37" i="1"/>
  <c r="I60" i="1"/>
  <c r="I56" i="1"/>
  <c r="I53" i="1"/>
  <c r="I21" i="1"/>
  <c r="I47" i="1"/>
  <c r="I28" i="1"/>
  <c r="F219" i="3"/>
  <c r="G219" i="3" s="1"/>
  <c r="F187" i="3"/>
  <c r="G187" i="3" s="1"/>
  <c r="F155" i="3"/>
  <c r="G155" i="3" s="1"/>
  <c r="F123" i="3"/>
  <c r="G123" i="3" s="1"/>
  <c r="F91" i="3"/>
  <c r="G91" i="3" s="1"/>
  <c r="F234" i="3"/>
  <c r="G234" i="3" s="1"/>
  <c r="F202" i="3"/>
  <c r="G202" i="3" s="1"/>
  <c r="F170" i="3"/>
  <c r="G170" i="3" s="1"/>
  <c r="F138" i="3"/>
  <c r="G138" i="3" s="1"/>
  <c r="F122" i="3"/>
  <c r="G122" i="3" s="1"/>
  <c r="F90" i="3"/>
  <c r="G90" i="3" s="1"/>
  <c r="F233" i="3"/>
  <c r="G233" i="3" s="1"/>
  <c r="F201" i="3"/>
  <c r="G201" i="3" s="1"/>
  <c r="F169" i="3"/>
  <c r="G169" i="3" s="1"/>
  <c r="F137" i="3"/>
  <c r="G137" i="3" s="1"/>
  <c r="F105" i="3"/>
  <c r="G105" i="3" s="1"/>
  <c r="F231" i="3"/>
  <c r="G231" i="3" s="1"/>
  <c r="F215" i="3"/>
  <c r="G215" i="3" s="1"/>
  <c r="F199" i="3"/>
  <c r="G199" i="3" s="1"/>
  <c r="F183" i="3"/>
  <c r="G183" i="3" s="1"/>
  <c r="F167" i="3"/>
  <c r="G167" i="3" s="1"/>
  <c r="F151" i="3"/>
  <c r="G151" i="3" s="1"/>
  <c r="F135" i="3"/>
  <c r="G135" i="3" s="1"/>
  <c r="F119" i="3"/>
  <c r="G119" i="3" s="1"/>
  <c r="F103" i="3"/>
  <c r="G103" i="3" s="1"/>
  <c r="F87" i="3"/>
  <c r="G87" i="3" s="1"/>
  <c r="F71" i="3"/>
  <c r="G71" i="3" s="1"/>
  <c r="F230" i="3"/>
  <c r="G230" i="3" s="1"/>
  <c r="F214" i="3"/>
  <c r="G214" i="3" s="1"/>
  <c r="F198" i="3"/>
  <c r="G198" i="3" s="1"/>
  <c r="F182" i="3"/>
  <c r="G182" i="3" s="1"/>
  <c r="F166" i="3"/>
  <c r="G166" i="3" s="1"/>
  <c r="F150" i="3"/>
  <c r="G150" i="3" s="1"/>
  <c r="F134" i="3"/>
  <c r="G134" i="3" s="1"/>
  <c r="F118" i="3"/>
  <c r="G118" i="3" s="1"/>
  <c r="F102" i="3"/>
  <c r="G102" i="3" s="1"/>
  <c r="F86" i="3"/>
  <c r="G86" i="3" s="1"/>
  <c r="F70" i="3"/>
  <c r="G70" i="3" s="1"/>
  <c r="F5" i="3"/>
  <c r="G5" i="3" s="1"/>
  <c r="F229" i="3"/>
  <c r="G229" i="3" s="1"/>
  <c r="F213" i="3"/>
  <c r="G213" i="3" s="1"/>
  <c r="F197" i="3"/>
  <c r="G197" i="3" s="1"/>
  <c r="F181" i="3"/>
  <c r="G181" i="3" s="1"/>
  <c r="F165" i="3"/>
  <c r="G165" i="3" s="1"/>
  <c r="F149" i="3"/>
  <c r="G149" i="3" s="1"/>
  <c r="F133" i="3"/>
  <c r="G133" i="3" s="1"/>
  <c r="F117" i="3"/>
  <c r="G117" i="3" s="1"/>
  <c r="F101" i="3"/>
  <c r="G101" i="3" s="1"/>
  <c r="F85" i="3"/>
  <c r="G85" i="3" s="1"/>
  <c r="F69" i="3"/>
  <c r="G69" i="3" s="1"/>
  <c r="F228" i="3"/>
  <c r="G228" i="3" s="1"/>
  <c r="F212" i="3"/>
  <c r="G212" i="3" s="1"/>
  <c r="F196" i="3"/>
  <c r="G196" i="3" s="1"/>
  <c r="F180" i="3"/>
  <c r="G180" i="3" s="1"/>
  <c r="F164" i="3"/>
  <c r="G164" i="3" s="1"/>
  <c r="F148" i="3"/>
  <c r="G148" i="3" s="1"/>
  <c r="F132" i="3"/>
  <c r="G132" i="3" s="1"/>
  <c r="F116" i="3"/>
  <c r="G116" i="3" s="1"/>
  <c r="F100" i="3"/>
  <c r="G100" i="3" s="1"/>
  <c r="F84" i="3"/>
  <c r="G84" i="3" s="1"/>
  <c r="F68" i="3"/>
  <c r="G68" i="3" s="1"/>
  <c r="F227" i="3"/>
  <c r="G227" i="3" s="1"/>
  <c r="F195" i="3"/>
  <c r="G195" i="3" s="1"/>
  <c r="F163" i="3"/>
  <c r="G163" i="3" s="1"/>
  <c r="F131" i="3"/>
  <c r="G131" i="3" s="1"/>
  <c r="F99" i="3"/>
  <c r="G99" i="3" s="1"/>
  <c r="F67" i="3"/>
  <c r="G67" i="3" s="1"/>
  <c r="F242" i="3"/>
  <c r="G242" i="3" s="1"/>
  <c r="F210" i="3"/>
  <c r="G210" i="3" s="1"/>
  <c r="F178" i="3"/>
  <c r="G178" i="3" s="1"/>
  <c r="F146" i="3"/>
  <c r="G146" i="3" s="1"/>
  <c r="F114" i="3"/>
  <c r="G114" i="3" s="1"/>
  <c r="F82" i="3"/>
  <c r="G82" i="3" s="1"/>
  <c r="F225" i="3"/>
  <c r="G225" i="3" s="1"/>
  <c r="F193" i="3"/>
  <c r="G193" i="3" s="1"/>
  <c r="F161" i="3"/>
  <c r="G161" i="3" s="1"/>
  <c r="F129" i="3"/>
  <c r="G129" i="3" s="1"/>
  <c r="F97" i="3"/>
  <c r="G97" i="3" s="1"/>
  <c r="F65" i="3"/>
  <c r="G65" i="3" s="1"/>
  <c r="F240" i="3"/>
  <c r="G240" i="3" s="1"/>
  <c r="F208" i="3"/>
  <c r="G208" i="3" s="1"/>
  <c r="F192" i="3"/>
  <c r="G192" i="3" s="1"/>
  <c r="F176" i="3"/>
  <c r="G176" i="3" s="1"/>
  <c r="F160" i="3"/>
  <c r="G160" i="3" s="1"/>
  <c r="F144" i="3"/>
  <c r="G144" i="3" s="1"/>
  <c r="F128" i="3"/>
  <c r="G128" i="3" s="1"/>
  <c r="F112" i="3"/>
  <c r="G112" i="3" s="1"/>
  <c r="F96" i="3"/>
  <c r="G96" i="3" s="1"/>
  <c r="F80" i="3"/>
  <c r="G80" i="3" s="1"/>
  <c r="F64" i="3"/>
  <c r="G64" i="3" s="1"/>
  <c r="F243" i="3"/>
  <c r="G243" i="3" s="1"/>
  <c r="F211" i="3"/>
  <c r="G211" i="3" s="1"/>
  <c r="F179" i="3"/>
  <c r="G179" i="3" s="1"/>
  <c r="F147" i="3"/>
  <c r="G147" i="3" s="1"/>
  <c r="F115" i="3"/>
  <c r="G115" i="3" s="1"/>
  <c r="F83" i="3"/>
  <c r="G83" i="3" s="1"/>
  <c r="F226" i="3"/>
  <c r="G226" i="3" s="1"/>
  <c r="F194" i="3"/>
  <c r="G194" i="3" s="1"/>
  <c r="F162" i="3"/>
  <c r="G162" i="3" s="1"/>
  <c r="F130" i="3"/>
  <c r="G130" i="3" s="1"/>
  <c r="F98" i="3"/>
  <c r="G98" i="3" s="1"/>
  <c r="F66" i="3"/>
  <c r="G66" i="3" s="1"/>
  <c r="F241" i="3"/>
  <c r="G241" i="3" s="1"/>
  <c r="F209" i="3"/>
  <c r="G209" i="3" s="1"/>
  <c r="F177" i="3"/>
  <c r="G177" i="3" s="1"/>
  <c r="F145" i="3"/>
  <c r="G145" i="3" s="1"/>
  <c r="F113" i="3"/>
  <c r="G113" i="3" s="1"/>
  <c r="F81" i="3"/>
  <c r="G81" i="3" s="1"/>
  <c r="F224" i="3"/>
  <c r="G224" i="3" s="1"/>
  <c r="F239" i="3"/>
  <c r="G239" i="3" s="1"/>
  <c r="F223" i="3"/>
  <c r="G223" i="3" s="1"/>
  <c r="F207" i="3"/>
  <c r="G207" i="3" s="1"/>
  <c r="F191" i="3"/>
  <c r="G191" i="3" s="1"/>
  <c r="F175" i="3"/>
  <c r="G175" i="3" s="1"/>
  <c r="F159" i="3"/>
  <c r="G159" i="3" s="1"/>
  <c r="F143" i="3"/>
  <c r="G143" i="3" s="1"/>
  <c r="F127" i="3"/>
  <c r="G127" i="3" s="1"/>
  <c r="F111" i="3"/>
  <c r="G111" i="3" s="1"/>
  <c r="F95" i="3"/>
  <c r="G95" i="3" s="1"/>
  <c r="F79" i="3"/>
  <c r="G79" i="3" s="1"/>
  <c r="F63" i="3"/>
  <c r="G63" i="3" s="1"/>
  <c r="F238" i="3"/>
  <c r="G238" i="3" s="1"/>
  <c r="F222" i="3"/>
  <c r="G222" i="3" s="1"/>
  <c r="F206" i="3"/>
  <c r="G206" i="3" s="1"/>
  <c r="F190" i="3"/>
  <c r="G190" i="3" s="1"/>
  <c r="F174" i="3"/>
  <c r="G174" i="3" s="1"/>
  <c r="F158" i="3"/>
  <c r="G158" i="3" s="1"/>
  <c r="F142" i="3"/>
  <c r="G142" i="3" s="1"/>
  <c r="F126" i="3"/>
  <c r="G126" i="3" s="1"/>
  <c r="F110" i="3"/>
  <c r="G110" i="3" s="1"/>
  <c r="F94" i="3"/>
  <c r="G94" i="3" s="1"/>
  <c r="F78" i="3"/>
  <c r="G78" i="3" s="1"/>
  <c r="F62" i="3"/>
  <c r="G62" i="3" s="1"/>
  <c r="F237" i="3"/>
  <c r="G237" i="3" s="1"/>
  <c r="F221" i="3"/>
  <c r="G221" i="3" s="1"/>
  <c r="F205" i="3"/>
  <c r="G205" i="3" s="1"/>
  <c r="F189" i="3"/>
  <c r="G189" i="3" s="1"/>
  <c r="F173" i="3"/>
  <c r="G173" i="3" s="1"/>
  <c r="F157" i="3"/>
  <c r="G157" i="3" s="1"/>
  <c r="F141" i="3"/>
  <c r="G141" i="3" s="1"/>
  <c r="F125" i="3"/>
  <c r="G125" i="3" s="1"/>
  <c r="F109" i="3"/>
  <c r="G109" i="3" s="1"/>
  <c r="F93" i="3"/>
  <c r="G93" i="3" s="1"/>
  <c r="F77" i="3"/>
  <c r="G77" i="3" s="1"/>
  <c r="F61" i="3"/>
  <c r="G61" i="3" s="1"/>
  <c r="F236" i="3"/>
  <c r="G236" i="3" s="1"/>
  <c r="F220" i="3"/>
  <c r="G220" i="3" s="1"/>
  <c r="F204" i="3"/>
  <c r="G204" i="3" s="1"/>
  <c r="F188" i="3"/>
  <c r="G188" i="3" s="1"/>
  <c r="F172" i="3"/>
  <c r="G172" i="3" s="1"/>
  <c r="F156" i="3"/>
  <c r="G156" i="3" s="1"/>
  <c r="F140" i="3"/>
  <c r="G140" i="3" s="1"/>
  <c r="F124" i="3"/>
  <c r="G124" i="3" s="1"/>
  <c r="F108" i="3"/>
  <c r="G108" i="3" s="1"/>
  <c r="F92" i="3"/>
  <c r="G92" i="3" s="1"/>
  <c r="F76" i="3"/>
  <c r="G76" i="3" s="1"/>
  <c r="F60" i="3"/>
  <c r="G60" i="3" s="1"/>
  <c r="F235" i="3"/>
  <c r="G235" i="3" s="1"/>
  <c r="F203" i="3"/>
  <c r="G203" i="3" s="1"/>
  <c r="F171" i="3"/>
  <c r="G171" i="3" s="1"/>
  <c r="F139" i="3"/>
  <c r="G139" i="3" s="1"/>
  <c r="F107" i="3"/>
  <c r="G107" i="3" s="1"/>
  <c r="F75" i="3"/>
  <c r="G75" i="3" s="1"/>
  <c r="F218" i="3"/>
  <c r="G218" i="3" s="1"/>
  <c r="F186" i="3"/>
  <c r="G186" i="3" s="1"/>
  <c r="F154" i="3"/>
  <c r="G154" i="3" s="1"/>
  <c r="F106" i="3"/>
  <c r="G106" i="3" s="1"/>
  <c r="F74" i="3"/>
  <c r="G74" i="3" s="1"/>
  <c r="F217" i="3"/>
  <c r="G217" i="3" s="1"/>
  <c r="F185" i="3"/>
  <c r="G185" i="3" s="1"/>
  <c r="F153" i="3"/>
  <c r="G153" i="3" s="1"/>
  <c r="F121" i="3"/>
  <c r="G121" i="3" s="1"/>
  <c r="F89" i="3"/>
  <c r="G89" i="3" s="1"/>
  <c r="F73" i="3"/>
  <c r="G73" i="3" s="1"/>
  <c r="F232" i="3"/>
  <c r="G232" i="3" s="1"/>
  <c r="F216" i="3"/>
  <c r="G216" i="3" s="1"/>
  <c r="F200" i="3"/>
  <c r="G200" i="3" s="1"/>
  <c r="F184" i="3"/>
  <c r="G184" i="3" s="1"/>
  <c r="F168" i="3"/>
  <c r="G168" i="3" s="1"/>
  <c r="F152" i="3"/>
  <c r="G152" i="3" s="1"/>
  <c r="F136" i="3"/>
  <c r="G136" i="3" s="1"/>
  <c r="F120" i="3"/>
  <c r="G120" i="3" s="1"/>
  <c r="F104" i="3"/>
  <c r="G104" i="3" s="1"/>
  <c r="F88" i="3"/>
  <c r="G88" i="3" s="1"/>
  <c r="F72" i="3"/>
  <c r="G72" i="3" s="1"/>
  <c r="I3" i="3"/>
  <c r="F210" i="42"/>
  <c r="E212" i="42"/>
  <c r="A213" i="42"/>
  <c r="B212" i="42"/>
  <c r="D211" i="42"/>
  <c r="C211" i="42"/>
  <c r="H162" i="1" l="1"/>
  <c r="F163" i="1"/>
  <c r="G163" i="1" s="1"/>
  <c r="I163" i="1" s="1"/>
  <c r="H154" i="1"/>
  <c r="F58" i="3"/>
  <c r="G58" i="3" s="1"/>
  <c r="I58" i="3" s="1"/>
  <c r="F59" i="3"/>
  <c r="G59" i="3" s="1"/>
  <c r="I59" i="3" s="1"/>
  <c r="F57" i="3"/>
  <c r="G57" i="3" s="1"/>
  <c r="I57" i="3" s="1"/>
  <c r="F38" i="3"/>
  <c r="G38" i="3" s="1"/>
  <c r="F23" i="3"/>
  <c r="G23" i="3" s="1"/>
  <c r="F27" i="3"/>
  <c r="G27" i="3" s="1"/>
  <c r="I27" i="3" s="1"/>
  <c r="F10" i="3"/>
  <c r="G10" i="3" s="1"/>
  <c r="I10" i="3" s="1"/>
  <c r="F54" i="3"/>
  <c r="G54" i="3" s="1"/>
  <c r="F42" i="3"/>
  <c r="G42" i="3" s="1"/>
  <c r="F16" i="3"/>
  <c r="G16" i="3" s="1"/>
  <c r="F33" i="3"/>
  <c r="F13" i="3"/>
  <c r="G13" i="3" s="1"/>
  <c r="I13" i="3" s="1"/>
  <c r="F48" i="3"/>
  <c r="G48" i="3" s="1"/>
  <c r="I48" i="3" s="1"/>
  <c r="F35" i="3"/>
  <c r="G35" i="3" s="1"/>
  <c r="I35" i="3" s="1"/>
  <c r="F8" i="3"/>
  <c r="G8" i="3" s="1"/>
  <c r="I8" i="3" s="1"/>
  <c r="F29" i="3"/>
  <c r="G29" i="3" s="1"/>
  <c r="I29" i="3" s="1"/>
  <c r="F14" i="3"/>
  <c r="G14" i="3" s="1"/>
  <c r="I14" i="3" s="1"/>
  <c r="F24" i="3"/>
  <c r="G24" i="3" s="1"/>
  <c r="F9" i="3"/>
  <c r="G9" i="3" s="1"/>
  <c r="I9" i="3" s="1"/>
  <c r="F45" i="3"/>
  <c r="G45" i="3" s="1"/>
  <c r="F30" i="3"/>
  <c r="G30" i="3" s="1"/>
  <c r="I30" i="3" s="1"/>
  <c r="F15" i="3"/>
  <c r="G15" i="3" s="1"/>
  <c r="I15" i="3" s="1"/>
  <c r="F26" i="3"/>
  <c r="G26" i="3" s="1"/>
  <c r="I26" i="3" s="1"/>
  <c r="F40" i="3"/>
  <c r="G40" i="3" s="1"/>
  <c r="I40" i="3" s="1"/>
  <c r="F25" i="3"/>
  <c r="G25" i="3" s="1"/>
  <c r="I25" i="3" s="1"/>
  <c r="F46" i="3"/>
  <c r="G46" i="3" s="1"/>
  <c r="I46" i="3" s="1"/>
  <c r="F31" i="3"/>
  <c r="G31" i="3" s="1"/>
  <c r="I31" i="3" s="1"/>
  <c r="F56" i="3"/>
  <c r="G56" i="3" s="1"/>
  <c r="F41" i="3"/>
  <c r="G41" i="3" s="1"/>
  <c r="F11" i="3"/>
  <c r="G11" i="3" s="1"/>
  <c r="F47" i="3"/>
  <c r="G47" i="3" s="1"/>
  <c r="F49" i="3"/>
  <c r="G49" i="3" s="1"/>
  <c r="F19" i="3"/>
  <c r="G19" i="3" s="1"/>
  <c r="F50" i="3"/>
  <c r="G50" i="3" s="1"/>
  <c r="I50" i="3" s="1"/>
  <c r="F20" i="3"/>
  <c r="G20" i="3" s="1"/>
  <c r="I20" i="3" s="1"/>
  <c r="F21" i="3"/>
  <c r="G21" i="3" s="1"/>
  <c r="F34" i="3"/>
  <c r="G34" i="3" s="1"/>
  <c r="I34" i="3" s="1"/>
  <c r="F39" i="3"/>
  <c r="G39" i="3" s="1"/>
  <c r="I39" i="3" s="1"/>
  <c r="F12" i="3"/>
  <c r="G12" i="3" s="1"/>
  <c r="F17" i="3"/>
  <c r="G17" i="3" s="1"/>
  <c r="F55" i="3"/>
  <c r="G55" i="3" s="1"/>
  <c r="F28" i="3"/>
  <c r="F32" i="3"/>
  <c r="G32" i="3" s="1"/>
  <c r="F44" i="3"/>
  <c r="G44" i="3" s="1"/>
  <c r="F43" i="3"/>
  <c r="G43" i="3" s="1"/>
  <c r="I43" i="3" s="1"/>
  <c r="F51" i="3"/>
  <c r="G51" i="3" s="1"/>
  <c r="F18" i="3"/>
  <c r="G18" i="3" s="1"/>
  <c r="F36" i="3"/>
  <c r="G36" i="3" s="1"/>
  <c r="F37" i="3"/>
  <c r="G37" i="3" s="1"/>
  <c r="I37" i="3" s="1"/>
  <c r="F6" i="3"/>
  <c r="G6" i="3" s="1"/>
  <c r="I6" i="3" s="1"/>
  <c r="F52" i="3"/>
  <c r="G52" i="3" s="1"/>
  <c r="F53" i="3"/>
  <c r="G53" i="3" s="1"/>
  <c r="F22" i="3"/>
  <c r="G22" i="3" s="1"/>
  <c r="F7" i="3"/>
  <c r="G7" i="3" s="1"/>
  <c r="I7" i="3" s="1"/>
  <c r="I89" i="3"/>
  <c r="H89" i="3"/>
  <c r="I116" i="3"/>
  <c r="H116" i="3"/>
  <c r="I180" i="3"/>
  <c r="H180" i="3"/>
  <c r="I149" i="3"/>
  <c r="H149" i="3"/>
  <c r="I150" i="3"/>
  <c r="H150" i="3"/>
  <c r="I169" i="3"/>
  <c r="H169" i="3"/>
  <c r="I165" i="3"/>
  <c r="H165" i="3"/>
  <c r="I166" i="3"/>
  <c r="H166" i="3"/>
  <c r="I201" i="3"/>
  <c r="H201" i="3"/>
  <c r="I104" i="3"/>
  <c r="H104" i="3"/>
  <c r="I168" i="3"/>
  <c r="H168" i="3"/>
  <c r="I232" i="3"/>
  <c r="H232" i="3"/>
  <c r="I121" i="3"/>
  <c r="H121" i="3"/>
  <c r="I154" i="3"/>
  <c r="H154" i="3"/>
  <c r="I218" i="3"/>
  <c r="H218" i="3"/>
  <c r="I68" i="3"/>
  <c r="H68" i="3"/>
  <c r="I100" i="3"/>
  <c r="H100" i="3"/>
  <c r="I132" i="3"/>
  <c r="H132" i="3"/>
  <c r="I164" i="3"/>
  <c r="H164" i="3"/>
  <c r="I196" i="3"/>
  <c r="H196" i="3"/>
  <c r="I228" i="3"/>
  <c r="H228" i="3"/>
  <c r="I117" i="3"/>
  <c r="H117" i="3"/>
  <c r="I181" i="3"/>
  <c r="H181" i="3"/>
  <c r="I118" i="3"/>
  <c r="H118" i="3"/>
  <c r="I182" i="3"/>
  <c r="H182" i="3"/>
  <c r="I233" i="3"/>
  <c r="H233" i="3"/>
  <c r="I122" i="3"/>
  <c r="H122" i="3"/>
  <c r="I186" i="3"/>
  <c r="H186" i="3"/>
  <c r="I84" i="3"/>
  <c r="H84" i="3"/>
  <c r="I148" i="3"/>
  <c r="H148" i="3"/>
  <c r="I212" i="3"/>
  <c r="H212" i="3"/>
  <c r="I85" i="3"/>
  <c r="H85" i="3"/>
  <c r="I213" i="3"/>
  <c r="H213" i="3"/>
  <c r="I86" i="3"/>
  <c r="H86" i="3"/>
  <c r="I214" i="3"/>
  <c r="H214" i="3"/>
  <c r="I101" i="3"/>
  <c r="H101" i="3"/>
  <c r="I229" i="3"/>
  <c r="H229" i="3"/>
  <c r="I102" i="3"/>
  <c r="H102" i="3"/>
  <c r="I230" i="3"/>
  <c r="H230" i="3"/>
  <c r="I90" i="3"/>
  <c r="H90" i="3"/>
  <c r="I136" i="3"/>
  <c r="H136" i="3"/>
  <c r="I200" i="3"/>
  <c r="H200" i="3"/>
  <c r="I69" i="3"/>
  <c r="H69" i="3"/>
  <c r="I133" i="3"/>
  <c r="H133" i="3"/>
  <c r="I197" i="3"/>
  <c r="H197" i="3"/>
  <c r="I70" i="3"/>
  <c r="H70" i="3"/>
  <c r="I134" i="3"/>
  <c r="H134" i="3"/>
  <c r="I198" i="3"/>
  <c r="H198" i="3"/>
  <c r="I137" i="3"/>
  <c r="H137" i="3"/>
  <c r="I103" i="3"/>
  <c r="H103" i="3"/>
  <c r="I135" i="3"/>
  <c r="H135" i="3"/>
  <c r="I199" i="3"/>
  <c r="H199" i="3"/>
  <c r="I231" i="3"/>
  <c r="H231" i="3"/>
  <c r="I72" i="3"/>
  <c r="H72" i="3"/>
  <c r="I120" i="3"/>
  <c r="H120" i="3"/>
  <c r="I73" i="3"/>
  <c r="H73" i="3"/>
  <c r="I217" i="3"/>
  <c r="H217" i="3"/>
  <c r="I170" i="3"/>
  <c r="H170" i="3"/>
  <c r="I234" i="3"/>
  <c r="H234" i="3"/>
  <c r="I91" i="3"/>
  <c r="H91" i="3"/>
  <c r="I155" i="3"/>
  <c r="H155" i="3"/>
  <c r="I187" i="3"/>
  <c r="H187" i="3"/>
  <c r="I108" i="3"/>
  <c r="H108" i="3"/>
  <c r="I140" i="3"/>
  <c r="H140" i="3"/>
  <c r="I204" i="3"/>
  <c r="H204" i="3"/>
  <c r="I236" i="3"/>
  <c r="H236" i="3"/>
  <c r="I61" i="3"/>
  <c r="H61" i="3"/>
  <c r="I93" i="3"/>
  <c r="H93" i="3"/>
  <c r="I157" i="3"/>
  <c r="H157" i="3"/>
  <c r="I189" i="3"/>
  <c r="H189" i="3"/>
  <c r="I221" i="3"/>
  <c r="H221" i="3"/>
  <c r="I78" i="3"/>
  <c r="H78" i="3"/>
  <c r="I110" i="3"/>
  <c r="H110" i="3"/>
  <c r="I142" i="3"/>
  <c r="H142" i="3"/>
  <c r="I206" i="3"/>
  <c r="H206" i="3"/>
  <c r="I238" i="3"/>
  <c r="H238" i="3"/>
  <c r="I112" i="3"/>
  <c r="H112" i="3"/>
  <c r="I176" i="3"/>
  <c r="H176" i="3"/>
  <c r="I240" i="3"/>
  <c r="H240" i="3"/>
  <c r="I129" i="3"/>
  <c r="H129" i="3"/>
  <c r="I193" i="3"/>
  <c r="H193" i="3"/>
  <c r="I82" i="3"/>
  <c r="H82" i="3"/>
  <c r="I146" i="3"/>
  <c r="H146" i="3"/>
  <c r="I210" i="3"/>
  <c r="H210" i="3"/>
  <c r="I79" i="3"/>
  <c r="H79" i="3"/>
  <c r="I143" i="3"/>
  <c r="H143" i="3"/>
  <c r="I175" i="3"/>
  <c r="H175" i="3"/>
  <c r="I207" i="3"/>
  <c r="H207" i="3"/>
  <c r="I64" i="3"/>
  <c r="H64" i="3"/>
  <c r="I128" i="3"/>
  <c r="H128" i="3"/>
  <c r="I192" i="3"/>
  <c r="H192" i="3"/>
  <c r="I81" i="3"/>
  <c r="H81" i="3"/>
  <c r="I145" i="3"/>
  <c r="H145" i="3"/>
  <c r="I209" i="3"/>
  <c r="H209" i="3"/>
  <c r="I98" i="3"/>
  <c r="H98" i="3"/>
  <c r="I162" i="3"/>
  <c r="H162" i="3"/>
  <c r="I226" i="3"/>
  <c r="H226" i="3"/>
  <c r="I67" i="3"/>
  <c r="H67" i="3"/>
  <c r="I99" i="3"/>
  <c r="H99" i="3"/>
  <c r="I131" i="3"/>
  <c r="H131" i="3"/>
  <c r="I163" i="3"/>
  <c r="H163" i="3"/>
  <c r="I195" i="3"/>
  <c r="H195" i="3"/>
  <c r="I227" i="3"/>
  <c r="H227" i="3"/>
  <c r="I87" i="3"/>
  <c r="H87" i="3"/>
  <c r="I151" i="3"/>
  <c r="H151" i="3"/>
  <c r="I215" i="3"/>
  <c r="H215" i="3"/>
  <c r="I88" i="3"/>
  <c r="H88" i="3"/>
  <c r="I185" i="3"/>
  <c r="H185" i="3"/>
  <c r="I74" i="3"/>
  <c r="H74" i="3"/>
  <c r="I107" i="3"/>
  <c r="H107" i="3"/>
  <c r="I171" i="3"/>
  <c r="H171" i="3"/>
  <c r="I124" i="3"/>
  <c r="H124" i="3"/>
  <c r="I220" i="3"/>
  <c r="H220" i="3"/>
  <c r="I77" i="3"/>
  <c r="H77" i="3"/>
  <c r="I173" i="3"/>
  <c r="H173" i="3"/>
  <c r="I190" i="3"/>
  <c r="H190" i="3"/>
  <c r="I95" i="3"/>
  <c r="H95" i="3"/>
  <c r="I241" i="3"/>
  <c r="H241" i="3"/>
  <c r="I119" i="3"/>
  <c r="H119" i="3"/>
  <c r="I183" i="3"/>
  <c r="H183" i="3"/>
  <c r="I152" i="3"/>
  <c r="H152" i="3"/>
  <c r="I216" i="3"/>
  <c r="H216" i="3"/>
  <c r="I105" i="3"/>
  <c r="H105" i="3"/>
  <c r="I138" i="3"/>
  <c r="H138" i="3"/>
  <c r="I202" i="3"/>
  <c r="H202" i="3"/>
  <c r="I75" i="3"/>
  <c r="H75" i="3"/>
  <c r="I139" i="3"/>
  <c r="H139" i="3"/>
  <c r="I203" i="3"/>
  <c r="H203" i="3"/>
  <c r="I235" i="3"/>
  <c r="H235" i="3"/>
  <c r="I60" i="3"/>
  <c r="H60" i="3"/>
  <c r="I92" i="3"/>
  <c r="H92" i="3"/>
  <c r="I156" i="3"/>
  <c r="H156" i="3"/>
  <c r="I188" i="3"/>
  <c r="H188" i="3"/>
  <c r="I109" i="3"/>
  <c r="H109" i="3"/>
  <c r="I141" i="3"/>
  <c r="H141" i="3"/>
  <c r="I205" i="3"/>
  <c r="H205" i="3"/>
  <c r="I237" i="3"/>
  <c r="H237" i="3"/>
  <c r="I62" i="3"/>
  <c r="H62" i="3"/>
  <c r="I94" i="3"/>
  <c r="H94" i="3"/>
  <c r="I126" i="3"/>
  <c r="H126" i="3"/>
  <c r="I158" i="3"/>
  <c r="H158" i="3"/>
  <c r="I222" i="3"/>
  <c r="H222" i="3"/>
  <c r="I223" i="3"/>
  <c r="H223" i="3"/>
  <c r="I80" i="3"/>
  <c r="H80" i="3"/>
  <c r="I144" i="3"/>
  <c r="H144" i="3"/>
  <c r="I208" i="3"/>
  <c r="H208" i="3"/>
  <c r="I97" i="3"/>
  <c r="H97" i="3"/>
  <c r="I161" i="3"/>
  <c r="H161" i="3"/>
  <c r="I225" i="3"/>
  <c r="H225" i="3"/>
  <c r="I114" i="3"/>
  <c r="H114" i="3"/>
  <c r="I178" i="3"/>
  <c r="H178" i="3"/>
  <c r="I242" i="3"/>
  <c r="H242" i="3"/>
  <c r="I63" i="3"/>
  <c r="H63" i="3"/>
  <c r="I127" i="3"/>
  <c r="H127" i="3"/>
  <c r="I159" i="3"/>
  <c r="H159" i="3"/>
  <c r="I191" i="3"/>
  <c r="H191" i="3"/>
  <c r="I239" i="3"/>
  <c r="H239" i="3"/>
  <c r="I96" i="3"/>
  <c r="H96" i="3"/>
  <c r="I160" i="3"/>
  <c r="H160" i="3"/>
  <c r="I224" i="3"/>
  <c r="H224" i="3"/>
  <c r="I113" i="3"/>
  <c r="H113" i="3"/>
  <c r="I177" i="3"/>
  <c r="H177" i="3"/>
  <c r="I66" i="3"/>
  <c r="H66" i="3"/>
  <c r="I130" i="3"/>
  <c r="H130" i="3"/>
  <c r="I194" i="3"/>
  <c r="H194" i="3"/>
  <c r="I83" i="3"/>
  <c r="H83" i="3"/>
  <c r="I115" i="3"/>
  <c r="H115" i="3"/>
  <c r="I147" i="3"/>
  <c r="H147" i="3"/>
  <c r="I179" i="3"/>
  <c r="H179" i="3"/>
  <c r="I211" i="3"/>
  <c r="H211" i="3"/>
  <c r="I243" i="3"/>
  <c r="H243" i="3"/>
  <c r="I5" i="3"/>
  <c r="H5" i="3"/>
  <c r="I71" i="3"/>
  <c r="H71" i="3"/>
  <c r="I167" i="3"/>
  <c r="H167" i="3"/>
  <c r="I184" i="3"/>
  <c r="H184" i="3"/>
  <c r="I153" i="3"/>
  <c r="H153" i="3"/>
  <c r="I106" i="3"/>
  <c r="H106" i="3"/>
  <c r="I123" i="3"/>
  <c r="H123" i="3"/>
  <c r="I219" i="3"/>
  <c r="H219" i="3"/>
  <c r="I76" i="3"/>
  <c r="H76" i="3"/>
  <c r="I172" i="3"/>
  <c r="H172" i="3"/>
  <c r="I125" i="3"/>
  <c r="H125" i="3"/>
  <c r="I174" i="3"/>
  <c r="H174" i="3"/>
  <c r="I65" i="3"/>
  <c r="H65" i="3"/>
  <c r="I111" i="3"/>
  <c r="H111" i="3"/>
  <c r="F211" i="42"/>
  <c r="D212" i="42"/>
  <c r="C212" i="42"/>
  <c r="E213" i="42"/>
  <c r="A214" i="42"/>
  <c r="B213" i="42"/>
  <c r="H163" i="1" l="1"/>
  <c r="F164" i="1"/>
  <c r="G164" i="1" s="1"/>
  <c r="I164" i="1" s="1"/>
  <c r="H24" i="3"/>
  <c r="H57" i="3"/>
  <c r="H58" i="3"/>
  <c r="H59" i="3"/>
  <c r="I56" i="3"/>
  <c r="I54" i="3"/>
  <c r="I51" i="3"/>
  <c r="H20" i="3"/>
  <c r="H46" i="3"/>
  <c r="H34" i="3"/>
  <c r="H7" i="3"/>
  <c r="H50" i="3"/>
  <c r="H48" i="3"/>
  <c r="H6" i="3"/>
  <c r="H16" i="3"/>
  <c r="G33" i="3"/>
  <c r="H33" i="3"/>
  <c r="H49" i="3"/>
  <c r="G28" i="3"/>
  <c r="H28" i="3"/>
  <c r="H18" i="3"/>
  <c r="H27" i="3"/>
  <c r="H39" i="3"/>
  <c r="H51" i="3"/>
  <c r="H54" i="3"/>
  <c r="H56" i="3"/>
  <c r="H14" i="3"/>
  <c r="H9" i="3"/>
  <c r="H31" i="3"/>
  <c r="H40" i="3"/>
  <c r="H35" i="3"/>
  <c r="H15" i="3"/>
  <c r="H29" i="3"/>
  <c r="H43" i="3"/>
  <c r="H8" i="3"/>
  <c r="H30" i="3"/>
  <c r="H25" i="3"/>
  <c r="H37" i="3"/>
  <c r="H19" i="3"/>
  <c r="H52" i="3"/>
  <c r="H11" i="3"/>
  <c r="H26" i="3"/>
  <c r="H36" i="3"/>
  <c r="I53" i="3"/>
  <c r="H23" i="3"/>
  <c r="H22" i="3"/>
  <c r="H41" i="3"/>
  <c r="H47" i="3"/>
  <c r="H12" i="3"/>
  <c r="H42" i="3"/>
  <c r="H38" i="3"/>
  <c r="H21" i="3"/>
  <c r="I49" i="3"/>
  <c r="I16" i="3"/>
  <c r="I19" i="3"/>
  <c r="I52" i="3"/>
  <c r="H10" i="3"/>
  <c r="H53" i="3"/>
  <c r="I11" i="3"/>
  <c r="I36" i="3"/>
  <c r="H45" i="3"/>
  <c r="H55" i="3"/>
  <c r="H17" i="3"/>
  <c r="I24" i="3"/>
  <c r="I45" i="3"/>
  <c r="I55" i="3"/>
  <c r="I23" i="3"/>
  <c r="I17" i="3"/>
  <c r="I18" i="3"/>
  <c r="I22" i="3"/>
  <c r="H32" i="3"/>
  <c r="H13" i="3"/>
  <c r="H44" i="3"/>
  <c r="I32" i="3"/>
  <c r="I44" i="3"/>
  <c r="I41" i="3"/>
  <c r="I47" i="3"/>
  <c r="I12" i="3"/>
  <c r="I42" i="3"/>
  <c r="I38" i="3"/>
  <c r="I21" i="3"/>
  <c r="F212" i="42"/>
  <c r="E214" i="42"/>
  <c r="A215" i="42"/>
  <c r="B214" i="42"/>
  <c r="D213" i="42"/>
  <c r="C213" i="42"/>
  <c r="H164" i="1" l="1"/>
  <c r="F165" i="1"/>
  <c r="G165" i="1" s="1"/>
  <c r="I28" i="3"/>
  <c r="I33" i="3"/>
  <c r="F213" i="42"/>
  <c r="D214" i="42"/>
  <c r="C214" i="42"/>
  <c r="E215" i="42"/>
  <c r="A216" i="42"/>
  <c r="B215" i="42"/>
  <c r="H165" i="1" l="1"/>
  <c r="I165" i="1"/>
  <c r="F214" i="42"/>
  <c r="E216" i="42"/>
  <c r="A217" i="42"/>
  <c r="B216" i="42"/>
  <c r="D215" i="42"/>
  <c r="C215" i="42"/>
  <c r="F215" i="42" l="1"/>
  <c r="D216" i="42"/>
  <c r="C216" i="42"/>
  <c r="E217" i="42"/>
  <c r="A218" i="42"/>
  <c r="B217" i="42"/>
  <c r="F216" i="42" l="1"/>
  <c r="E218" i="42"/>
  <c r="A219" i="42"/>
  <c r="B218" i="42"/>
  <c r="D217" i="42"/>
  <c r="C217" i="42"/>
  <c r="F217" i="42" l="1"/>
  <c r="D218" i="42"/>
  <c r="C218" i="42"/>
  <c r="E219" i="42"/>
  <c r="A220" i="42"/>
  <c r="B219" i="42"/>
  <c r="F218" i="42" l="1"/>
  <c r="E220" i="42"/>
  <c r="A221" i="42"/>
  <c r="B220" i="42"/>
  <c r="D219" i="42"/>
  <c r="C219" i="42"/>
  <c r="F219" i="42" l="1"/>
  <c r="D220" i="42"/>
  <c r="C220" i="42"/>
  <c r="E221" i="42"/>
  <c r="A222" i="42"/>
  <c r="B221" i="42"/>
  <c r="F220" i="42" l="1"/>
  <c r="E222" i="42"/>
  <c r="A223" i="42"/>
  <c r="B222" i="42"/>
  <c r="D221" i="42"/>
  <c r="C221" i="42"/>
  <c r="D222" i="42" l="1"/>
  <c r="C222" i="42"/>
  <c r="E223" i="42"/>
  <c r="A224" i="42"/>
  <c r="B223" i="42"/>
  <c r="F221" i="42"/>
  <c r="F222" i="42" l="1"/>
  <c r="E224" i="42"/>
  <c r="B224" i="42"/>
  <c r="A225" i="42"/>
  <c r="D223" i="42"/>
  <c r="C223" i="42"/>
  <c r="E225" i="42" l="1"/>
  <c r="A226" i="42"/>
  <c r="B225" i="42"/>
  <c r="D224" i="42"/>
  <c r="C224" i="42"/>
  <c r="F223" i="42"/>
  <c r="D225" i="42" l="1"/>
  <c r="C225" i="42"/>
  <c r="E226" i="42"/>
  <c r="A227" i="42"/>
  <c r="B226" i="42"/>
  <c r="F224" i="42"/>
  <c r="F225" i="42" l="1"/>
  <c r="E227" i="42"/>
  <c r="A228" i="42"/>
  <c r="B227" i="42"/>
  <c r="D226" i="42"/>
  <c r="C226" i="42"/>
  <c r="F226" i="42" l="1"/>
  <c r="E228" i="42"/>
  <c r="A229" i="42"/>
  <c r="B228" i="42"/>
  <c r="D227" i="42"/>
  <c r="C227" i="42"/>
  <c r="F227" i="42" l="1"/>
  <c r="E229" i="42"/>
  <c r="A230" i="42"/>
  <c r="B229" i="42"/>
  <c r="D228" i="42"/>
  <c r="C228" i="42"/>
  <c r="F228" i="42" l="1"/>
  <c r="E230" i="42"/>
  <c r="A231" i="42"/>
  <c r="B230" i="42"/>
  <c r="D229" i="42"/>
  <c r="C229" i="42"/>
  <c r="D230" i="42" l="1"/>
  <c r="C230" i="42"/>
  <c r="E231" i="42"/>
  <c r="A232" i="42"/>
  <c r="B231" i="42"/>
  <c r="F229" i="42"/>
  <c r="F230" i="42" l="1"/>
  <c r="E232" i="42"/>
  <c r="B232" i="42"/>
  <c r="A233" i="42"/>
  <c r="D231" i="42"/>
  <c r="C231" i="42"/>
  <c r="F231" i="42" l="1"/>
  <c r="D232" i="42"/>
  <c r="C232" i="42"/>
  <c r="E233" i="42"/>
  <c r="A234" i="42"/>
  <c r="B233" i="42"/>
  <c r="F232" i="42" l="1"/>
  <c r="E234" i="42"/>
  <c r="A235" i="42"/>
  <c r="B234" i="42"/>
  <c r="D233" i="42"/>
  <c r="C233" i="42"/>
  <c r="F233" i="42" l="1"/>
  <c r="E235" i="42"/>
  <c r="A236" i="42"/>
  <c r="B235" i="42"/>
  <c r="D234" i="42"/>
  <c r="C234" i="42"/>
  <c r="F234" i="42" l="1"/>
  <c r="E236" i="42"/>
  <c r="A237" i="42"/>
  <c r="B236" i="42"/>
  <c r="D235" i="42"/>
  <c r="C235" i="42"/>
  <c r="F235" i="42" l="1"/>
  <c r="E237" i="42"/>
  <c r="A238" i="42"/>
  <c r="B237" i="42"/>
  <c r="D236" i="42"/>
  <c r="C236" i="42"/>
  <c r="F236" i="42" l="1"/>
  <c r="E238" i="42"/>
  <c r="A239" i="42"/>
  <c r="B238" i="42"/>
  <c r="D237" i="42"/>
  <c r="C237" i="42"/>
  <c r="F237" i="42" l="1"/>
  <c r="E239" i="42"/>
  <c r="A240" i="42"/>
  <c r="B239" i="42"/>
  <c r="D238" i="42"/>
  <c r="C238" i="42"/>
  <c r="F238" i="42" l="1"/>
  <c r="E240" i="42"/>
  <c r="B240" i="42"/>
  <c r="A241" i="42"/>
  <c r="D239" i="42"/>
  <c r="C239" i="42"/>
  <c r="F239" i="42" l="1"/>
  <c r="D240" i="42"/>
  <c r="C240" i="42"/>
  <c r="E241" i="42"/>
  <c r="A242" i="42"/>
  <c r="B241" i="42"/>
  <c r="F240" i="42" l="1"/>
  <c r="E242" i="42"/>
  <c r="A243" i="42"/>
  <c r="B242" i="42"/>
  <c r="D241" i="42"/>
  <c r="C241" i="42"/>
  <c r="F241" i="42" l="1"/>
  <c r="E243" i="42"/>
  <c r="A244" i="42"/>
  <c r="B243" i="42"/>
  <c r="D242" i="42"/>
  <c r="C242" i="42"/>
  <c r="F242" i="42" l="1"/>
  <c r="E244" i="42"/>
  <c r="A245" i="42"/>
  <c r="B244" i="42"/>
  <c r="D243" i="42"/>
  <c r="C243" i="42"/>
  <c r="F243" i="42" l="1"/>
  <c r="E245" i="42"/>
  <c r="A246" i="42"/>
  <c r="B245" i="42"/>
  <c r="D244" i="42"/>
  <c r="C244" i="42"/>
  <c r="F244" i="42" l="1"/>
  <c r="E246" i="42"/>
  <c r="A247" i="42"/>
  <c r="B246" i="42"/>
  <c r="D245" i="42"/>
  <c r="C245" i="42"/>
  <c r="F245" i="42" l="1"/>
  <c r="E247" i="42"/>
  <c r="A248" i="42"/>
  <c r="B247" i="42"/>
  <c r="D246" i="42"/>
  <c r="C246" i="42"/>
  <c r="F246" i="42" l="1"/>
  <c r="E248" i="42"/>
  <c r="A249" i="42"/>
  <c r="B248" i="42"/>
  <c r="D247" i="42"/>
  <c r="C247" i="42"/>
  <c r="F247" i="42" l="1"/>
  <c r="E249" i="42"/>
  <c r="A250" i="42"/>
  <c r="B249" i="42"/>
  <c r="D248" i="42"/>
  <c r="C248" i="42"/>
  <c r="F248" i="42" l="1"/>
  <c r="E250" i="42"/>
  <c r="A251" i="42"/>
  <c r="B250" i="42"/>
  <c r="D249" i="42"/>
  <c r="C249" i="42"/>
  <c r="F249" i="42" l="1"/>
  <c r="E251" i="42"/>
  <c r="A252" i="42"/>
  <c r="B251" i="42"/>
  <c r="D250" i="42"/>
  <c r="C250" i="42"/>
  <c r="F250" i="42" l="1"/>
  <c r="E252" i="42"/>
  <c r="A253" i="42"/>
  <c r="B252" i="42"/>
  <c r="D251" i="42"/>
  <c r="C251" i="42"/>
  <c r="F251" i="42" l="1"/>
  <c r="E253" i="42"/>
  <c r="A254" i="42"/>
  <c r="B253" i="42"/>
  <c r="D252" i="42"/>
  <c r="C252" i="42"/>
  <c r="F252" i="42" l="1"/>
  <c r="E254" i="42"/>
  <c r="A255" i="42"/>
  <c r="B254" i="42"/>
  <c r="D253" i="42"/>
  <c r="C253" i="42"/>
  <c r="F253" i="42" l="1"/>
  <c r="E255" i="42"/>
  <c r="A256" i="42"/>
  <c r="B255" i="42"/>
  <c r="D254" i="42"/>
  <c r="C254" i="42"/>
  <c r="F254" i="42" l="1"/>
  <c r="E256" i="42"/>
  <c r="A257" i="42"/>
  <c r="B256" i="42"/>
  <c r="D255" i="42"/>
  <c r="C255" i="42"/>
  <c r="F255" i="42" l="1"/>
  <c r="E257" i="42"/>
  <c r="A258" i="42"/>
  <c r="B257" i="42"/>
  <c r="D256" i="42"/>
  <c r="C256" i="42"/>
  <c r="F256" i="42" l="1"/>
  <c r="D257" i="42"/>
  <c r="C257" i="42"/>
  <c r="E258" i="42"/>
  <c r="A259" i="42"/>
  <c r="B258" i="42"/>
  <c r="F257" i="42" l="1"/>
  <c r="E259" i="42"/>
  <c r="A260" i="42"/>
  <c r="B259" i="42"/>
  <c r="D258" i="42"/>
  <c r="C258" i="42"/>
  <c r="F258" i="42" l="1"/>
  <c r="D259" i="42"/>
  <c r="C259" i="42"/>
  <c r="E260" i="42"/>
  <c r="A261" i="42"/>
  <c r="B260" i="42"/>
  <c r="F259" i="42" l="1"/>
  <c r="E261" i="42"/>
  <c r="A262" i="42"/>
  <c r="B261" i="42"/>
  <c r="D260" i="42"/>
  <c r="C260" i="42"/>
  <c r="F260" i="42" l="1"/>
  <c r="E262" i="42"/>
  <c r="A263" i="42"/>
  <c r="B262" i="42"/>
  <c r="D261" i="42"/>
  <c r="C261" i="42"/>
  <c r="F261" i="42" l="1"/>
  <c r="D262" i="42"/>
  <c r="C262" i="42"/>
  <c r="E263" i="42"/>
  <c r="A264" i="42"/>
  <c r="B263" i="42"/>
  <c r="F262" i="42" l="1"/>
  <c r="E264" i="42"/>
  <c r="A265" i="42"/>
  <c r="B264" i="42"/>
  <c r="D263" i="42"/>
  <c r="C263" i="42"/>
  <c r="F263" i="42" l="1"/>
  <c r="D264" i="42"/>
  <c r="C264" i="42"/>
  <c r="E265" i="42"/>
  <c r="A266" i="42"/>
  <c r="B265" i="42"/>
  <c r="F264" i="42" l="1"/>
  <c r="E266" i="42"/>
  <c r="A267" i="42"/>
  <c r="B266" i="42"/>
  <c r="D265" i="42"/>
  <c r="C265" i="42"/>
  <c r="F265" i="42" l="1"/>
  <c r="D266" i="42"/>
  <c r="C266" i="42"/>
  <c r="E267" i="42"/>
  <c r="A268" i="42"/>
  <c r="B267" i="42"/>
  <c r="F266" i="42" l="1"/>
  <c r="E268" i="42"/>
  <c r="A269" i="42"/>
  <c r="B268" i="42"/>
  <c r="D267" i="42"/>
  <c r="C267" i="42"/>
  <c r="F267" i="42" l="1"/>
  <c r="D268" i="42"/>
  <c r="C268" i="42"/>
  <c r="E269" i="42"/>
  <c r="A270" i="42"/>
  <c r="B269" i="42"/>
  <c r="F268" i="42" l="1"/>
  <c r="E270" i="42"/>
  <c r="A271" i="42"/>
  <c r="B270" i="42"/>
  <c r="D269" i="42"/>
  <c r="C269" i="42"/>
  <c r="F269" i="42" l="1"/>
  <c r="D270" i="42"/>
  <c r="C270" i="42"/>
  <c r="E271" i="42"/>
  <c r="A272" i="42"/>
  <c r="B271" i="42"/>
  <c r="F270" i="42" l="1"/>
  <c r="E272" i="42"/>
  <c r="A273" i="42"/>
  <c r="B272" i="42"/>
  <c r="D271" i="42"/>
  <c r="C271" i="42"/>
  <c r="F271" i="42" l="1"/>
  <c r="D272" i="42"/>
  <c r="C272" i="42"/>
  <c r="E273" i="42"/>
  <c r="A274" i="42"/>
  <c r="B273" i="42"/>
  <c r="F272" i="42" l="1"/>
  <c r="E274" i="42"/>
  <c r="A275" i="42"/>
  <c r="B274" i="42"/>
  <c r="D273" i="42"/>
  <c r="C273" i="42"/>
  <c r="F273" i="42" l="1"/>
  <c r="D274" i="42"/>
  <c r="C274" i="42"/>
  <c r="E275" i="42"/>
  <c r="A276" i="42"/>
  <c r="B275" i="42"/>
  <c r="F274" i="42" l="1"/>
  <c r="E276" i="42"/>
  <c r="A277" i="42"/>
  <c r="B276" i="42"/>
  <c r="D275" i="42"/>
  <c r="C275" i="42"/>
  <c r="F275" i="42" l="1"/>
  <c r="D276" i="42"/>
  <c r="C276" i="42"/>
  <c r="E277" i="42"/>
  <c r="A278" i="42"/>
  <c r="B277" i="42"/>
  <c r="F276" i="42" l="1"/>
  <c r="E278" i="42"/>
  <c r="A279" i="42"/>
  <c r="B278" i="42"/>
  <c r="D277" i="42"/>
  <c r="C277" i="42"/>
  <c r="F277" i="42" l="1"/>
  <c r="D278" i="42"/>
  <c r="C278" i="42"/>
  <c r="E279" i="42"/>
  <c r="A280" i="42"/>
  <c r="B279" i="42"/>
  <c r="F278" i="42" l="1"/>
  <c r="E280" i="42"/>
  <c r="A281" i="42"/>
  <c r="B280" i="42"/>
  <c r="D279" i="42"/>
  <c r="C279" i="42"/>
  <c r="F279" i="42" l="1"/>
  <c r="D280" i="42"/>
  <c r="C280" i="42"/>
  <c r="E281" i="42"/>
  <c r="A282" i="42"/>
  <c r="B281" i="42"/>
  <c r="F280" i="42" l="1"/>
  <c r="E282" i="42"/>
  <c r="A283" i="42"/>
  <c r="B282" i="42"/>
  <c r="D281" i="42"/>
  <c r="C281" i="42"/>
  <c r="F281" i="42" l="1"/>
  <c r="D282" i="42"/>
  <c r="C282" i="42"/>
  <c r="E283" i="42"/>
  <c r="A284" i="42"/>
  <c r="B283" i="42"/>
  <c r="F282" i="42" l="1"/>
  <c r="E284" i="42"/>
  <c r="A285" i="42"/>
  <c r="B284" i="42"/>
  <c r="D283" i="42"/>
  <c r="C283" i="42"/>
  <c r="F283" i="42" l="1"/>
  <c r="D284" i="42"/>
  <c r="C284" i="42"/>
  <c r="E285" i="42"/>
  <c r="A286" i="42"/>
  <c r="B285" i="42"/>
  <c r="F284" i="42" l="1"/>
  <c r="E286" i="42"/>
  <c r="A287" i="42"/>
  <c r="B286" i="42"/>
  <c r="D285" i="42"/>
  <c r="C285" i="42"/>
  <c r="F285" i="42" l="1"/>
  <c r="D286" i="42"/>
  <c r="C286" i="42"/>
  <c r="E287" i="42"/>
  <c r="A288" i="42"/>
  <c r="B287" i="42"/>
  <c r="F286" i="42" l="1"/>
  <c r="E288" i="42"/>
  <c r="A289" i="42"/>
  <c r="B288" i="42"/>
  <c r="D287" i="42"/>
  <c r="C287" i="42"/>
  <c r="F287" i="42" l="1"/>
  <c r="D288" i="42"/>
  <c r="C288" i="42"/>
  <c r="E289" i="42"/>
  <c r="A290" i="42"/>
  <c r="B289" i="42"/>
  <c r="F288" i="42" l="1"/>
  <c r="D289" i="42"/>
  <c r="C289" i="42"/>
  <c r="E290" i="42"/>
  <c r="A291" i="42"/>
  <c r="B290" i="42"/>
  <c r="F289" i="42" l="1"/>
  <c r="E291" i="42"/>
  <c r="A292" i="42"/>
  <c r="B291" i="42"/>
  <c r="D290" i="42"/>
  <c r="C290" i="42"/>
  <c r="F290" i="42" l="1"/>
  <c r="D291" i="42"/>
  <c r="C291" i="42"/>
  <c r="E292" i="42"/>
  <c r="A293" i="42"/>
  <c r="B292" i="42"/>
  <c r="F291" i="42" l="1"/>
  <c r="E293" i="42"/>
  <c r="A294" i="42"/>
  <c r="B293" i="42"/>
  <c r="D292" i="42"/>
  <c r="C292" i="42"/>
  <c r="F292" i="42" l="1"/>
  <c r="D293" i="42"/>
  <c r="C293" i="42"/>
  <c r="E294" i="42"/>
  <c r="A295" i="42"/>
  <c r="B294" i="42"/>
  <c r="F293" i="42" l="1"/>
  <c r="E295" i="42"/>
  <c r="A296" i="42"/>
  <c r="B295" i="42"/>
  <c r="D294" i="42"/>
  <c r="C294" i="42"/>
  <c r="F294" i="42" l="1"/>
  <c r="D295" i="42"/>
  <c r="C295" i="42"/>
  <c r="E296" i="42"/>
  <c r="A297" i="42"/>
  <c r="B296" i="42"/>
  <c r="F295" i="42" l="1"/>
  <c r="E297" i="42"/>
  <c r="A298" i="42"/>
  <c r="B297" i="42"/>
  <c r="D296" i="42"/>
  <c r="C296" i="42"/>
  <c r="F296" i="42" l="1"/>
  <c r="D297" i="42"/>
  <c r="C297" i="42"/>
  <c r="E298" i="42"/>
  <c r="A299" i="42"/>
  <c r="B298" i="42"/>
  <c r="F297" i="42" l="1"/>
  <c r="E299" i="42"/>
  <c r="A300" i="42"/>
  <c r="B299" i="42"/>
  <c r="D298" i="42"/>
  <c r="C298" i="42"/>
  <c r="F298" i="42" l="1"/>
  <c r="D299" i="42"/>
  <c r="C299" i="42"/>
  <c r="E300" i="42"/>
  <c r="A301" i="42"/>
  <c r="B300" i="42"/>
  <c r="F299" i="42" l="1"/>
  <c r="E301" i="42"/>
  <c r="A302" i="42"/>
  <c r="B301" i="42"/>
  <c r="D300" i="42"/>
  <c r="C300" i="42"/>
  <c r="F300" i="42" l="1"/>
  <c r="D301" i="42"/>
  <c r="C301" i="42"/>
  <c r="E302" i="42"/>
  <c r="A303" i="42"/>
  <c r="B302" i="42"/>
  <c r="F301" i="42" l="1"/>
  <c r="E303" i="42"/>
  <c r="A304" i="42"/>
  <c r="B303" i="42"/>
  <c r="D302" i="42"/>
  <c r="C302" i="42"/>
  <c r="F302" i="42" l="1"/>
  <c r="D303" i="42"/>
  <c r="C303" i="42"/>
  <c r="E304" i="42"/>
  <c r="A305" i="42"/>
  <c r="B304" i="42"/>
  <c r="F303" i="42" l="1"/>
  <c r="E305" i="42"/>
  <c r="A306" i="42"/>
  <c r="B305" i="42"/>
  <c r="D304" i="42"/>
  <c r="C304" i="42"/>
  <c r="F304" i="42" l="1"/>
  <c r="D305" i="42"/>
  <c r="C305" i="42"/>
  <c r="E306" i="42"/>
  <c r="A307" i="42"/>
  <c r="B306" i="42"/>
  <c r="F305" i="42" l="1"/>
  <c r="E307" i="42"/>
  <c r="A308" i="42"/>
  <c r="B307" i="42"/>
  <c r="D306" i="42"/>
  <c r="C306" i="42"/>
  <c r="F306" i="42" l="1"/>
  <c r="D307" i="42"/>
  <c r="C307" i="42"/>
  <c r="E308" i="42"/>
  <c r="A309" i="42"/>
  <c r="B308" i="42"/>
  <c r="F307" i="42" l="1"/>
  <c r="E309" i="42"/>
  <c r="B309" i="42"/>
  <c r="A310" i="42"/>
  <c r="D308" i="42"/>
  <c r="C308" i="42"/>
  <c r="F308" i="42" l="1"/>
  <c r="E310" i="42"/>
  <c r="A311" i="42"/>
  <c r="B310" i="42"/>
  <c r="D309" i="42"/>
  <c r="C309" i="42"/>
  <c r="F309" i="42" l="1"/>
  <c r="D310" i="42"/>
  <c r="C310" i="42"/>
  <c r="E311" i="42"/>
  <c r="A312" i="42"/>
  <c r="B311" i="42"/>
  <c r="F310" i="42" l="1"/>
  <c r="E312" i="42"/>
  <c r="A313" i="42"/>
  <c r="B312" i="42"/>
  <c r="D311" i="42"/>
  <c r="C311" i="42"/>
  <c r="F311" i="42" l="1"/>
  <c r="D312" i="42"/>
  <c r="C312" i="42"/>
  <c r="E313" i="42"/>
  <c r="A314" i="42"/>
  <c r="B313" i="42"/>
  <c r="F312" i="42" l="1"/>
  <c r="E314" i="42"/>
  <c r="A315" i="42"/>
  <c r="B314" i="42"/>
  <c r="D313" i="42"/>
  <c r="C313" i="42"/>
  <c r="F313" i="42" l="1"/>
  <c r="D314" i="42"/>
  <c r="C314" i="42"/>
  <c r="E315" i="42"/>
  <c r="A316" i="42"/>
  <c r="B315" i="42"/>
  <c r="F314" i="42" l="1"/>
  <c r="E316" i="42"/>
  <c r="A317" i="42"/>
  <c r="B316" i="42"/>
  <c r="D315" i="42"/>
  <c r="C315" i="42"/>
  <c r="F315" i="42" l="1"/>
  <c r="D316" i="42"/>
  <c r="C316" i="42"/>
  <c r="E317" i="42"/>
  <c r="A318" i="42"/>
  <c r="B317" i="42"/>
  <c r="F316" i="42" l="1"/>
  <c r="E318" i="42"/>
  <c r="A319" i="42"/>
  <c r="B318" i="42"/>
  <c r="D317" i="42"/>
  <c r="C317" i="42"/>
  <c r="F317" i="42" l="1"/>
  <c r="E319" i="42"/>
  <c r="A320" i="42"/>
  <c r="B319" i="42"/>
  <c r="D318" i="42"/>
  <c r="C318" i="42"/>
  <c r="F318" i="42" l="1"/>
  <c r="D319" i="42"/>
  <c r="C319" i="42"/>
  <c r="E320" i="42"/>
  <c r="A321" i="42"/>
  <c r="B320" i="42"/>
  <c r="F319" i="42" l="1"/>
  <c r="E321" i="42"/>
  <c r="A322" i="42"/>
  <c r="B321" i="42"/>
  <c r="D320" i="42"/>
  <c r="C320" i="42"/>
  <c r="F320" i="42" l="1"/>
  <c r="D321" i="42"/>
  <c r="C321" i="42"/>
  <c r="E322" i="42"/>
  <c r="A323" i="42"/>
  <c r="B322" i="42"/>
  <c r="F321" i="42" l="1"/>
  <c r="E323" i="42"/>
  <c r="A324" i="42"/>
  <c r="B323" i="42"/>
  <c r="D322" i="42"/>
  <c r="C322" i="42"/>
  <c r="F322" i="42" l="1"/>
  <c r="D323" i="42"/>
  <c r="C323" i="42"/>
  <c r="E324" i="42"/>
  <c r="A325" i="42"/>
  <c r="B324" i="42"/>
  <c r="F323" i="42" l="1"/>
  <c r="E325" i="42"/>
  <c r="A326" i="42"/>
  <c r="B325" i="42"/>
  <c r="D324" i="42"/>
  <c r="C324" i="42"/>
  <c r="F324" i="42" l="1"/>
  <c r="D325" i="42"/>
  <c r="C325" i="42"/>
  <c r="E326" i="42"/>
  <c r="A327" i="42"/>
  <c r="B326" i="42"/>
  <c r="F325" i="42" l="1"/>
  <c r="E327" i="42"/>
  <c r="A328" i="42"/>
  <c r="B327" i="42"/>
  <c r="D326" i="42"/>
  <c r="C326" i="42"/>
  <c r="F326" i="42" l="1"/>
  <c r="D327" i="42"/>
  <c r="C327" i="42"/>
  <c r="E328" i="42"/>
  <c r="A329" i="42"/>
  <c r="B328" i="42"/>
  <c r="F327" i="42" l="1"/>
  <c r="E329" i="42"/>
  <c r="A330" i="42"/>
  <c r="B329" i="42"/>
  <c r="D328" i="42"/>
  <c r="C328" i="42"/>
  <c r="F328" i="42" l="1"/>
  <c r="D329" i="42"/>
  <c r="C329" i="42"/>
  <c r="E330" i="42"/>
  <c r="A331" i="42"/>
  <c r="B330" i="42"/>
  <c r="F329" i="42" l="1"/>
  <c r="E331" i="42"/>
  <c r="A332" i="42"/>
  <c r="B331" i="42"/>
  <c r="D330" i="42"/>
  <c r="C330" i="42"/>
  <c r="F330" i="42" l="1"/>
  <c r="D331" i="42"/>
  <c r="C331" i="42"/>
  <c r="E332" i="42"/>
  <c r="A333" i="42"/>
  <c r="B332" i="42"/>
  <c r="F331" i="42" l="1"/>
  <c r="E333" i="42"/>
  <c r="A334" i="42"/>
  <c r="B333" i="42"/>
  <c r="D332" i="42"/>
  <c r="C332" i="42"/>
  <c r="F332" i="42" l="1"/>
  <c r="D333" i="42"/>
  <c r="C333" i="42"/>
  <c r="E334" i="42"/>
  <c r="A335" i="42"/>
  <c r="B334" i="42"/>
  <c r="F333" i="42" l="1"/>
  <c r="E335" i="42"/>
  <c r="A336" i="42"/>
  <c r="B335" i="42"/>
  <c r="D334" i="42"/>
  <c r="C334" i="42"/>
  <c r="F334" i="42" l="1"/>
  <c r="D335" i="42"/>
  <c r="C335" i="42"/>
  <c r="E336" i="42"/>
  <c r="A337" i="42"/>
  <c r="B336" i="42"/>
  <c r="F335" i="42" l="1"/>
  <c r="E337" i="42"/>
  <c r="A338" i="42"/>
  <c r="B337" i="42"/>
  <c r="D336" i="42"/>
  <c r="C336" i="42"/>
  <c r="F336" i="42" l="1"/>
  <c r="D337" i="42"/>
  <c r="C337" i="42"/>
  <c r="E338" i="42"/>
  <c r="A339" i="42"/>
  <c r="B338" i="42"/>
  <c r="F337" i="42" l="1"/>
  <c r="E339" i="42"/>
  <c r="A340" i="42"/>
  <c r="B339" i="42"/>
  <c r="D338" i="42"/>
  <c r="C338" i="42"/>
  <c r="F338" i="42" l="1"/>
  <c r="D339" i="42"/>
  <c r="C339" i="42"/>
  <c r="E340" i="42"/>
  <c r="A341" i="42"/>
  <c r="B340" i="42"/>
  <c r="F339" i="42" l="1"/>
  <c r="E341" i="42"/>
  <c r="A342" i="42"/>
  <c r="B341" i="42"/>
  <c r="D340" i="42"/>
  <c r="C340" i="42"/>
  <c r="F340" i="42" l="1"/>
  <c r="D341" i="42"/>
  <c r="C341" i="42"/>
  <c r="E342" i="42"/>
  <c r="A343" i="42"/>
  <c r="B342" i="42"/>
  <c r="F341" i="42" l="1"/>
  <c r="E343" i="42"/>
  <c r="A344" i="42"/>
  <c r="B343" i="42"/>
  <c r="D342" i="42"/>
  <c r="C342" i="42"/>
  <c r="F342" i="42" l="1"/>
  <c r="D343" i="42"/>
  <c r="C343" i="42"/>
  <c r="E344" i="42"/>
  <c r="A345" i="42"/>
  <c r="B344" i="42"/>
  <c r="F343" i="42" l="1"/>
  <c r="E345" i="42"/>
  <c r="A346" i="42"/>
  <c r="B345" i="42"/>
  <c r="D344" i="42"/>
  <c r="C344" i="42"/>
  <c r="F344" i="42" l="1"/>
  <c r="D345" i="42"/>
  <c r="C345" i="42"/>
  <c r="E346" i="42"/>
  <c r="A347" i="42"/>
  <c r="B346" i="42"/>
  <c r="F345" i="42" l="1"/>
  <c r="E347" i="42"/>
  <c r="A348" i="42"/>
  <c r="B347" i="42"/>
  <c r="D346" i="42"/>
  <c r="C346" i="42"/>
  <c r="F346" i="42" l="1"/>
  <c r="D347" i="42"/>
  <c r="C347" i="42"/>
  <c r="E348" i="42"/>
  <c r="A349" i="42"/>
  <c r="B348" i="42"/>
  <c r="F347" i="42" l="1"/>
  <c r="E349" i="42"/>
  <c r="A350" i="42"/>
  <c r="B349" i="42"/>
  <c r="D348" i="42"/>
  <c r="C348" i="42"/>
  <c r="F348" i="42" l="1"/>
  <c r="D349" i="42"/>
  <c r="C349" i="42"/>
  <c r="E350" i="42"/>
  <c r="A351" i="42"/>
  <c r="B350" i="42"/>
  <c r="F349" i="42" l="1"/>
  <c r="D350" i="42"/>
  <c r="C350" i="42"/>
  <c r="E351" i="42"/>
  <c r="A352" i="42"/>
  <c r="B351" i="42"/>
  <c r="F350" i="42" l="1"/>
  <c r="E352" i="42"/>
  <c r="A353" i="42"/>
  <c r="B352" i="42"/>
  <c r="D351" i="42"/>
  <c r="C351" i="42"/>
  <c r="F351" i="42" l="1"/>
  <c r="D352" i="42"/>
  <c r="C352" i="42"/>
  <c r="E353" i="42"/>
  <c r="A354" i="42"/>
  <c r="B353" i="42"/>
  <c r="F352" i="42" l="1"/>
  <c r="E354" i="42"/>
  <c r="A355" i="42"/>
  <c r="B354" i="42"/>
  <c r="D353" i="42"/>
  <c r="C353" i="42"/>
  <c r="F353" i="42" l="1"/>
  <c r="D354" i="42"/>
  <c r="C354" i="42"/>
  <c r="E355" i="42"/>
  <c r="A356" i="42"/>
  <c r="B355" i="42"/>
  <c r="F354" i="42" l="1"/>
  <c r="E356" i="42"/>
  <c r="A357" i="42"/>
  <c r="B356" i="42"/>
  <c r="D355" i="42"/>
  <c r="C355" i="42"/>
  <c r="F355" i="42" l="1"/>
  <c r="D356" i="42"/>
  <c r="C356" i="42"/>
  <c r="E357" i="42"/>
  <c r="A358" i="42"/>
  <c r="B357" i="42"/>
  <c r="F356" i="42" l="1"/>
  <c r="E358" i="42"/>
  <c r="A359" i="42"/>
  <c r="B358" i="42"/>
  <c r="D357" i="42"/>
  <c r="C357" i="42"/>
  <c r="F357" i="42" l="1"/>
  <c r="D358" i="42"/>
  <c r="C358" i="42"/>
  <c r="E359" i="42"/>
  <c r="A360" i="42"/>
  <c r="B359" i="42"/>
  <c r="F358" i="42" l="1"/>
  <c r="E360" i="42"/>
  <c r="A361" i="42"/>
  <c r="B360" i="42"/>
  <c r="D359" i="42"/>
  <c r="C359" i="42"/>
  <c r="F359" i="42" l="1"/>
  <c r="D360" i="42"/>
  <c r="C360" i="42"/>
  <c r="E361" i="42"/>
  <c r="A362" i="42"/>
  <c r="B361" i="42"/>
  <c r="F360" i="42" l="1"/>
  <c r="E362" i="42"/>
  <c r="A363" i="42"/>
  <c r="B362" i="42"/>
  <c r="D361" i="42"/>
  <c r="C361" i="42"/>
  <c r="F361" i="42" l="1"/>
  <c r="D362" i="42"/>
  <c r="C362" i="42"/>
  <c r="E363" i="42"/>
  <c r="A364" i="42"/>
  <c r="B363" i="42"/>
  <c r="F362" i="42" l="1"/>
  <c r="E364" i="42"/>
  <c r="A365" i="42"/>
  <c r="B364" i="42"/>
  <c r="D363" i="42"/>
  <c r="C363" i="42"/>
  <c r="F363" i="42" l="1"/>
  <c r="D364" i="42"/>
  <c r="C364" i="42"/>
  <c r="E365" i="42"/>
  <c r="A366" i="42"/>
  <c r="B365" i="42"/>
  <c r="F364" i="42" l="1"/>
  <c r="E366" i="42"/>
  <c r="A367" i="42"/>
  <c r="B366" i="42"/>
  <c r="D365" i="42"/>
  <c r="C365" i="42"/>
  <c r="F365" i="42" l="1"/>
  <c r="D366" i="42"/>
  <c r="C366" i="42"/>
  <c r="E367" i="42"/>
  <c r="B367" i="42"/>
  <c r="A368" i="42"/>
  <c r="F366" i="42" l="1"/>
  <c r="D367" i="42"/>
  <c r="C367" i="42"/>
  <c r="E368" i="42"/>
  <c r="B368" i="42"/>
  <c r="A369" i="42"/>
  <c r="F367" i="42" l="1"/>
  <c r="D368" i="42"/>
  <c r="C368" i="42"/>
  <c r="E369" i="42"/>
  <c r="B369" i="42"/>
  <c r="F368" i="42" l="1"/>
  <c r="D369" i="42"/>
  <c r="C369" i="42"/>
  <c r="F369" i="42" s="1"/>
  <c r="K10" i="42" l="1"/>
  <c r="N30" i="24" s="1"/>
  <c r="N31" i="24" s="1"/>
  <c r="F4" i="8"/>
  <c r="H4" i="8" s="1"/>
  <c r="B3" i="8"/>
  <c r="N32" i="24"/>
  <c r="F3" i="8" l="1"/>
  <c r="G4" i="8" l="1"/>
  <c r="I4" i="8" s="1"/>
  <c r="F8" i="4" l="1"/>
  <c r="F234" i="4"/>
  <c r="F98" i="4"/>
  <c r="F200" i="4"/>
  <c r="H200" i="4" s="1"/>
  <c r="F168" i="4"/>
  <c r="F113" i="4"/>
  <c r="F100" i="4"/>
  <c r="F201" i="4"/>
  <c r="F178" i="4"/>
  <c r="F57" i="4"/>
  <c r="G57" i="4" s="1"/>
  <c r="I57" i="4" s="1"/>
  <c r="F41" i="4"/>
  <c r="F85" i="4"/>
  <c r="H85" i="4" s="1"/>
  <c r="F84" i="4"/>
  <c r="F99" i="4"/>
  <c r="G99" i="4" s="1"/>
  <c r="I99" i="4" s="1"/>
  <c r="F223" i="4"/>
  <c r="G223" i="4" s="1"/>
  <c r="I223" i="4" s="1"/>
  <c r="F104" i="4"/>
  <c r="G104" i="4" s="1"/>
  <c r="I104" i="4" s="1"/>
  <c r="F205" i="4"/>
  <c r="F125" i="4"/>
  <c r="F52" i="4"/>
  <c r="F175" i="4"/>
  <c r="H175" i="4" s="1"/>
  <c r="F144" i="4"/>
  <c r="G144" i="4" s="1"/>
  <c r="I144" i="4" s="1"/>
  <c r="F236" i="4"/>
  <c r="F216" i="4"/>
  <c r="G216" i="4" s="1"/>
  <c r="I216" i="4" s="1"/>
  <c r="F43" i="4"/>
  <c r="G43" i="4" s="1"/>
  <c r="I43" i="4" s="1"/>
  <c r="F192" i="4"/>
  <c r="F44" i="4"/>
  <c r="F219" i="4"/>
  <c r="F211" i="4"/>
  <c r="H211" i="4" s="1"/>
  <c r="F120" i="4"/>
  <c r="F122" i="4"/>
  <c r="F103" i="4"/>
  <c r="H103" i="4" s="1"/>
  <c r="F194" i="4"/>
  <c r="H194" i="4" s="1"/>
  <c r="F30" i="4"/>
  <c r="H30" i="4" s="1"/>
  <c r="F68" i="4"/>
  <c r="F97" i="4"/>
  <c r="F154" i="4"/>
  <c r="H154" i="4" s="1"/>
  <c r="F39" i="4"/>
  <c r="G39" i="4" s="1"/>
  <c r="I39" i="4" s="1"/>
  <c r="F64" i="4"/>
  <c r="F174" i="4"/>
  <c r="F137" i="4"/>
  <c r="F80" i="4"/>
  <c r="F117" i="4"/>
  <c r="G117" i="4" s="1"/>
  <c r="I117" i="4" s="1"/>
  <c r="F73" i="4"/>
  <c r="F22" i="4"/>
  <c r="G22" i="4" s="1"/>
  <c r="I22" i="4" s="1"/>
  <c r="F176" i="4"/>
  <c r="F221" i="4"/>
  <c r="G221" i="4" s="1"/>
  <c r="I221" i="4" s="1"/>
  <c r="F48" i="4"/>
  <c r="F203" i="4"/>
  <c r="F58" i="4"/>
  <c r="F229" i="4"/>
  <c r="F130" i="4"/>
  <c r="F208" i="4"/>
  <c r="F206" i="4"/>
  <c r="F71" i="4"/>
  <c r="H71" i="4" s="1"/>
  <c r="F60" i="4"/>
  <c r="G60" i="4" s="1"/>
  <c r="I60" i="4" s="1"/>
  <c r="F69" i="4"/>
  <c r="F18" i="4"/>
  <c r="F142" i="4"/>
  <c r="G142" i="4" s="1"/>
  <c r="I142" i="4" s="1"/>
  <c r="F105" i="4"/>
  <c r="F210" i="4"/>
  <c r="F110" i="4"/>
  <c r="F55" i="4"/>
  <c r="F237" i="4"/>
  <c r="F135" i="4"/>
  <c r="F158" i="4"/>
  <c r="F32" i="4"/>
  <c r="F10" i="4"/>
  <c r="G10" i="4" s="1"/>
  <c r="I10" i="4" s="1"/>
  <c r="F199" i="4"/>
  <c r="F159" i="4"/>
  <c r="F155" i="4"/>
  <c r="F222" i="4"/>
  <c r="F66" i="4"/>
  <c r="F183" i="4"/>
  <c r="F53" i="4"/>
  <c r="H53" i="4" s="1"/>
  <c r="F141" i="4"/>
  <c r="G141" i="4" s="1"/>
  <c r="I141" i="4" s="1"/>
  <c r="F94" i="4"/>
  <c r="F21" i="4"/>
  <c r="F101" i="4"/>
  <c r="G101" i="4" s="1"/>
  <c r="I101" i="4" s="1"/>
  <c r="F134" i="4"/>
  <c r="H134" i="4" s="1"/>
  <c r="F196" i="4"/>
  <c r="F40" i="4"/>
  <c r="F172" i="4"/>
  <c r="F212" i="4"/>
  <c r="H212" i="4" s="1"/>
  <c r="F202" i="4"/>
  <c r="F226" i="4"/>
  <c r="F20" i="4"/>
  <c r="H20" i="4" s="1"/>
  <c r="F36" i="4"/>
  <c r="F45" i="4"/>
  <c r="F149" i="4"/>
  <c r="F74" i="4"/>
  <c r="H74" i="4" s="1"/>
  <c r="F123" i="4"/>
  <c r="F106" i="4"/>
  <c r="G106" i="4" s="1"/>
  <c r="I106" i="4" s="1"/>
  <c r="F9" i="4"/>
  <c r="F59" i="4"/>
  <c r="G59" i="4" s="1"/>
  <c r="I59" i="4" s="1"/>
  <c r="F89" i="4"/>
  <c r="F232" i="4"/>
  <c r="F124" i="4"/>
  <c r="F19" i="4"/>
  <c r="F171" i="4"/>
  <c r="G171" i="4" s="1"/>
  <c r="I171" i="4" s="1"/>
  <c r="F70" i="4"/>
  <c r="F197" i="4"/>
  <c r="F151" i="4"/>
  <c r="G151" i="4" s="1"/>
  <c r="I151" i="4" s="1"/>
  <c r="F241" i="4"/>
  <c r="F49" i="4"/>
  <c r="G49" i="4" s="1"/>
  <c r="I49" i="4" s="1"/>
  <c r="F29" i="4"/>
  <c r="F150" i="4"/>
  <c r="F61" i="4"/>
  <c r="F15" i="4"/>
  <c r="F38" i="4"/>
  <c r="H38" i="4" s="1"/>
  <c r="F140" i="4"/>
  <c r="H140" i="4" s="1"/>
  <c r="F86" i="4"/>
  <c r="F111" i="4"/>
  <c r="F231" i="4"/>
  <c r="H231" i="4" s="1"/>
  <c r="F181" i="4"/>
  <c r="G181" i="4" s="1"/>
  <c r="I181" i="4" s="1"/>
  <c r="F145" i="4"/>
  <c r="F112" i="4"/>
  <c r="H112" i="4" s="1"/>
  <c r="F227" i="4"/>
  <c r="F115" i="4"/>
  <c r="G115" i="4" s="1"/>
  <c r="I115" i="4" s="1"/>
  <c r="F173" i="4"/>
  <c r="G173" i="4" s="1"/>
  <c r="I173" i="4" s="1"/>
  <c r="F107" i="4"/>
  <c r="F72" i="4"/>
  <c r="F186" i="4"/>
  <c r="G186" i="4" s="1"/>
  <c r="I186" i="4" s="1"/>
  <c r="F23" i="4"/>
  <c r="F119" i="4"/>
  <c r="F185" i="4"/>
  <c r="F34" i="4"/>
  <c r="G34" i="4" s="1"/>
  <c r="I34" i="4" s="1"/>
  <c r="F170" i="4"/>
  <c r="F50" i="4"/>
  <c r="F14" i="4"/>
  <c r="F17" i="4"/>
  <c r="G17" i="4" s="1"/>
  <c r="I17" i="4" s="1"/>
  <c r="F129" i="4"/>
  <c r="G129" i="4" s="1"/>
  <c r="I129" i="4" s="1"/>
  <c r="F28" i="4"/>
  <c r="F92" i="4"/>
  <c r="F96" i="4"/>
  <c r="G96" i="4" s="1"/>
  <c r="I96" i="4" s="1"/>
  <c r="F160" i="4"/>
  <c r="H160" i="4" s="1"/>
  <c r="F167" i="4"/>
  <c r="F238" i="4"/>
  <c r="G238" i="4" s="1"/>
  <c r="I238" i="4" s="1"/>
  <c r="F121" i="4"/>
  <c r="G121" i="4" s="1"/>
  <c r="I121" i="4" s="1"/>
  <c r="F240" i="4"/>
  <c r="F13" i="4"/>
  <c r="F16" i="4"/>
  <c r="F47" i="4"/>
  <c r="F195" i="4"/>
  <c r="F81" i="4"/>
  <c r="H81" i="4" s="1"/>
  <c r="F152" i="4"/>
  <c r="F157" i="4"/>
  <c r="F33" i="4"/>
  <c r="F42" i="4"/>
  <c r="F131" i="4"/>
  <c r="F37" i="4"/>
  <c r="F179" i="4"/>
  <c r="G179" i="4" s="1"/>
  <c r="I179" i="4" s="1"/>
  <c r="F95" i="4"/>
  <c r="F7" i="4"/>
  <c r="F182" i="4"/>
  <c r="F127" i="4"/>
  <c r="F184" i="4"/>
  <c r="G184" i="4" s="1"/>
  <c r="I184" i="4" s="1"/>
  <c r="F67" i="4"/>
  <c r="G67" i="4" s="1"/>
  <c r="I67" i="4" s="1"/>
  <c r="F207" i="4"/>
  <c r="G207" i="4" s="1"/>
  <c r="I207" i="4" s="1"/>
  <c r="F88" i="4"/>
  <c r="F230" i="4"/>
  <c r="H230" i="4" s="1"/>
  <c r="F163" i="4"/>
  <c r="F191" i="4"/>
  <c r="G191" i="4" s="1"/>
  <c r="I191" i="4" s="1"/>
  <c r="F91" i="4"/>
  <c r="F76" i="4"/>
  <c r="G76" i="4" s="1"/>
  <c r="I76" i="4" s="1"/>
  <c r="F75" i="4"/>
  <c r="G75" i="4" s="1"/>
  <c r="I75" i="4" s="1"/>
  <c r="F116" i="4"/>
  <c r="F87" i="4"/>
  <c r="F233" i="4"/>
  <c r="F146" i="4"/>
  <c r="F190" i="4"/>
  <c r="G190" i="4" s="1"/>
  <c r="I190" i="4" s="1"/>
  <c r="F46" i="4"/>
  <c r="F51" i="4"/>
  <c r="F31" i="4"/>
  <c r="F25" i="4"/>
  <c r="G25" i="4" s="1"/>
  <c r="I25" i="4" s="1"/>
  <c r="F118" i="4"/>
  <c r="F136" i="4"/>
  <c r="F83" i="4"/>
  <c r="F56" i="4"/>
  <c r="F148" i="4"/>
  <c r="G148" i="4" s="1"/>
  <c r="I148" i="4" s="1"/>
  <c r="F143" i="4"/>
  <c r="G143" i="4" s="1"/>
  <c r="I143" i="4" s="1"/>
  <c r="F209" i="4"/>
  <c r="H209" i="4" s="1"/>
  <c r="F166" i="4"/>
  <c r="G166" i="4" s="1"/>
  <c r="I166" i="4" s="1"/>
  <c r="F35" i="4"/>
  <c r="F63" i="4"/>
  <c r="F109" i="4"/>
  <c r="G109" i="4" s="1"/>
  <c r="I109" i="4" s="1"/>
  <c r="F177" i="4"/>
  <c r="F11" i="4"/>
  <c r="F90" i="4"/>
  <c r="G90" i="4" s="1"/>
  <c r="I90" i="4" s="1"/>
  <c r="F126" i="4"/>
  <c r="H126" i="4" s="1"/>
  <c r="F153" i="4"/>
  <c r="F224" i="4"/>
  <c r="F78" i="4"/>
  <c r="G78" i="4" s="1"/>
  <c r="I78" i="4" s="1"/>
  <c r="F204" i="4"/>
  <c r="F132" i="4"/>
  <c r="F114" i="4"/>
  <c r="H114" i="4" s="1"/>
  <c r="F93" i="4"/>
  <c r="H93" i="4" s="1"/>
  <c r="F225" i="4"/>
  <c r="F161" i="4"/>
  <c r="F187" i="4"/>
  <c r="F54" i="4"/>
  <c r="F27" i="4"/>
  <c r="F77" i="4"/>
  <c r="H77" i="4" s="1"/>
  <c r="F139" i="4"/>
  <c r="G139" i="4" s="1"/>
  <c r="I139" i="4" s="1"/>
  <c r="F147" i="4"/>
  <c r="G147" i="4" s="1"/>
  <c r="I147" i="4" s="1"/>
  <c r="F79" i="4"/>
  <c r="F235" i="4"/>
  <c r="F102" i="4"/>
  <c r="F188" i="4"/>
  <c r="H188" i="4" s="1"/>
  <c r="F65" i="4"/>
  <c r="F214" i="4"/>
  <c r="H214" i="4" s="1"/>
  <c r="F239" i="4"/>
  <c r="G239" i="4" s="1"/>
  <c r="I239" i="4" s="1"/>
  <c r="F198" i="4"/>
  <c r="G198" i="4" s="1"/>
  <c r="I198" i="4" s="1"/>
  <c r="F26" i="4"/>
  <c r="F164" i="4"/>
  <c r="F82" i="4"/>
  <c r="F62" i="4"/>
  <c r="F215" i="4"/>
  <c r="G215" i="4" s="1"/>
  <c r="I215" i="4" s="1"/>
  <c r="F128" i="4"/>
  <c r="F218" i="4"/>
  <c r="F138" i="4"/>
  <c r="F242" i="4"/>
  <c r="F156" i="4"/>
  <c r="F12" i="4"/>
  <c r="F108" i="4"/>
  <c r="F133" i="4"/>
  <c r="F162" i="4"/>
  <c r="F217" i="4"/>
  <c r="F169" i="4"/>
  <c r="F213" i="4"/>
  <c r="H213" i="4" s="1"/>
  <c r="F6" i="4"/>
  <c r="H6" i="4" s="1"/>
  <c r="F228" i="4"/>
  <c r="F243" i="4"/>
  <c r="F165" i="4"/>
  <c r="F220" i="4"/>
  <c r="F24" i="4"/>
  <c r="H24" i="4" s="1"/>
  <c r="F189" i="4"/>
  <c r="F180" i="4"/>
  <c r="H180" i="4" s="1"/>
  <c r="F193" i="4"/>
  <c r="F5" i="4"/>
  <c r="F4" i="4"/>
  <c r="H4" i="4" s="1"/>
  <c r="H190" i="4" l="1"/>
  <c r="H243" i="4"/>
  <c r="G243" i="4"/>
  <c r="I243" i="4" s="1"/>
  <c r="H241" i="4"/>
  <c r="G241" i="4"/>
  <c r="I241" i="4" s="1"/>
  <c r="H55" i="4"/>
  <c r="G55" i="4"/>
  <c r="I55" i="4" s="1"/>
  <c r="H17" i="4"/>
  <c r="G214" i="4"/>
  <c r="I214" i="4" s="1"/>
  <c r="H199" i="4"/>
  <c r="G199" i="4"/>
  <c r="I199" i="4" s="1"/>
  <c r="H220" i="4"/>
  <c r="G220" i="4"/>
  <c r="I220" i="4" s="1"/>
  <c r="G146" i="4"/>
  <c r="I146" i="4" s="1"/>
  <c r="H146" i="4"/>
  <c r="G226" i="4"/>
  <c r="I226" i="4" s="1"/>
  <c r="H226" i="4"/>
  <c r="G163" i="4"/>
  <c r="I163" i="4" s="1"/>
  <c r="H163" i="4"/>
  <c r="H222" i="4"/>
  <c r="G222" i="4"/>
  <c r="I222" i="4" s="1"/>
  <c r="G140" i="4"/>
  <c r="I140" i="4" s="1"/>
  <c r="G188" i="4"/>
  <c r="I188" i="4" s="1"/>
  <c r="H66" i="4"/>
  <c r="G66" i="4"/>
  <c r="I66" i="4" s="1"/>
  <c r="H113" i="4"/>
  <c r="G113" i="4"/>
  <c r="I113" i="4" s="1"/>
  <c r="H120" i="4"/>
  <c r="G120" i="4"/>
  <c r="I120" i="4" s="1"/>
  <c r="H62" i="4"/>
  <c r="G62" i="4"/>
  <c r="I62" i="4" s="1"/>
  <c r="H98" i="4"/>
  <c r="G98" i="4"/>
  <c r="I98" i="4" s="1"/>
  <c r="G134" i="4"/>
  <c r="I134" i="4" s="1"/>
  <c r="H90" i="4"/>
  <c r="H96" i="4"/>
  <c r="H232" i="4"/>
  <c r="G232" i="4"/>
  <c r="I232" i="4" s="1"/>
  <c r="H27" i="4"/>
  <c r="G27" i="4"/>
  <c r="I27" i="4" s="1"/>
  <c r="H227" i="4"/>
  <c r="G227" i="4"/>
  <c r="I227" i="4" s="1"/>
  <c r="G208" i="4"/>
  <c r="I208" i="4" s="1"/>
  <c r="H208" i="4"/>
  <c r="G219" i="4"/>
  <c r="I219" i="4" s="1"/>
  <c r="H219" i="4"/>
  <c r="G64" i="4"/>
  <c r="I64" i="4" s="1"/>
  <c r="H64" i="4"/>
  <c r="H195" i="4"/>
  <c r="G195" i="4"/>
  <c r="I195" i="4" s="1"/>
  <c r="H58" i="4"/>
  <c r="G58" i="4"/>
  <c r="I58" i="4" s="1"/>
  <c r="G79" i="4"/>
  <c r="I79" i="4" s="1"/>
  <c r="H79" i="4"/>
  <c r="G233" i="4"/>
  <c r="I233" i="4" s="1"/>
  <c r="H233" i="4"/>
  <c r="H228" i="4"/>
  <c r="G228" i="4"/>
  <c r="I228" i="4" s="1"/>
  <c r="G168" i="4"/>
  <c r="I168" i="4" s="1"/>
  <c r="H168" i="4"/>
  <c r="G44" i="4"/>
  <c r="I44" i="4" s="1"/>
  <c r="H44" i="4"/>
  <c r="H162" i="4"/>
  <c r="G162" i="4"/>
  <c r="I162" i="4" s="1"/>
  <c r="G152" i="4"/>
  <c r="I152" i="4" s="1"/>
  <c r="H152" i="4"/>
  <c r="G194" i="4"/>
  <c r="I194" i="4" s="1"/>
  <c r="G209" i="4"/>
  <c r="I209" i="4" s="1"/>
  <c r="H207" i="4"/>
  <c r="H115" i="4"/>
  <c r="H67" i="4"/>
  <c r="H141" i="4"/>
  <c r="H121" i="4"/>
  <c r="H75" i="4"/>
  <c r="G231" i="4"/>
  <c r="I231" i="4" s="1"/>
  <c r="H57" i="4"/>
  <c r="G200" i="4"/>
  <c r="I200" i="4" s="1"/>
  <c r="G29" i="4"/>
  <c r="I29" i="4" s="1"/>
  <c r="H29" i="4"/>
  <c r="G138" i="4"/>
  <c r="I138" i="4" s="1"/>
  <c r="H138" i="4"/>
  <c r="G18" i="4"/>
  <c r="I18" i="4" s="1"/>
  <c r="H18" i="4"/>
  <c r="G73" i="4"/>
  <c r="I73" i="4" s="1"/>
  <c r="H73" i="4"/>
  <c r="G136" i="4"/>
  <c r="I136" i="4" s="1"/>
  <c r="H136" i="4"/>
  <c r="G52" i="4"/>
  <c r="I52" i="4" s="1"/>
  <c r="H52" i="4"/>
  <c r="G16" i="4"/>
  <c r="I16" i="4" s="1"/>
  <c r="H16" i="4"/>
  <c r="H10" i="4"/>
  <c r="H139" i="4"/>
  <c r="G24" i="4"/>
  <c r="I24" i="4" s="1"/>
  <c r="G30" i="4"/>
  <c r="I30" i="4" s="1"/>
  <c r="G74" i="4"/>
  <c r="I74" i="4" s="1"/>
  <c r="G103" i="4"/>
  <c r="I103" i="4" s="1"/>
  <c r="G93" i="4"/>
  <c r="I93" i="4" s="1"/>
  <c r="G53" i="4"/>
  <c r="I53" i="4" s="1"/>
  <c r="H144" i="4"/>
  <c r="H129" i="4"/>
  <c r="H47" i="4"/>
  <c r="G47" i="4"/>
  <c r="I47" i="4" s="1"/>
  <c r="H94" i="4"/>
  <c r="G94" i="4"/>
  <c r="I94" i="4" s="1"/>
  <c r="G197" i="4"/>
  <c r="I197" i="4" s="1"/>
  <c r="H197" i="4"/>
  <c r="H165" i="4"/>
  <c r="G165" i="4"/>
  <c r="I165" i="4" s="1"/>
  <c r="H122" i="4"/>
  <c r="G122" i="4"/>
  <c r="I122" i="4" s="1"/>
  <c r="G41" i="4"/>
  <c r="I41" i="4" s="1"/>
  <c r="H41" i="4"/>
  <c r="H23" i="4"/>
  <c r="G23" i="4"/>
  <c r="I23" i="4" s="1"/>
  <c r="H72" i="4"/>
  <c r="G72" i="4"/>
  <c r="I72" i="4" s="1"/>
  <c r="H32" i="4"/>
  <c r="G32" i="4"/>
  <c r="I32" i="4" s="1"/>
  <c r="H229" i="4"/>
  <c r="G229" i="4"/>
  <c r="I229" i="4" s="1"/>
  <c r="G9" i="4"/>
  <c r="I9" i="4" s="1"/>
  <c r="H9" i="4"/>
  <c r="G224" i="4"/>
  <c r="I224" i="4" s="1"/>
  <c r="H224" i="4"/>
  <c r="H217" i="4"/>
  <c r="G217" i="4"/>
  <c r="I217" i="4" s="1"/>
  <c r="H172" i="4"/>
  <c r="G172" i="4"/>
  <c r="I172" i="4" s="1"/>
  <c r="H5" i="4"/>
  <c r="G5" i="4"/>
  <c r="I5" i="4" s="1"/>
  <c r="G153" i="4"/>
  <c r="I153" i="4" s="1"/>
  <c r="H153" i="4"/>
  <c r="H135" i="4"/>
  <c r="G135" i="4"/>
  <c r="I135" i="4" s="1"/>
  <c r="H161" i="4"/>
  <c r="G161" i="4"/>
  <c r="I161" i="4" s="1"/>
  <c r="H149" i="4"/>
  <c r="G149" i="4"/>
  <c r="I149" i="4" s="1"/>
  <c r="H218" i="4"/>
  <c r="G218" i="4"/>
  <c r="I218" i="4" s="1"/>
  <c r="H236" i="4"/>
  <c r="G236" i="4"/>
  <c r="I236" i="4" s="1"/>
  <c r="H87" i="4"/>
  <c r="G87" i="4"/>
  <c r="I87" i="4" s="1"/>
  <c r="H82" i="4"/>
  <c r="G82" i="4"/>
  <c r="I82" i="4" s="1"/>
  <c r="H133" i="4"/>
  <c r="G133" i="4"/>
  <c r="I133" i="4" s="1"/>
  <c r="H174" i="4"/>
  <c r="G174" i="4"/>
  <c r="I174" i="4" s="1"/>
  <c r="G56" i="4"/>
  <c r="I56" i="4" s="1"/>
  <c r="H56" i="4"/>
  <c r="G54" i="4"/>
  <c r="I54" i="4" s="1"/>
  <c r="H54" i="4"/>
  <c r="G131" i="4"/>
  <c r="I131" i="4" s="1"/>
  <c r="H131" i="4"/>
  <c r="G102" i="4"/>
  <c r="I102" i="4" s="1"/>
  <c r="H102" i="4"/>
  <c r="H46" i="4"/>
  <c r="G46" i="4"/>
  <c r="I46" i="4" s="1"/>
  <c r="G127" i="4"/>
  <c r="I127" i="4" s="1"/>
  <c r="H127" i="4"/>
  <c r="H167" i="4"/>
  <c r="G167" i="4"/>
  <c r="I167" i="4" s="1"/>
  <c r="G155" i="4"/>
  <c r="I155" i="4" s="1"/>
  <c r="H155" i="4"/>
  <c r="H176" i="4"/>
  <c r="G176" i="4"/>
  <c r="I176" i="4" s="1"/>
  <c r="H100" i="4"/>
  <c r="G100" i="4"/>
  <c r="I100" i="4" s="1"/>
  <c r="G35" i="4"/>
  <c r="I35" i="4" s="1"/>
  <c r="H35" i="4"/>
  <c r="G193" i="4"/>
  <c r="I193" i="4" s="1"/>
  <c r="H193" i="4"/>
  <c r="H51" i="4"/>
  <c r="G51" i="4"/>
  <c r="I51" i="4" s="1"/>
  <c r="G159" i="4"/>
  <c r="I159" i="4" s="1"/>
  <c r="H159" i="4"/>
  <c r="G97" i="4"/>
  <c r="I97" i="4" s="1"/>
  <c r="H97" i="4"/>
  <c r="H158" i="4"/>
  <c r="G158" i="4"/>
  <c r="I158" i="4" s="1"/>
  <c r="H119" i="4"/>
  <c r="G119" i="4"/>
  <c r="I119" i="4" s="1"/>
  <c r="G21" i="4"/>
  <c r="I21" i="4" s="1"/>
  <c r="H21" i="4"/>
  <c r="H192" i="4"/>
  <c r="G192" i="4"/>
  <c r="I192" i="4" s="1"/>
  <c r="G201" i="4"/>
  <c r="I201" i="4" s="1"/>
  <c r="H201" i="4"/>
  <c r="G180" i="4"/>
  <c r="I180" i="4" s="1"/>
  <c r="G160" i="4"/>
  <c r="I160" i="4" s="1"/>
  <c r="H25" i="4"/>
  <c r="H101" i="4"/>
  <c r="H198" i="4"/>
  <c r="H34" i="4"/>
  <c r="G212" i="4"/>
  <c r="I212" i="4" s="1"/>
  <c r="H142" i="4"/>
  <c r="G112" i="4"/>
  <c r="I112" i="4" s="1"/>
  <c r="H76" i="4"/>
  <c r="H143" i="4"/>
  <c r="H186" i="4"/>
  <c r="G85" i="4"/>
  <c r="I85" i="4" s="1"/>
  <c r="G213" i="4"/>
  <c r="I213" i="4" s="1"/>
  <c r="H148" i="4"/>
  <c r="H179" i="4"/>
  <c r="H117" i="4"/>
  <c r="H99" i="4"/>
  <c r="H59" i="4"/>
  <c r="H191" i="4"/>
  <c r="H147" i="4"/>
  <c r="H215" i="4"/>
  <c r="H238" i="4"/>
  <c r="H184" i="4"/>
  <c r="G211" i="4"/>
  <c r="I211" i="4" s="1"/>
  <c r="G20" i="4"/>
  <c r="I20" i="4" s="1"/>
  <c r="G154" i="4"/>
  <c r="I154" i="4" s="1"/>
  <c r="H104" i="4"/>
  <c r="G6" i="4"/>
  <c r="I6" i="4" s="1"/>
  <c r="G12" i="4"/>
  <c r="I12" i="4" s="1"/>
  <c r="H12" i="4"/>
  <c r="G189" i="4"/>
  <c r="I189" i="4" s="1"/>
  <c r="H189" i="4"/>
  <c r="H235" i="4"/>
  <c r="G235" i="4"/>
  <c r="I235" i="4" s="1"/>
  <c r="G157" i="4"/>
  <c r="I157" i="4" s="1"/>
  <c r="H157" i="4"/>
  <c r="H123" i="4"/>
  <c r="G123" i="4"/>
  <c r="I123" i="4" s="1"/>
  <c r="H36" i="4"/>
  <c r="G36" i="4"/>
  <c r="I36" i="4" s="1"/>
  <c r="G92" i="4"/>
  <c r="I92" i="4" s="1"/>
  <c r="H92" i="4"/>
  <c r="H210" i="4"/>
  <c r="G210" i="4"/>
  <c r="I210" i="4" s="1"/>
  <c r="G88" i="4"/>
  <c r="I88" i="4" s="1"/>
  <c r="H88" i="4"/>
  <c r="G86" i="4"/>
  <c r="I86" i="4" s="1"/>
  <c r="H86" i="4"/>
  <c r="H169" i="4"/>
  <c r="G169" i="4"/>
  <c r="I169" i="4" s="1"/>
  <c r="H49" i="4"/>
  <c r="H8" i="4"/>
  <c r="G8" i="4"/>
  <c r="I8" i="4" s="1"/>
  <c r="G38" i="4"/>
  <c r="I38" i="4" s="1"/>
  <c r="G80" i="4"/>
  <c r="I80" i="4" s="1"/>
  <c r="H80" i="4"/>
  <c r="H15" i="4"/>
  <c r="G15" i="4"/>
  <c r="I15" i="4" s="1"/>
  <c r="G70" i="4"/>
  <c r="I70" i="4" s="1"/>
  <c r="H70" i="4"/>
  <c r="G84" i="4"/>
  <c r="I84" i="4" s="1"/>
  <c r="H84" i="4"/>
  <c r="G177" i="4"/>
  <c r="I177" i="4" s="1"/>
  <c r="H177" i="4"/>
  <c r="H216" i="4"/>
  <c r="G242" i="4"/>
  <c r="I242" i="4" s="1"/>
  <c r="H242" i="4"/>
  <c r="H65" i="4"/>
  <c r="G65" i="4"/>
  <c r="I65" i="4" s="1"/>
  <c r="G7" i="4"/>
  <c r="I7" i="4" s="1"/>
  <c r="H7" i="4"/>
  <c r="H166" i="4"/>
  <c r="H106" i="4"/>
  <c r="G145" i="4"/>
  <c r="I145" i="4" s="1"/>
  <c r="H145" i="4"/>
  <c r="H221" i="4"/>
  <c r="H237" i="4"/>
  <c r="G237" i="4"/>
  <c r="I237" i="4" s="1"/>
  <c r="H205" i="4"/>
  <c r="G205" i="4"/>
  <c r="I205" i="4" s="1"/>
  <c r="G178" i="4"/>
  <c r="I178" i="4" s="1"/>
  <c r="H178" i="4"/>
  <c r="H31" i="4"/>
  <c r="G31" i="4"/>
  <c r="I31" i="4" s="1"/>
  <c r="G19" i="4"/>
  <c r="I19" i="4" s="1"/>
  <c r="H19" i="4"/>
  <c r="H187" i="4"/>
  <c r="G187" i="4"/>
  <c r="I187" i="4" s="1"/>
  <c r="G37" i="4"/>
  <c r="I37" i="4" s="1"/>
  <c r="H37" i="4"/>
  <c r="G111" i="4"/>
  <c r="I111" i="4" s="1"/>
  <c r="H111" i="4"/>
  <c r="H124" i="4"/>
  <c r="G124" i="4"/>
  <c r="I124" i="4" s="1"/>
  <c r="H11" i="4"/>
  <c r="G11" i="4"/>
  <c r="I11" i="4" s="1"/>
  <c r="H185" i="4"/>
  <c r="G185" i="4"/>
  <c r="I185" i="4" s="1"/>
  <c r="G48" i="4"/>
  <c r="I48" i="4" s="1"/>
  <c r="H48" i="4"/>
  <c r="G196" i="4"/>
  <c r="I196" i="4" s="1"/>
  <c r="H196" i="4"/>
  <c r="H223" i="4"/>
  <c r="H182" i="4"/>
  <c r="G182" i="4"/>
  <c r="I182" i="4" s="1"/>
  <c r="H202" i="4"/>
  <c r="G202" i="4"/>
  <c r="I202" i="4" s="1"/>
  <c r="H183" i="4"/>
  <c r="G183" i="4"/>
  <c r="I183" i="4" s="1"/>
  <c r="G116" i="4"/>
  <c r="I116" i="4" s="1"/>
  <c r="H116" i="4"/>
  <c r="G14" i="4"/>
  <c r="I14" i="4" s="1"/>
  <c r="H14" i="4"/>
  <c r="H39" i="4"/>
  <c r="G4" i="4"/>
  <c r="I4" i="4" s="1"/>
  <c r="H164" i="4"/>
  <c r="G164" i="4"/>
  <c r="I164" i="4" s="1"/>
  <c r="H170" i="4"/>
  <c r="G170" i="4"/>
  <c r="I170" i="4" s="1"/>
  <c r="G45" i="4"/>
  <c r="I45" i="4" s="1"/>
  <c r="H45" i="4"/>
  <c r="G107" i="4"/>
  <c r="I107" i="4" s="1"/>
  <c r="H107" i="4"/>
  <c r="H68" i="4"/>
  <c r="G68" i="4"/>
  <c r="I68" i="4" s="1"/>
  <c r="G132" i="4"/>
  <c r="I132" i="4" s="1"/>
  <c r="H132" i="4"/>
  <c r="H33" i="4"/>
  <c r="G33" i="4"/>
  <c r="I33" i="4" s="1"/>
  <c r="G13" i="4"/>
  <c r="I13" i="4" s="1"/>
  <c r="H13" i="4"/>
  <c r="G110" i="4"/>
  <c r="I110" i="4" s="1"/>
  <c r="H110" i="4"/>
  <c r="G150" i="4"/>
  <c r="I150" i="4" s="1"/>
  <c r="H150" i="4"/>
  <c r="G234" i="4"/>
  <c r="I234" i="4" s="1"/>
  <c r="H234" i="4"/>
  <c r="G206" i="4"/>
  <c r="I206" i="4" s="1"/>
  <c r="H206" i="4"/>
  <c r="H128" i="4"/>
  <c r="G128" i="4"/>
  <c r="I128" i="4" s="1"/>
  <c r="G240" i="4"/>
  <c r="I240" i="4" s="1"/>
  <c r="H240" i="4"/>
  <c r="G89" i="4"/>
  <c r="I89" i="4" s="1"/>
  <c r="H89" i="4"/>
  <c r="H105" i="4"/>
  <c r="G105" i="4"/>
  <c r="I105" i="4" s="1"/>
  <c r="G28" i="4"/>
  <c r="I28" i="4" s="1"/>
  <c r="H28" i="4"/>
  <c r="G156" i="4"/>
  <c r="I156" i="4" s="1"/>
  <c r="H156" i="4"/>
  <c r="G225" i="4"/>
  <c r="I225" i="4" s="1"/>
  <c r="H225" i="4"/>
  <c r="G130" i="4"/>
  <c r="I130" i="4" s="1"/>
  <c r="H130" i="4"/>
  <c r="H83" i="4"/>
  <c r="G83" i="4"/>
  <c r="I83" i="4" s="1"/>
  <c r="G63" i="4"/>
  <c r="I63" i="4" s="1"/>
  <c r="H63" i="4"/>
  <c r="G118" i="4"/>
  <c r="I118" i="4" s="1"/>
  <c r="H118" i="4"/>
  <c r="G42" i="4"/>
  <c r="I42" i="4" s="1"/>
  <c r="H42" i="4"/>
  <c r="H69" i="4"/>
  <c r="G69" i="4"/>
  <c r="I69" i="4" s="1"/>
  <c r="H137" i="4"/>
  <c r="G137" i="4"/>
  <c r="I137" i="4" s="1"/>
  <c r="G81" i="4"/>
  <c r="I81" i="4" s="1"/>
  <c r="H61" i="4"/>
  <c r="G61" i="4"/>
  <c r="I61" i="4" s="1"/>
  <c r="G77" i="4"/>
  <c r="I77" i="4" s="1"/>
  <c r="H181" i="4"/>
  <c r="G26" i="4"/>
  <c r="I26" i="4" s="1"/>
  <c r="H26" i="4"/>
  <c r="H91" i="4"/>
  <c r="G91" i="4"/>
  <c r="I91" i="4" s="1"/>
  <c r="G95" i="4"/>
  <c r="I95" i="4" s="1"/>
  <c r="H95" i="4"/>
  <c r="H50" i="4"/>
  <c r="G50" i="4"/>
  <c r="I50" i="4" s="1"/>
  <c r="H40" i="4"/>
  <c r="G40" i="4"/>
  <c r="I40" i="4" s="1"/>
  <c r="H109" i="4"/>
  <c r="H203" i="4"/>
  <c r="G203" i="4"/>
  <c r="I203" i="4" s="1"/>
  <c r="H43" i="4"/>
  <c r="G125" i="4"/>
  <c r="I125" i="4" s="1"/>
  <c r="H125" i="4"/>
  <c r="H22" i="4"/>
  <c r="H60" i="4"/>
  <c r="H151" i="4"/>
  <c r="H239" i="4"/>
  <c r="H171" i="4"/>
  <c r="G230" i="4"/>
  <c r="I230" i="4" s="1"/>
  <c r="G71" i="4"/>
  <c r="I71" i="4" s="1"/>
  <c r="G175" i="4"/>
  <c r="I175" i="4" s="1"/>
  <c r="G126" i="4"/>
  <c r="I126" i="4" s="1"/>
  <c r="H78" i="4"/>
  <c r="H108" i="4"/>
  <c r="G108" i="4"/>
  <c r="I108" i="4" s="1"/>
  <c r="H173" i="4"/>
  <c r="G114" i="4"/>
  <c r="I114" i="4" s="1"/>
  <c r="H204" i="4"/>
  <c r="G204" i="4"/>
  <c r="I2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FAVERAIS Laurent</author>
  </authors>
  <commentList>
    <comment ref="H9" authorId="0" shapeId="0" xr:uid="{00000000-0006-0000-0500-000001000000}">
      <text>
        <r>
          <rPr>
            <b/>
            <sz val="9"/>
            <color indexed="81"/>
            <rFont val="Tahoma"/>
            <family val="2"/>
          </rPr>
          <t>FAVERAIS Laurent:</t>
        </r>
        <r>
          <rPr>
            <sz val="9"/>
            <color indexed="81"/>
            <rFont val="Tahoma"/>
            <family val="2"/>
          </rPr>
          <t xml:space="preserve">
Afficher les param du TCD
sélectionner les mois désirés dans "mois numéros" dans la partie haute des options du TCD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20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20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21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21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22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22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23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23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FAVERAIS Laurent</author>
  </authors>
  <commentList>
    <comment ref="B1" authorId="0" shapeId="0" xr:uid="{00000000-0006-0000-2400-000001000000}">
      <text>
        <r>
          <rPr>
            <sz val="9"/>
            <color indexed="81"/>
            <rFont val="Tahoma"/>
            <family val="2"/>
          </rPr>
          <t xml:space="preserve">
Saisir ici les quantités stockées dans votre réservoir, cuve, silo…
En cas de remplissage, saisir ici la quantité avant remplissage</t>
        </r>
      </text>
    </comment>
    <comment ref="C1" authorId="0" shapeId="0" xr:uid="{00000000-0006-0000-2400-000002000000}">
      <text>
        <r>
          <rPr>
            <sz val="9"/>
            <color indexed="81"/>
            <rFont val="Tahoma"/>
            <family val="2"/>
          </rPr>
          <t xml:space="preserve">
Veuillez saisir la quantité remise dans le stockage</t>
        </r>
      </text>
    </comment>
    <comment ref="D1" authorId="0" shapeId="0" xr:uid="{00000000-0006-0000-2400-000003000000}">
      <text>
        <r>
          <rPr>
            <sz val="9"/>
            <color indexed="81"/>
            <rFont val="Tahoma"/>
            <family val="2"/>
          </rPr>
          <t xml:space="preserve">
Veuillez saisir ici la quantité restante après remplissage</t>
        </r>
      </text>
    </comment>
    <comment ref="F1" authorId="0" shapeId="0" xr:uid="{00000000-0006-0000-2400-000004000000}">
      <text>
        <r>
          <rPr>
            <sz val="9"/>
            <color indexed="81"/>
            <rFont val="Tahoma"/>
            <family val="2"/>
          </rPr>
          <t xml:space="preserve">
Copiez/Collez (valeur) les 2 colonnes "fin de période" et "Quantité" dans l'onglet correspondant à la consommation</t>
        </r>
      </text>
    </comment>
    <comment ref="G1" authorId="0" shapeId="0" xr:uid="{00000000-0006-0000-2400-000005000000}">
      <text>
        <r>
          <rPr>
            <sz val="9"/>
            <color indexed="81"/>
            <rFont val="Tahoma"/>
            <family val="2"/>
          </rPr>
          <t xml:space="preserve">
Copiez/Collez (valeur) les 2 colonnes "fin de période" et "Quantité" dans l'onglet correspondant à la consommation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Fabien Rouault</author>
    <author>FAVERAIS Laurent</author>
  </authors>
  <commentList>
    <comment ref="D7" authorId="0" shapeId="0" xr:uid="{00000000-0006-0000-0300-000001000000}">
      <text>
        <r>
          <rPr>
            <sz val="9"/>
            <color indexed="81"/>
            <rFont val="Tahoma"/>
            <family val="2"/>
          </rPr>
          <t xml:space="preserve">Si la surface chauffé est inconnue ou égale à la surface totale, copiez/collez les valeurs de la surface totale 
</t>
        </r>
      </text>
    </comment>
    <comment ref="E7" authorId="0" shapeId="0" xr:uid="{00000000-0006-0000-0300-000002000000}">
      <text>
        <r>
          <rPr>
            <sz val="9"/>
            <color indexed="81"/>
            <rFont val="Tahoma"/>
            <family val="2"/>
          </rPr>
          <t xml:space="preserve">Si la surface refroidie est inconnue ou négligeable par rapport à la surface totale du bâtiment vous pouvez laisser la colonne vide
</t>
        </r>
      </text>
    </comment>
    <comment ref="H7" authorId="0" shapeId="0" xr:uid="{00000000-0006-0000-0300-000003000000}">
      <text>
        <r>
          <rPr>
            <sz val="9"/>
            <color indexed="81"/>
            <rFont val="Tahoma"/>
            <family val="2"/>
          </rPr>
          <t>La valeur Cabs est l'objectif de consommation en valeur aboslue calculé par la plateforme OPERAT. Elle permet de calculer l'ajustement climatique du chauffage et du refroidissement.</t>
        </r>
      </text>
    </comment>
    <comment ref="C8" authorId="1" shapeId="0" xr:uid="{0113CE4D-B7D6-4102-9BA3-E583059F092F}">
      <text>
        <r>
          <rPr>
            <b/>
            <sz val="9"/>
            <color indexed="81"/>
            <rFont val="Tahoma"/>
            <family val="2"/>
          </rPr>
          <t>FAVERAIS Laurent:</t>
        </r>
        <r>
          <rPr>
            <sz val="9"/>
            <color indexed="81"/>
            <rFont val="Tahoma"/>
            <family val="2"/>
          </rPr>
          <t xml:space="preserve">
Formule à copier pour récupérer la valeur calculée par la partie DEET
=SOMME.SI.ENS('Valeur absolue CABS'!$F$9:$F$38;'Valeur absolue CABS'!$B$9:$B$38;"&lt;="&amp;Site!$B8;'Valeur absolue CABS'!$C$9:$C$38;"&gt;="&amp;Site!$B8)</t>
        </r>
      </text>
    </comment>
    <comment ref="D8" authorId="1" shapeId="0" xr:uid="{221BCF59-7BB8-4720-9890-1BFBDABF6C59}">
      <text>
        <r>
          <rPr>
            <b/>
            <sz val="9"/>
            <color indexed="81"/>
            <rFont val="Tahoma"/>
            <family val="2"/>
          </rPr>
          <t>FAVERAIS Laurent:</t>
        </r>
        <r>
          <rPr>
            <sz val="9"/>
            <color indexed="81"/>
            <rFont val="Tahoma"/>
            <family val="2"/>
          </rPr>
          <t xml:space="preserve">
Formule à copier pour récupérer la valeur calculée par la partie DEET =SOMME.SI.ENS('Valeur absolue CABS'!$F$9:$F$38;'Valeur absolue CABS'!$B$9:$B$38;"&lt;="&amp;Site!$B8;'Valeur absolue CABS'!$C$9:$C$38;"&gt;="&amp;Site!$B8;'Valeur absolue CABS'!$G$9:$G$38;"Oui")</t>
        </r>
      </text>
    </comment>
    <comment ref="E8" authorId="1" shapeId="0" xr:uid="{71E5AB1D-B838-4046-99A0-AEE9E612E0FB}">
      <text>
        <r>
          <rPr>
            <b/>
            <sz val="9"/>
            <color indexed="81"/>
            <rFont val="Tahoma"/>
            <family val="2"/>
          </rPr>
          <t>FAVERAIS Laurent:</t>
        </r>
        <r>
          <rPr>
            <sz val="9"/>
            <color indexed="81"/>
            <rFont val="Tahoma"/>
            <family val="2"/>
          </rPr>
          <t xml:space="preserve">
Formule à copier pour récupérer la valeur calculée par la partie 
=SOMME.SI.ENS('Valeur absolue CABS'!$F$9:$F$38;'Valeur absolue CABS'!$B$9:$B$38;"&lt;="&amp;Site!$B8;'Valeur absolue CABS'!$C$9:$C$38;"&gt;="&amp;Site!$B8;'Valeur absolue CABS'!$H$9:$H$38;"Oui")</t>
        </r>
      </text>
    </comment>
    <comment ref="H8" authorId="1" shapeId="0" xr:uid="{6A0B3F25-128C-4803-97D6-FD2864259956}">
      <text>
        <r>
          <rPr>
            <b/>
            <sz val="9"/>
            <color indexed="81"/>
            <rFont val="Tahoma"/>
            <family val="2"/>
          </rPr>
          <t>FAVERAIS Laurent:</t>
        </r>
        <r>
          <rPr>
            <sz val="9"/>
            <color indexed="81"/>
            <rFont val="Tahoma"/>
            <family val="2"/>
          </rPr>
          <t xml:space="preserve">
Formule à copier pour récupérer la valeur calculée par la partie 
=SIERREUR(SOMME.SI.ENS('Valeur absolue CABS'!$X$9:$X$38;'Valeur absolue CABS'!$B$9:$B$38;"&lt;="&amp;Site!$B8;'Valeur absolue CABS'!$C$9:$C$38;"&gt;="&amp;Site!$B8)/C8;"")</t>
        </r>
      </text>
    </comment>
    <comment ref="C30" authorId="0" shapeId="0" xr:uid="{00000000-0006-0000-0300-000004000000}">
      <text>
        <r>
          <rPr>
            <sz val="9"/>
            <color indexed="81"/>
            <rFont val="Tahoma"/>
            <family val="2"/>
          </rPr>
          <t xml:space="preserve">Indiquez l'activité principale du site pour la comparaison avec les indicateurs régionaux </t>
        </r>
      </text>
    </comment>
    <comment ref="C37" authorId="0" shapeId="0" xr:uid="{00000000-0006-0000-0300-000006000000}">
      <text>
        <r>
          <rPr>
            <sz val="9"/>
            <color indexed="81"/>
            <rFont val="Tahoma"/>
            <family val="2"/>
          </rPr>
          <t xml:space="preserve">Indiquez un nom au compteur pour le reconnaitre dans les onglets "Suvi Compteur" et "Suivi Sous_compteur"
</t>
        </r>
      </text>
    </comment>
    <comment ref="I37" authorId="0" shapeId="0" xr:uid="{00000000-0006-0000-0300-000007000000}">
      <text>
        <r>
          <rPr>
            <sz val="9"/>
            <color indexed="81"/>
            <rFont val="Tahoma"/>
            <family val="2"/>
          </rPr>
          <t>Pour un remplissage automatique des dates, vous pouvez indiquer la première date de lecture du compteur ou de facturation ainsi que la fréquence 
Vous pouvez également supprimer le pré-remplissage et entrer les dates en particulier pour les combustibles stockables</t>
        </r>
      </text>
    </comment>
    <comment ref="B47" authorId="0" shapeId="0" xr:uid="{00000000-0006-0000-0300-000008000000}">
      <text>
        <r>
          <rPr>
            <b/>
            <sz val="9"/>
            <color indexed="81"/>
            <rFont val="Tahoma"/>
            <family val="2"/>
          </rPr>
          <t xml:space="preserve">Indiquez la station sélectionnée sur OPERAT:
</t>
        </r>
        <r>
          <rPr>
            <sz val="9"/>
            <color indexed="81"/>
            <rFont val="Tahoma"/>
            <family val="2"/>
          </rPr>
          <t>Détermine principalement l'ajustement climatique pour le Décret Tertiaire
L'altitude modifie les valeurs prises en compte pour la valeur Cabs calculée par défaut</t>
        </r>
      </text>
    </comment>
    <comment ref="C61" authorId="0" shapeId="0" xr:uid="{00000000-0006-0000-0300-000009000000}">
      <text>
        <r>
          <rPr>
            <sz val="9"/>
            <color indexed="81"/>
            <rFont val="Tahoma"/>
            <family val="2"/>
          </rPr>
          <t xml:space="preserve">L'onglet Choix DEET peut vous permettre de vérifier votre choix d'année de référence en considérant l'ajustement climatique.
</t>
        </r>
      </text>
    </comment>
    <comment ref="C63" authorId="0" shapeId="0" xr:uid="{00000000-0006-0000-0300-00000A000000}">
      <text>
        <r>
          <rPr>
            <sz val="9"/>
            <color indexed="81"/>
            <rFont val="Tahoma"/>
            <family val="2"/>
          </rPr>
          <t xml:space="preserve">Pour un calcul adéquat des indicateurs annuels, l'année doit être couverte du 1er janvier au 31 décembre </t>
        </r>
      </text>
    </comment>
    <comment ref="H69" authorId="1" shapeId="0" xr:uid="{00000000-0006-0000-0300-00000B000000}">
      <text>
        <r>
          <rPr>
            <b/>
            <sz val="9"/>
            <color indexed="81"/>
            <rFont val="Tahoma"/>
            <family val="2"/>
          </rPr>
          <t>FAVERAIS Laurent:</t>
        </r>
        <r>
          <rPr>
            <sz val="9"/>
            <color indexed="81"/>
            <rFont val="Tahoma"/>
            <family val="2"/>
          </rPr>
          <t xml:space="preserve">
Valeur moyenne = 70% pour un EHPAD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FAVERAIS Laurent</author>
  </authors>
  <commentList>
    <comment ref="P22" authorId="0" shapeId="0" xr:uid="{C7D463F0-B68C-4F77-A8F7-96A27ABA049F}">
      <text>
        <r>
          <rPr>
            <b/>
            <sz val="9"/>
            <color indexed="81"/>
            <rFont val="Tahoma"/>
            <family val="2"/>
          </rPr>
          <t>FAVERAIS Laurent:</t>
        </r>
        <r>
          <rPr>
            <sz val="9"/>
            <color indexed="81"/>
            <rFont val="Tahoma"/>
            <family val="2"/>
          </rPr>
          <t xml:space="preserve">
Talon Thermique = conso estivale ramenée au mois et divisée la surface de l'établissement
</t>
        </r>
      </text>
    </comment>
    <comment ref="P27" authorId="0" shapeId="0" xr:uid="{873506AB-877E-4593-9A5B-1A96A07BCF03}">
      <text>
        <r>
          <rPr>
            <b/>
            <sz val="9"/>
            <color indexed="81"/>
            <rFont val="Tahoma"/>
            <family val="2"/>
          </rPr>
          <t>FAVERAIS Laurent:</t>
        </r>
        <r>
          <rPr>
            <sz val="9"/>
            <color indexed="81"/>
            <rFont val="Tahoma"/>
            <family val="2"/>
          </rPr>
          <t xml:space="preserve">
Talon Elec = cf valeur issue d'optiturpe et reportée dans onglet Compteur1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FAVERAIS Laurent</author>
  </authors>
  <commentList>
    <comment ref="J24" authorId="0" shapeId="0" xr:uid="{00000000-0006-0000-1500-000001000000}">
      <text>
        <r>
          <rPr>
            <b/>
            <sz val="9"/>
            <color indexed="81"/>
            <rFont val="Tahoma"/>
            <family val="2"/>
          </rPr>
          <t>FAVERAIS Laurent:</t>
        </r>
        <r>
          <rPr>
            <sz val="9"/>
            <color indexed="81"/>
            <rFont val="Tahoma"/>
            <family val="2"/>
          </rPr>
          <t xml:space="preserve">
pour mémoire
</t>
        </r>
      </text>
    </comment>
    <comment ref="L25" authorId="0" shapeId="0" xr:uid="{FC634628-839D-49C5-81BA-C83E7DB0E97E}">
      <text>
        <r>
          <rPr>
            <b/>
            <sz val="9"/>
            <color indexed="81"/>
            <rFont val="Tahoma"/>
            <family val="2"/>
          </rPr>
          <t>FAVERAIS Laurent:</t>
        </r>
        <r>
          <rPr>
            <sz val="9"/>
            <color indexed="81"/>
            <rFont val="Tahoma"/>
            <family val="2"/>
          </rPr>
          <t xml:space="preserve">
3,7 = valeur issue de la moyenne des 20 talons de conso été des établissements Sarthois relevés sur 2024 et 2025</t>
        </r>
      </text>
    </comment>
    <comment ref="M25" authorId="0" shapeId="0" xr:uid="{8C838B4E-9C1E-4B2A-9827-B7EE1E7749D2}">
      <text>
        <r>
          <rPr>
            <b/>
            <sz val="9"/>
            <color indexed="81"/>
            <rFont val="Tahoma"/>
            <family val="2"/>
          </rPr>
          <t>FAVERAIS Laurent:</t>
        </r>
        <r>
          <rPr>
            <sz val="9"/>
            <color indexed="81"/>
            <rFont val="Tahoma"/>
            <family val="2"/>
          </rPr>
          <t xml:space="preserve">
3,6 = valeur issue de la moyenne des 20 talons de conso été (Consos Estivale/12mois/surface totale) des établissements Sarthois relevés sur 2024 et 2025</t>
        </r>
      </text>
    </comment>
    <comment ref="K27" authorId="0" shapeId="0" xr:uid="{00000000-0006-0000-1500-000002000000}">
      <text>
        <r>
          <rPr>
            <b/>
            <sz val="9"/>
            <color indexed="81"/>
            <rFont val="Tahoma"/>
            <family val="2"/>
          </rPr>
          <t>FAVERAIS Laurent:</t>
        </r>
        <r>
          <rPr>
            <sz val="9"/>
            <color indexed="81"/>
            <rFont val="Tahoma"/>
            <family val="2"/>
          </rPr>
          <t xml:space="preserve">
Moyenne de 97 EHPAD ligériens (Surface OPERAT / Nb lit + place de jour)
En neuf, le Dpt essai de rester autour des 50m2 de SU/lit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FAVERAIS Laurent</author>
    <author>ANKOU Mel</author>
  </authors>
  <commentList>
    <comment ref="H4" authorId="0" shapeId="0" xr:uid="{00000000-0006-0000-1400-000001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R4" authorId="0" shapeId="0" xr:uid="{00000000-0006-0000-1400-000002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AB4" authorId="0" shapeId="0" xr:uid="{00000000-0006-0000-1400-000003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AL4" authorId="0" shapeId="0" xr:uid="{00000000-0006-0000-1400-000004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AV4" authorId="0" shapeId="0" xr:uid="{00000000-0006-0000-1400-000005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BF4" authorId="0" shapeId="0" xr:uid="{00000000-0006-0000-1400-000006000000}">
      <text>
        <r>
          <rPr>
            <b/>
            <sz val="9"/>
            <color indexed="81"/>
            <rFont val="Tahoma"/>
            <family val="2"/>
          </rPr>
          <t>FAVERAIS Laurent:</t>
        </r>
        <r>
          <rPr>
            <sz val="9"/>
            <color indexed="81"/>
            <rFont val="Tahoma"/>
            <family val="2"/>
          </rPr>
          <t xml:space="preserve">
Contient la consommation de chaleur, déduite de la consommation estivale (ECS+Cuisson) si celle-ci est disponible</t>
        </r>
      </text>
    </comment>
    <comment ref="D29" authorId="1" shapeId="0" xr:uid="{00000000-0006-0000-1400-000007000000}">
      <text>
        <r>
          <rPr>
            <b/>
            <sz val="9"/>
            <color indexed="81"/>
            <rFont val="Tahoma"/>
            <family val="2"/>
          </rPr>
          <t>ANKOU Mel:</t>
        </r>
        <r>
          <rPr>
            <sz val="9"/>
            <color indexed="81"/>
            <rFont val="Tahoma"/>
            <family val="2"/>
          </rPr>
          <t xml:space="preserve">
Donnée échangée avec celle de Nov</t>
        </r>
      </text>
    </comment>
    <comment ref="F36" authorId="0" shapeId="0" xr:uid="{00000000-0006-0000-1400-000008000000}">
      <text>
        <r>
          <rPr>
            <b/>
            <sz val="9"/>
            <color indexed="81"/>
            <rFont val="Tahoma"/>
            <family val="2"/>
          </rPr>
          <t>FAVERAIS Laurent:</t>
        </r>
        <r>
          <rPr>
            <sz val="9"/>
            <color indexed="81"/>
            <rFont val="Tahoma"/>
            <family val="2"/>
          </rPr>
          <t xml:space="preserve">
</t>
        </r>
        <r>
          <rPr>
            <sz val="11"/>
            <color indexed="81"/>
            <rFont val="Tahoma"/>
            <family val="2"/>
          </rPr>
          <t>mettre les valeurs annuelles sur la ligne 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Fabien Rouault</author>
    <author>FAVERAIS Laurent</author>
  </authors>
  <commentList>
    <comment ref="K1" authorId="0" shapeId="0" xr:uid="{00000000-0006-0000-1C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1C00-000002000000}">
      <text>
        <r>
          <rPr>
            <sz val="9"/>
            <color indexed="81"/>
            <rFont val="Tahoma"/>
            <family val="2"/>
          </rPr>
          <t xml:space="preserve">Indiquez un nom au compteur dans l'onglet "SITE" pour le reconnaitre dans les onglets "Suvi Compteur" et "Suivi Sous_compteur"...
</t>
        </r>
      </text>
    </comment>
    <comment ref="L10" authorId="1" shapeId="0" xr:uid="{CB14B51B-405C-4EF2-A1BB-DE1B0BC6A3A0}">
      <text>
        <r>
          <rPr>
            <b/>
            <sz val="9"/>
            <color indexed="81"/>
            <rFont val="Tahoma"/>
            <family val="2"/>
          </rPr>
          <t>FAVERAIS Laurent:</t>
        </r>
        <r>
          <rPr>
            <sz val="9"/>
            <color indexed="81"/>
            <rFont val="Tahoma"/>
            <family val="2"/>
          </rPr>
          <t xml:space="preserve">
Consommation minimum annuelle atteinte au plus petit pas de temps disponible selon les données ENEDIS (5, 10 ou 30 min)
Cette valeur peut être obtenue grâce à l'outil Optitupe, lien via le bouton vert de cette page.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1D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1D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1E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1E00-000002000000}">
      <text>
        <r>
          <rPr>
            <sz val="9"/>
            <color indexed="81"/>
            <rFont val="Tahoma"/>
            <family val="2"/>
          </rPr>
          <t xml:space="preserve">Indiquez un nom au compteur dans l'onglet "SITE" pour le reconnaitre dans les onglets "Suvi Compteur" et "Suivi Sous_compteur"...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Fabien Rouault</author>
  </authors>
  <commentList>
    <comment ref="K1" authorId="0" shapeId="0" xr:uid="{00000000-0006-0000-1F00-000001000000}">
      <text>
        <r>
          <rPr>
            <sz val="9"/>
            <color indexed="81"/>
            <rFont val="Tahoma"/>
            <family val="2"/>
          </rPr>
          <t xml:space="preserve">Indiquez un nom au compteur dans l'onglet "SITE" pour le reconnaitre dans les onglets "Suvi Compteur" et "Suivi Sous_compteur"...
</t>
        </r>
      </text>
    </comment>
    <comment ref="K2" authorId="0" shapeId="0" xr:uid="{00000000-0006-0000-1F00-000002000000}">
      <text>
        <r>
          <rPr>
            <sz val="9"/>
            <color indexed="81"/>
            <rFont val="Tahoma"/>
            <family val="2"/>
          </rPr>
          <t xml:space="preserve">Indiquez un nom au compteur dans l'onglet "SITE" pour le reconnaitre dans les onglets "Suvi Compteur" et "Suivi Sous_compteur"...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65A5A15-012D-4B24-B409-9250E49F6D3E}" keepAlive="1" name="Requête - Tab_Compteur_2" description="Connexion à la requête « Tab_Compteur_2 » dans le classeur." type="5" refreshedVersion="0" background="1">
    <dbPr connection="Provider=Microsoft.Mashup.OleDb.1;Data Source=$Workbook$;Location=Tab_Compteur_2;Extended Properties=&quot;&quot;" command="SELECT * FROM [Tab_Compteur_2]"/>
  </connection>
  <connection id="2" xr16:uid="{E7C99DC5-546A-4DAC-9D98-67647E8BD86D}" keepAlive="1" name="Requête - Tab_Compteur_3" description="Connexion à la requête « Tab_Compteur_3 » dans le classeur." type="5" refreshedVersion="0" background="1">
    <dbPr connection="Provider=Microsoft.Mashup.OleDb.1;Data Source=$Workbook$;Location=Tab_Compteur_3;Extended Properties=&quot;&quot;" command="SELECT * FROM [Tab_Compteur_3]"/>
  </connection>
  <connection id="3" xr16:uid="{4A1B9805-E18C-4DF9-B24D-C45A616CD81C}" keepAlive="1" name="Requête - Tab_Compteur_4" description="Connexion à la requête « Tab_Compteur_4 » dans le classeur." type="5" refreshedVersion="0" background="1">
    <dbPr connection="Provider=Microsoft.Mashup.OleDb.1;Data Source=$Workbook$;Location=Tab_Compteur_4;Extended Properties=&quot;&quot;" command="SELECT * FROM [Tab_Compteur_4]"/>
  </connection>
  <connection id="4" xr16:uid="{91CABB7E-40D8-4405-9B8C-95B7B291BC43}" keepAlive="1" name="Requête - Tab_Compteur_5" description="Connexion à la requête « Tab_Compteur_5 » dans le classeur." type="5" refreshedVersion="0" background="1">
    <dbPr connection="Provider=Microsoft.Mashup.OleDb.1;Data Source=$Workbook$;Location=Tab_Compteur_5;Extended Properties=&quot;&quot;" command="SELECT * FROM [Tab_Compteur_5]"/>
  </connection>
  <connection id="5" xr16:uid="{766B2382-CDF1-41A5-8836-AB1EE101FD7B}" keepAlive="1" name="Requête - Tab_Compteur_6" description="Connexion à la requête « Tab_Compteur_6 » dans le classeur." type="5" refreshedVersion="0" background="1">
    <dbPr connection="Provider=Microsoft.Mashup.OleDb.1;Data Source=$Workbook$;Location=Tab_Compteur_6;Extended Properties=&quot;&quot;" command="SELECT * FROM [Tab_Compteur_6]"/>
  </connection>
  <connection id="6" xr16:uid="{8B47AF55-5CBD-4C4E-ACDE-ED41463C33FA}" keepAlive="1" name="Requête - Tab_Compteur_7" description="Connexion à la requête « Tab_Compteur_7 » dans le classeur." type="5" refreshedVersion="0" background="1">
    <dbPr connection="Provider=Microsoft.Mashup.OleDb.1;Data Source=$Workbook$;Location=Tab_Compteur_7;Extended Properties=&quot;&quot;" command="SELECT * FROM [Tab_Compteur_7]"/>
  </connection>
  <connection id="7" xr16:uid="{4B02A386-145D-4F37-ABC4-025FD68559FD}" keepAlive="1" name="Requête - Tab_Compteur_8" description="Connexion à la requête « Tab_Compteur_8 » dans le classeur." type="5" refreshedVersion="0" background="1">
    <dbPr connection="Provider=Microsoft.Mashup.OleDb.1;Data Source=$Workbook$;Location=Tab_Compteur_8;Extended Properties=&quot;&quot;" command="SELECT * FROM [Tab_Compteur_8]"/>
  </connection>
  <connection id="8" xr16:uid="{530A4308-3792-4773-AE32-806CBDAE6E03}" name="Requête - Tab_concat" description="Connexion à la requête « Tab_concat » dans le classeur." type="100" refreshedVersion="7" minRefreshableVersion="5">
    <extLst>
      <ext xmlns:x15="http://schemas.microsoft.com/office/spreadsheetml/2010/11/main" uri="{DE250136-89BD-433C-8126-D09CA5730AF9}">
        <x15:connection id="cae3b230-15c6-43d9-809b-58218ae4aee4"/>
      </ext>
    </extLst>
  </connection>
  <connection id="9" xr16:uid="{D8C98B7D-0C01-429D-934A-0EC825DED832}" keepAlive="1" name="Requête - Tableau9" description="Connexion à la requête « Tableau9 » dans le classeur." type="5" refreshedVersion="0" background="1">
    <dbPr connection="Provider=Microsoft.Mashup.OleDb.1;Data Source=$Workbook$;Location=Tableau9;Extended Properties=&quot;&quot;" command="SELECT * FROM [Tableau9]"/>
  </connection>
  <connection id="10" xr16:uid="{36F6CE9E-94BC-406A-8592-A20A79C48F12}" keepAlive="1" name="ThisWorkbookDataModel" description="Modèle de donnée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1" xr16:uid="{921986D9-3B1B-435F-827E-AE2FD788BEEB}" name="WorksheetConnection_TB_Energie_Eau_1.57_Vierge_TEST.xlsx!Tableau16" type="102" refreshedVersion="7" minRefreshableVersion="5">
    <extLst>
      <ext xmlns:x15="http://schemas.microsoft.com/office/spreadsheetml/2010/11/main" uri="{DE250136-89BD-433C-8126-D09CA5730AF9}">
        <x15:connection id="Tableau16">
          <x15:rangePr sourceName="_xlcn.WorksheetConnection_TB_Energie_Eau_1.57_Vierge_TEST.xlsxTableau16"/>
        </x15:connection>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12">
    <s v="ThisWorkbookDataModel"/>
    <s v="{[Tab_concat].[Type].&amp;[Consommation]}"/>
    <s v="{[Tab_concat].[Source].[All]}"/>
    <s v="{[Tab_concat].[Mois].&amp;[7]}"/>
    <s v="{[Tab_concat].[Nom].[All]}"/>
    <s v="{[Tab_concat].[Annee].&amp;[2025]}"/>
    <s v="{[Tab_concat].[Nom].&amp;[Eau Générale (factures)]}"/>
    <s v="{[Tab_concat].[Nom].&amp;[Elec Générale (Factures)]}"/>
    <s v="{[Tab_concat].[Nom].&amp;[Chaleur Générale (factures)]}"/>
    <s v="[Tab_concat].[Nom].&amp;[Elec Générale (Factures)]"/>
    <s v="{[Tab_concat].[Mois].&amp;[6],[Tab_concat].[Mois].&amp;[7],[Tab_concat].[Mois].&amp;[8],[Tab_concat].[Mois].&amp;[9]}"/>
    <s v="{[Tab_concat].[Dates (année)].&amp;[2025]}"/>
  </metadataStrings>
  <mdxMetadata count="11">
    <mdx n="0" f="s">
      <ms ns="1" c="0"/>
    </mdx>
    <mdx n="0" f="s">
      <ms ns="2" c="0"/>
    </mdx>
    <mdx n="0" f="s">
      <ms ns="3" c="0"/>
    </mdx>
    <mdx n="0" f="s">
      <ms ns="4" c="0"/>
    </mdx>
    <mdx n="0" f="s">
      <ms ns="5" c="0"/>
    </mdx>
    <mdx n="0" f="s">
      <ms ns="6" c="0"/>
    </mdx>
    <mdx n="0" f="s">
      <ms ns="7" c="0"/>
    </mdx>
    <mdx n="0" f="s">
      <ms ns="8" c="0"/>
    </mdx>
    <mdx n="0" f="r">
      <t c="1">
        <n x="9"/>
      </t>
    </mdx>
    <mdx n="0" f="s">
      <ms ns="10" c="0"/>
    </mdx>
    <mdx n="0" f="s">
      <ms ns="11" c="0"/>
    </mdx>
  </mdxMetadata>
  <futureMetadata name="XLDAPR" count="1">
    <bk>
      <extLst>
        <ext uri="{bdbb8cdc-fa1e-496e-a857-3c3f30c029c3}">
          <xda:dynamicArrayProperties fDynamic="1" fCollapsed="0"/>
        </ext>
      </extLst>
    </bk>
  </futureMetadata>
  <cellMetadata count="1">
    <bk>
      <rc t="2" v="0"/>
    </bk>
  </cellMetadata>
  <valueMetadata count="11">
    <bk>
      <rc t="1" v="0"/>
    </bk>
    <bk>
      <rc t="1" v="1"/>
    </bk>
    <bk>
      <rc t="1" v="2"/>
    </bk>
    <bk>
      <rc t="1" v="3"/>
    </bk>
    <bk>
      <rc t="1" v="4"/>
    </bk>
    <bk>
      <rc t="1" v="5"/>
    </bk>
    <bk>
      <rc t="1" v="6"/>
    </bk>
    <bk>
      <rc t="1" v="7"/>
    </bk>
    <bk>
      <rc t="1" v="8"/>
    </bk>
    <bk>
      <rc t="1" v="9"/>
    </bk>
    <bk>
      <rc t="1" v="10"/>
    </bk>
  </valueMetadata>
</metadata>
</file>

<file path=xl/sharedStrings.xml><?xml version="1.0" encoding="utf-8"?>
<sst xmlns="http://schemas.openxmlformats.org/spreadsheetml/2006/main" count="4639" uniqueCount="929">
  <si>
    <t xml:space="preserve">Nom du site : </t>
  </si>
  <si>
    <t>Bâtiment et Activité</t>
  </si>
  <si>
    <t xml:space="preserve">Version : </t>
  </si>
  <si>
    <t>Surfaces</t>
  </si>
  <si>
    <t>Accueil</t>
  </si>
  <si>
    <t>Données OPERAT</t>
  </si>
  <si>
    <t>Evénements dans la vie du site</t>
  </si>
  <si>
    <t>Année</t>
  </si>
  <si>
    <t>Totale- m²</t>
  </si>
  <si>
    <t>Chauffée - m²</t>
  </si>
  <si>
    <t>Refroidie - m²</t>
  </si>
  <si>
    <t xml:space="preserve">Lits </t>
  </si>
  <si>
    <t>Places de jour</t>
  </si>
  <si>
    <t>Cabs</t>
  </si>
  <si>
    <t xml:space="preserve">Activité principal du site : </t>
  </si>
  <si>
    <t xml:space="preserve">Fonctionnement du site : </t>
  </si>
  <si>
    <t>Nombre de places de parking :</t>
  </si>
  <si>
    <t>Comptage energie et eau</t>
  </si>
  <si>
    <t>Compteur/ Livraison</t>
  </si>
  <si>
    <t>Nom</t>
  </si>
  <si>
    <t>Type</t>
  </si>
  <si>
    <t>Source</t>
  </si>
  <si>
    <t>Detail usage</t>
  </si>
  <si>
    <t>Combustible (Seulement Conso)</t>
  </si>
  <si>
    <t>Type de données saisies</t>
  </si>
  <si>
    <t>Compteur 1</t>
  </si>
  <si>
    <t>Consommation</t>
  </si>
  <si>
    <t>Electricité</t>
  </si>
  <si>
    <t>Elec_Général</t>
  </si>
  <si>
    <t>Electricité (kWh)</t>
  </si>
  <si>
    <t>Compteur 2</t>
  </si>
  <si>
    <t>Chaleur</t>
  </si>
  <si>
    <t>ECS et Chauffage</t>
  </si>
  <si>
    <t>Fioul domestique (litres)</t>
  </si>
  <si>
    <t>Compteur 3</t>
  </si>
  <si>
    <t>Eau</t>
  </si>
  <si>
    <t>General EF</t>
  </si>
  <si>
    <t>Eau (m3)</t>
  </si>
  <si>
    <t>Compteur 4</t>
  </si>
  <si>
    <t>Compteur 5</t>
  </si>
  <si>
    <t>Compteur 6</t>
  </si>
  <si>
    <t>Compteur 7</t>
  </si>
  <si>
    <t>Compteur 8</t>
  </si>
  <si>
    <t xml:space="preserve">Données Climatiques </t>
  </si>
  <si>
    <t xml:space="preserve">Altitude du site : </t>
  </si>
  <si>
    <t>Suivi Dispositif Eco Energie Tertiaire</t>
  </si>
  <si>
    <t xml:space="preserve">Usages de l'énergie thermique </t>
  </si>
  <si>
    <t>Séparer le chauffage des autres usages :</t>
  </si>
  <si>
    <t xml:space="preserve">Année de référence choisie : </t>
  </si>
  <si>
    <t xml:space="preserve">Dernière année déclarée : </t>
  </si>
  <si>
    <t xml:space="preserve">Si oui indiquez % chauffage : </t>
  </si>
  <si>
    <t>%</t>
  </si>
  <si>
    <t>Indiquez un nombre entre 1 et 100 seulement si vous souhaitez forcer la part chauffage</t>
  </si>
  <si>
    <t>Régime TVA</t>
  </si>
  <si>
    <t>régime TVA appliqué :</t>
  </si>
  <si>
    <t xml:space="preserve">Pour communiquer les resultats, les différents onglets sont imprimables en orientation paysage. Pour la planète, Préférez une impression au format numérique .pdf. Les onglets des tableaux de bord correspondent aux 10 premières pages </t>
  </si>
  <si>
    <t xml:space="preserve">Station météo : </t>
  </si>
  <si>
    <t xml:space="preserve"> </t>
  </si>
  <si>
    <t>Dernière année déclarée :</t>
  </si>
  <si>
    <t xml:space="preserve">Année de référence: </t>
  </si>
  <si>
    <t>Sélectionnez l'année à déclarer</t>
  </si>
  <si>
    <t>Si et seulement si les données saisies sont bien celles de vos factures, 
vous pouvez utiliser ce tableau pour la saisie OPERAT :</t>
  </si>
  <si>
    <t>Sélectionnez l'année dans le tableau de droite et reportez vos consommations :</t>
  </si>
  <si>
    <t>https://operat.ademe.fr/#/public/signin</t>
  </si>
  <si>
    <t>Étiquettes de lignes</t>
  </si>
  <si>
    <t>Année 1</t>
  </si>
  <si>
    <t>Correction DJU</t>
  </si>
  <si>
    <t>Année 2</t>
  </si>
  <si>
    <t>Mois</t>
  </si>
  <si>
    <t>nom mois</t>
  </si>
  <si>
    <t>Conso</t>
  </si>
  <si>
    <t>DJU</t>
  </si>
  <si>
    <t>DJU Moyen</t>
  </si>
  <si>
    <t>janv</t>
  </si>
  <si>
    <t>Étiquettes de colonnes</t>
  </si>
  <si>
    <t>Le Mans</t>
  </si>
  <si>
    <t>fev</t>
  </si>
  <si>
    <t>(vide)</t>
  </si>
  <si>
    <t>mars</t>
  </si>
  <si>
    <t>Somme de DJU(chauffagiste)</t>
  </si>
  <si>
    <t>avr</t>
  </si>
  <si>
    <t>mai</t>
  </si>
  <si>
    <t>juin</t>
  </si>
  <si>
    <t>juil</t>
  </si>
  <si>
    <t>aout</t>
  </si>
  <si>
    <t>sept</t>
  </si>
  <si>
    <t>oct</t>
  </si>
  <si>
    <t>nov</t>
  </si>
  <si>
    <t>dec</t>
  </si>
  <si>
    <t>Total général</t>
  </si>
  <si>
    <t>L'usage de cet onglet nécessite le renseignement des données de comptage mensuelles ou de chaque livraison pour les combustibles stockables.</t>
  </si>
  <si>
    <t>Si toute les sources d'énergie n'apparaissent pas, vérifiez en cliquant sur le boutont "Combustible" du graphique ainsi que la période sélectionnée</t>
  </si>
  <si>
    <t>Information compteur :</t>
  </si>
  <si>
    <t>Combustible</t>
  </si>
  <si>
    <t>Sous_comptage</t>
  </si>
  <si>
    <t>Colonne1</t>
  </si>
  <si>
    <t xml:space="preserve">Combustible </t>
  </si>
  <si>
    <t>Sous_comptage_Chaleur</t>
  </si>
  <si>
    <t>Sous_comptage_elec</t>
  </si>
  <si>
    <t>Sous_comptage_eau</t>
  </si>
  <si>
    <t>Information sous-compteur :</t>
  </si>
  <si>
    <t>Mise en forme pour fichier PENSEE</t>
  </si>
  <si>
    <t>Données de l'onglet "Suivi DEET", influencées par Cabs et légèrement différentes des données de l'onglet "Synthèse"</t>
  </si>
  <si>
    <t>Année de référence choisie</t>
  </si>
  <si>
    <t>Surface année de référence</t>
  </si>
  <si>
    <t>Consommation thermique - kWh 
PCI</t>
  </si>
  <si>
    <t>Consommation électrique - kWh</t>
  </si>
  <si>
    <t>Consommation eau froide - m3</t>
  </si>
  <si>
    <t>kWh(DJU) / m²</t>
  </si>
  <si>
    <t>kWh(ECS) / m²</t>
  </si>
  <si>
    <t>kWh thermique / m²</t>
  </si>
  <si>
    <t>kWh électrique / m²</t>
  </si>
  <si>
    <t>L eau / jour / lit</t>
  </si>
  <si>
    <t>Surface année 2021</t>
  </si>
  <si>
    <t>Surface année 2022</t>
  </si>
  <si>
    <t>Surface année 2023</t>
  </si>
  <si>
    <t>Surface année 2024</t>
  </si>
  <si>
    <t>Attention le calcul imposé par le décret applique une part de DJU sur l'élec</t>
  </si>
  <si>
    <t xml:space="preserve">Table de conversion </t>
  </si>
  <si>
    <t>Cette table de conversion permet de passer de l'ancien au nouveau fichier de Suivi Energie</t>
  </si>
  <si>
    <t>Si vous n'avez des données annuelles, les saisir sur la première ligne</t>
  </si>
  <si>
    <t>Si vous avez des données complètes, copier/coller vos données ci-dessous</t>
  </si>
  <si>
    <t>Puis faites un Copier/Coller "Valeur" de vos données (fond vert) dans l'onglet "Compteur_X" choisi, en fonction de la périodicité souhaitée</t>
  </si>
  <si>
    <t>Janvier ou
Données Annuelles</t>
  </si>
  <si>
    <t>Février</t>
  </si>
  <si>
    <t>Mars</t>
  </si>
  <si>
    <t>Avril</t>
  </si>
  <si>
    <t>Mai</t>
  </si>
  <si>
    <t>Juin</t>
  </si>
  <si>
    <t>Juillet</t>
  </si>
  <si>
    <t>Août</t>
  </si>
  <si>
    <t>Septembre</t>
  </si>
  <si>
    <t>Octobre</t>
  </si>
  <si>
    <t>Novembre</t>
  </si>
  <si>
    <t>Décembre</t>
  </si>
  <si>
    <t>Valeurs Bases mensuelles</t>
  </si>
  <si>
    <t>Valeurs Bases annuelles</t>
  </si>
  <si>
    <t>Valeurs Base semestrielle</t>
  </si>
  <si>
    <t>Zone climatique</t>
  </si>
  <si>
    <t>Altitude</t>
  </si>
  <si>
    <t>Type Compteur</t>
  </si>
  <si>
    <t>Production</t>
  </si>
  <si>
    <t>Process</t>
  </si>
  <si>
    <t>Photovolaïque</t>
  </si>
  <si>
    <t>Cogénération</t>
  </si>
  <si>
    <t>Collecteurs_solaires</t>
  </si>
  <si>
    <t>Type de combustilbe</t>
  </si>
  <si>
    <t>H1a</t>
  </si>
  <si>
    <t>Altitude &lt; 400 m</t>
  </si>
  <si>
    <t>ECS seule</t>
  </si>
  <si>
    <t>Cuisine</t>
  </si>
  <si>
    <t>Bois - Plaquettes (tonnes)</t>
  </si>
  <si>
    <t>PV_autoconsommé</t>
  </si>
  <si>
    <t>Cogé_elec_autoconsomée</t>
  </si>
  <si>
    <t>ECS_solaire</t>
  </si>
  <si>
    <t xml:space="preserve">Chauffage </t>
  </si>
  <si>
    <t>Borne_IRVE</t>
  </si>
  <si>
    <t>Sous-comptage EF</t>
  </si>
  <si>
    <t>Sources d'énergie</t>
  </si>
  <si>
    <t>PCI</t>
  </si>
  <si>
    <t>PCI_DEET</t>
  </si>
  <si>
    <t xml:space="preserve"> Emissions
KgCO2/kWh PCI</t>
  </si>
  <si>
    <t>Rapport
PCS/PCI</t>
  </si>
  <si>
    <t>Evol. prix de l'énergie</t>
  </si>
  <si>
    <t>H1b</t>
  </si>
  <si>
    <t>Altitude 400 à 800 m</t>
  </si>
  <si>
    <t>Chauffage seul</t>
  </si>
  <si>
    <t>Laverie</t>
  </si>
  <si>
    <t>Bois - Granulés (tonnes)</t>
  </si>
  <si>
    <t>Comptage récupération</t>
  </si>
  <si>
    <t>PV_revente</t>
  </si>
  <si>
    <t>Cogé_elec_revendue</t>
  </si>
  <si>
    <t>ECS</t>
  </si>
  <si>
    <t>Sous-comptage Climatisation</t>
  </si>
  <si>
    <t>Sous-comptage ECS</t>
  </si>
  <si>
    <t>kWh par tonne</t>
  </si>
  <si>
    <t>H1c</t>
  </si>
  <si>
    <t>Altitude 800 à 1200 m</t>
  </si>
  <si>
    <t>Bois - Bûches (stères)</t>
  </si>
  <si>
    <t>Cogé_chaleur</t>
  </si>
  <si>
    <t>Sous-comptage_Zone</t>
  </si>
  <si>
    <t>Sous-comptage Arrosage</t>
  </si>
  <si>
    <t>H2a</t>
  </si>
  <si>
    <t>Altitude 1200 m -1600m</t>
  </si>
  <si>
    <t>ECS, Chauffage et Cuisson</t>
  </si>
  <si>
    <t>Gaz naturel (kWh)</t>
  </si>
  <si>
    <t>kWh par stère</t>
  </si>
  <si>
    <t>H2b</t>
  </si>
  <si>
    <t>Altitude &gt; 1600m</t>
  </si>
  <si>
    <t>Cuisson</t>
  </si>
  <si>
    <t>Gaz naturel (m3)</t>
  </si>
  <si>
    <t>kWh par kWh</t>
  </si>
  <si>
    <t>H2c</t>
  </si>
  <si>
    <t>Gaz propane (tonnes)</t>
  </si>
  <si>
    <t>kWh par m3</t>
  </si>
  <si>
    <t>H2d</t>
  </si>
  <si>
    <t>Gaz propane (m3)</t>
  </si>
  <si>
    <t>H3</t>
  </si>
  <si>
    <t>Gaz butane (tonnes)</t>
  </si>
  <si>
    <t>Gaz butane (litres)</t>
  </si>
  <si>
    <t>Gaz butane (m3)</t>
  </si>
  <si>
    <t>kWh par litre</t>
  </si>
  <si>
    <t xml:space="preserve">Station Meteo et Zones climatiques </t>
  </si>
  <si>
    <t>Regime TVA</t>
  </si>
  <si>
    <t xml:space="preserve">Ouverture </t>
  </si>
  <si>
    <t>Oui/Non</t>
  </si>
  <si>
    <t>Conso/Index</t>
  </si>
  <si>
    <t>Pompe A Chaleur (kWh)</t>
  </si>
  <si>
    <t>Saint-Brieuc</t>
  </si>
  <si>
    <t>Réseau de chaleur (kWh)</t>
  </si>
  <si>
    <t>Brest - Guipavas</t>
  </si>
  <si>
    <t>HT</t>
  </si>
  <si>
    <t>Continu</t>
  </si>
  <si>
    <t>Oui</t>
  </si>
  <si>
    <t>Quimper</t>
  </si>
  <si>
    <t>TTC</t>
  </si>
  <si>
    <t xml:space="preserve">Jours ouvrés </t>
  </si>
  <si>
    <t>Non</t>
  </si>
  <si>
    <t>Index</t>
  </si>
  <si>
    <t>Rennes - St Jacques</t>
  </si>
  <si>
    <t>Jours ouvrés + samedi</t>
  </si>
  <si>
    <t>Compteurs Différents</t>
  </si>
  <si>
    <t>Dinard</t>
  </si>
  <si>
    <t>Lorient - Lann Bihoue</t>
  </si>
  <si>
    <t>Vannes-Sene</t>
  </si>
  <si>
    <t>Nantes - Bouguenais</t>
  </si>
  <si>
    <t>Angers - Beaucouzé</t>
  </si>
  <si>
    <t>INDICATEURS</t>
  </si>
  <si>
    <t>Type d'étblissement</t>
  </si>
  <si>
    <t>Thermique - kWh/m²</t>
  </si>
  <si>
    <t>Electrique - kWh/m²</t>
  </si>
  <si>
    <t>Totale - kWh/m²</t>
  </si>
  <si>
    <t>CHAUFFAGE - (CH/DJU/m²)x1000</t>
  </si>
  <si>
    <t>ECS - kWh/m²</t>
  </si>
  <si>
    <t>Cabs USE- kWh/m2.an</t>
  </si>
  <si>
    <t>Ratio surface usagers</t>
  </si>
  <si>
    <t>Niort</t>
  </si>
  <si>
    <t>Ratios de Consommation</t>
  </si>
  <si>
    <t>CHU</t>
  </si>
  <si>
    <t>-</t>
  </si>
  <si>
    <t>Paris - Montsouris</t>
  </si>
  <si>
    <t>CH / CLINIQUE</t>
  </si>
  <si>
    <t>Marseille - Marignane</t>
  </si>
  <si>
    <t>EHPAD</t>
  </si>
  <si>
    <t>Laval</t>
  </si>
  <si>
    <t>ESAT</t>
  </si>
  <si>
    <t>Se reporter à l'activité principale</t>
  </si>
  <si>
    <t>IME - ITEP</t>
  </si>
  <si>
    <t>La Roche sur Yon</t>
  </si>
  <si>
    <t>FAM - MAS - FDV</t>
  </si>
  <si>
    <t>Alençon</t>
  </si>
  <si>
    <t>AUTRES</t>
  </si>
  <si>
    <t>Composante CVC</t>
  </si>
  <si>
    <t>DPE</t>
  </si>
  <si>
    <t xml:space="preserve">Graphique Jauge </t>
  </si>
  <si>
    <t>Hebergement</t>
  </si>
  <si>
    <t xml:space="preserve">Accueil de jour </t>
  </si>
  <si>
    <t>Bâtiment à occupation continue</t>
  </si>
  <si>
    <t>Bâtiment à usage de bureau ou d'administration</t>
  </si>
  <si>
    <t>A</t>
  </si>
  <si>
    <t>B</t>
  </si>
  <si>
    <t>C</t>
  </si>
  <si>
    <t>D</t>
  </si>
  <si>
    <t>E</t>
  </si>
  <si>
    <t>Jours Fériés</t>
  </si>
  <si>
    <t>date</t>
  </si>
  <si>
    <t>annee</t>
  </si>
  <si>
    <t>zone</t>
  </si>
  <si>
    <t>nom_jour_ferie</t>
  </si>
  <si>
    <t>Jours</t>
  </si>
  <si>
    <t xml:space="preserve">Jour semaine </t>
  </si>
  <si>
    <t>Samedi</t>
  </si>
  <si>
    <t xml:space="preserve">Dimanche </t>
  </si>
  <si>
    <t>Fériés</t>
  </si>
  <si>
    <t>Fermé</t>
  </si>
  <si>
    <t>MÃ©tropole</t>
  </si>
  <si>
    <t>1er janvier</t>
  </si>
  <si>
    <t>Lundi de PÃ¢ques</t>
  </si>
  <si>
    <t>1er mai</t>
  </si>
  <si>
    <t>Jour ouvrés moins petites vacances scolaires</t>
  </si>
  <si>
    <t>Jour ouvrés moins toutes vacances scolaires</t>
  </si>
  <si>
    <t>Ascension</t>
  </si>
  <si>
    <t>Lundi de PentecÃ´te</t>
  </si>
  <si>
    <t>Nombre de jours fermés</t>
  </si>
  <si>
    <t>Assomption</t>
  </si>
  <si>
    <t>Toussaint</t>
  </si>
  <si>
    <t>Jour de NoÃ«l</t>
  </si>
  <si>
    <t>Type de combustible</t>
  </si>
  <si>
    <t>Compteur/Livraison</t>
  </si>
  <si>
    <t>Compteur_1</t>
  </si>
  <si>
    <t>Compteur_2</t>
  </si>
  <si>
    <t>Compteur_3</t>
  </si>
  <si>
    <t>Compteur_4</t>
  </si>
  <si>
    <t>Compteur_5</t>
  </si>
  <si>
    <t>Compteur_6</t>
  </si>
  <si>
    <t>Compteur_7</t>
  </si>
  <si>
    <t>Compteur_8</t>
  </si>
  <si>
    <t>Indicqteurs de performances</t>
  </si>
  <si>
    <t xml:space="preserve">type </t>
  </si>
  <si>
    <t>Cabs - kWh/m2,an</t>
  </si>
  <si>
    <t>USE</t>
  </si>
  <si>
    <t>CVC</t>
  </si>
  <si>
    <t>Ratio surface/usager</t>
  </si>
  <si>
    <t>Valeur CVC chauf</t>
  </si>
  <si>
    <t>Valeur CVC refroid</t>
  </si>
  <si>
    <t xml:space="preserve">Ouverture du site </t>
  </si>
  <si>
    <t>Séparation chauffage</t>
  </si>
  <si>
    <t xml:space="preserve">Forçage Chauffage </t>
  </si>
  <si>
    <t>Valeur du forçage</t>
  </si>
  <si>
    <t>Conso annuelle :</t>
  </si>
  <si>
    <t>Cout annuel:</t>
  </si>
  <si>
    <t xml:space="preserve">Année </t>
  </si>
  <si>
    <t>Surface total</t>
  </si>
  <si>
    <t>Surface Chauffée</t>
  </si>
  <si>
    <t>Surface refroidie</t>
  </si>
  <si>
    <t>Places</t>
  </si>
  <si>
    <t xml:space="preserve">Intensité d'usage </t>
  </si>
  <si>
    <t>Total</t>
  </si>
  <si>
    <t>Energie MWh</t>
  </si>
  <si>
    <t>Energie Cout</t>
  </si>
  <si>
    <t>Camembert Usage</t>
  </si>
  <si>
    <t xml:space="preserve">Indicateur de performances </t>
  </si>
  <si>
    <t>Thermique</t>
  </si>
  <si>
    <t>Conso EF</t>
  </si>
  <si>
    <t>Conso EP</t>
  </si>
  <si>
    <t>Calcul DPE</t>
  </si>
  <si>
    <t xml:space="preserve">hébergement </t>
  </si>
  <si>
    <t>Conso annuelle EAU :</t>
  </si>
  <si>
    <t>Différence</t>
  </si>
  <si>
    <t>ECS et chauffage</t>
  </si>
  <si>
    <t xml:space="preserve">index </t>
  </si>
  <si>
    <t>Total thermique</t>
  </si>
  <si>
    <t>DJU moyen</t>
  </si>
  <si>
    <t>DJU année</t>
  </si>
  <si>
    <t>Valeur indicateur</t>
  </si>
  <si>
    <t xml:space="preserve">Electricité </t>
  </si>
  <si>
    <t>debut aiguille</t>
  </si>
  <si>
    <t>Bornes IRVE</t>
  </si>
  <si>
    <t>largeur aiguille</t>
  </si>
  <si>
    <t>total Elec</t>
  </si>
  <si>
    <t xml:space="preserve">Reste </t>
  </si>
  <si>
    <t>Total energie</t>
  </si>
  <si>
    <t xml:space="preserve">Njour année </t>
  </si>
  <si>
    <t>Fermeture</t>
  </si>
  <si>
    <t>Ouverture</t>
  </si>
  <si>
    <t>Indicateur eau</t>
  </si>
  <si>
    <t>chauffage</t>
  </si>
  <si>
    <t>clim</t>
  </si>
  <si>
    <t xml:space="preserve">Sous -Comptage Chauffage </t>
  </si>
  <si>
    <t xml:space="preserve">Energie chauffage </t>
  </si>
  <si>
    <t xml:space="preserve">Sous - comptage Climatisation </t>
  </si>
  <si>
    <t>Sous-comptage Borne IRVE</t>
  </si>
  <si>
    <t>Année de référence</t>
  </si>
  <si>
    <t xml:space="preserve">indicateurs </t>
  </si>
  <si>
    <t>Référence</t>
  </si>
  <si>
    <t>objectif -40</t>
  </si>
  <si>
    <t>objectif -50</t>
  </si>
  <si>
    <t>objectif -60</t>
  </si>
  <si>
    <t>selection année</t>
  </si>
  <si>
    <t>Comptage DEET</t>
  </si>
  <si>
    <t>année</t>
  </si>
  <si>
    <t>Ajustement climatique Chauffage</t>
  </si>
  <si>
    <t>DJU chauffage</t>
  </si>
  <si>
    <t>SDP tot</t>
  </si>
  <si>
    <t>CVC chauf</t>
  </si>
  <si>
    <t>SDP Chauffé</t>
  </si>
  <si>
    <t>ajust chauf</t>
  </si>
  <si>
    <t>Ajustement Chauffage</t>
  </si>
  <si>
    <t>ajust clim</t>
  </si>
  <si>
    <t>Ajustement climatique Refroidissement</t>
  </si>
  <si>
    <t>intensité tot</t>
  </si>
  <si>
    <t>DJU climatisation</t>
  </si>
  <si>
    <t>Reduction</t>
  </si>
  <si>
    <t>CVC refroid</t>
  </si>
  <si>
    <t>SDP Refroidi</t>
  </si>
  <si>
    <t>Ajustement Clim</t>
  </si>
  <si>
    <t>Energie Thermique</t>
  </si>
  <si>
    <t>Totale</t>
  </si>
  <si>
    <t>Totale ajustée</t>
  </si>
  <si>
    <t>Intensités surfacique</t>
  </si>
  <si>
    <t>SDP total</t>
  </si>
  <si>
    <t>Chauffage</t>
  </si>
  <si>
    <t>Ajust. Chauffage</t>
  </si>
  <si>
    <t>Ajust. Refroidissement</t>
  </si>
  <si>
    <t>Intensité totale ajustée</t>
  </si>
  <si>
    <t>rampe limite basse</t>
  </si>
  <si>
    <t>objectif anuel</t>
  </si>
  <si>
    <t>rampe limite haute</t>
  </si>
  <si>
    <t>Valeur référence</t>
  </si>
  <si>
    <t>INF</t>
  </si>
  <si>
    <t>Variation DJU</t>
  </si>
  <si>
    <t>Positif</t>
  </si>
  <si>
    <t>Negatif</t>
  </si>
  <si>
    <t>Sous-comptage clim</t>
  </si>
  <si>
    <t>(Plusieurs éléments)</t>
  </si>
  <si>
    <t>DEET</t>
  </si>
  <si>
    <t xml:space="preserve">Total conso </t>
  </si>
  <si>
    <t>Total ECS</t>
  </si>
  <si>
    <t>Consommation estimée ECS</t>
  </si>
  <si>
    <t>Bilan Synthèse</t>
  </si>
  <si>
    <t>ECS seul</t>
  </si>
  <si>
    <t>Début de période</t>
  </si>
  <si>
    <t>Fin de période</t>
  </si>
  <si>
    <t>Quantité</t>
  </si>
  <si>
    <t>Delta Jour</t>
  </si>
  <si>
    <t>Demande_jour</t>
  </si>
  <si>
    <t>Cout_jour</t>
  </si>
  <si>
    <t>Conso/Jour</t>
  </si>
  <si>
    <t>Commentaires</t>
  </si>
  <si>
    <t>Valeur Initiale Index</t>
  </si>
  <si>
    <t>Créateur : Fabien Rouault (CTEES Groupement BRE123)
Contributeurs : Allan Fontaine (Econome de flux, ALE du Pays de Fougère), Laurent Faverais (CME49, MAPES Pays de la Loire)</t>
  </si>
  <si>
    <t xml:space="preserve">Crédit Flaticon : </t>
  </si>
  <si>
    <t>Freepik</t>
  </si>
  <si>
    <t>logo parking</t>
  </si>
  <si>
    <t>Version</t>
  </si>
  <si>
    <t>0.7</t>
  </si>
  <si>
    <t>- Correction date initiale compteur 1 
- Changement de la feuille "Données" en "Site" pour éviter la confusion avec l'onglet "Données" de la barre d'outils
- Création du tableau suivi d'eau
- Suppression de l'ajustement climatique en attente de l'arrêté valeur absolue 
- limitation des DJU chauffage aux mois d'octobre à mai et refroidissement de juin à septembre
- Création d'un tableau d'analyse chauffage vs. DJU</t>
  </si>
  <si>
    <t>0.8</t>
  </si>
  <si>
    <t>-Ajout de l'item "Eau (m3)" dans la liste des combustible pour éviter erreur 
- Correction référence bouton de retour a l'onglet Site dans les onglets de Compteur
- Suppression de l'ajustement climatique dans le graphique "Choix DEET"+ ajout Disclaimer
- Ajout DJU Paris et Marseille (pour fondation SJD)</t>
  </si>
  <si>
    <t>0.9</t>
  </si>
  <si>
    <t>- Ajout des DJU des villes de Le Mans, Laval et la Roche-sur-Yon pour couvrir les Pays de la Loire 
- Ajout d'une colonne Cabs dans l'onglet "Sites" nécessaires pour le calcul de l'ajustement climatique
- Ajout d'une liste déroulante dans l'onglet "Sites" pour la sélection de l'altitude nécessaire pour le calcul de l'ajustement
- Ajout de l'ajustement climatique chauffage et refroidissement dans les onglets "Choix DEET" et "Suivi DEET" + courbe de l'intensité totale ajustée 
- Ajout d'un graphique Etiquette énergétique type DPE
- Ajout de la valeur Cabs sur le graphique de "Suivi DEET"
- Correction erreur intensité énergétique graphique "Suivi DEET"
- Correction erreur DJU moyen
- Différenciation des facteurs de conversion DEET et réels (DEET : RC = 0,77)</t>
  </si>
  <si>
    <t>1.0</t>
  </si>
  <si>
    <t>- Retouches Onglets graphiques : Ajout nom de site, ajout logo Dispositif ÉTÉ, Correction pour faire réapparaitre la station météo
- Ajout "Cuisson" à "Chauffage et ECS" dans la liste "Chaleur"
- Ajout "Sous compteur" dans la liste "Type Compteur"
- Pré saisie des dates de début et fin des onglets Compteurs, sur la base d'une périodicité ajoutée dans l'onglet Site
- Remplacement des chaines de caractères "Chaleur" de la colonne M par les valeurs définies par celles de l’onglet Liste de manière à ce que les changements de noms se propagent
- Idem dans onglet Calcul DEET, colonne C
- Ajout Page de conversion des données compteurs depuis l'ancien fichier</t>
  </si>
  <si>
    <t>1.1</t>
  </si>
  <si>
    <t>- Mises à jour graphiques
- Onglet Synthèse : afficher les ratios thermiques en kWh EF PCI corrigés du DJU
-Tous Onglets : Ajout  EP/EF, PCS/PCI, Corrigé DJU ou non pour éviter confusion
- Onglet Site et Synthèse : Ajout nb places de parking pour suivi des obligations de solarisation
-Ajout fonctionnement site pour corriger la consommation journalière d'eau
- Fautes d'orthographe : "Sation" au lieu de Station sur onglet site, Manque un "v" à niveau sur onglet DEET
- Onglet Site, remplacer "Date du premier comptage" par "Date de fin de consommation de la première facture"
- Onglet Suivi Compteur : Graphique dynamique avec modification du pas de temps (mensuel, trimestriel, annuel)
- Mise en forme des donnée en Monétaire pour la colonne Cout de chaque compteur
- Ajout estimation ECS dans onglets Suivi DEET et Choix DEET
- Ajout d'un graphique en secteur des usages avec ECS estimée</t>
  </si>
  <si>
    <t>1.2</t>
  </si>
  <si>
    <t>Onglet Synthèse : affiché les ratios thermiques en kWh EF PCI corrigés du DJU
Tous Onglets : bien préciser les unités (EP/EF, PCS/PCI, Corrigé DJU ou non) pour éviter les erreurs
Re créer les données liées aux estimations de consommations induites par l'ECS+Cuisson :
   - Select Box pour choisir de séparer ou non "ECS + Cuisson" du chauffage et sa la méthode d'estimation  :
   - Si non : Estimation de la conso d'ECS annuel sur la base des 4 mois d'été (moyenne des 4 mois étendu sur 12 mois)
   - Si oui : pas de possibilité de définir la conso d'ECS estivale/Chauffage, un champ "forçage %" sur l'Onglet SITE permet de forcer de la part chauffage (mettre en commentaire, valeur moyenne= 70%)
   - introduire ces données de conso ECS dans les différents graphiques : Synthèse, Choix DEET, Suivi DEET
Onglet Site et Synthèse : Ajout nb places de parking pour suivi des obligation de solarisation
Ajouter le nombre de jour ouvrés pour corriger la consommation journalière d'eau
Ajouter le numéro de version du fichier sur l'onglet Site, pour un meilleur suivi avec les utilisateurs
Ajouter Alençon dans les stations météo
Ajouter des titres et revoir la mise en place des graph sur onglets Suivi compteurs / Coût énergie
Onglet Site, remplacer "Date du premier comptage" par "Date de fin de consommation de la première facture"
Faire une passe sur les mises en forme des cellules et leur verrouillage, notament les onglets compteurs (pour les données saisies)
Remplir Release Note (1,1 et futur dev)
Onglet Suivi Compteur : remettre la possibilité de changer le pas de temps, Ex : Quelle conso par année ?
Ajout onglet "Déclaration Operat"
Reprise de mises en forme et commentaires suite relecture avec les CME
Ajout des DJU 2023</t>
  </si>
  <si>
    <t>1.3</t>
  </si>
  <si>
    <t>Actualisation des valeurs par défaut suite à la parution de l'arrêté valeur absolue 4
Actualisation de l'onglet Aide_CME</t>
  </si>
  <si>
    <t>mois</t>
  </si>
  <si>
    <t>mois_numero</t>
  </si>
  <si>
    <t>DJU(chauffagiste)</t>
  </si>
  <si>
    <t>DJU(climaticien)</t>
  </si>
  <si>
    <t>Somme de DJU(climaticien)</t>
  </si>
  <si>
    <t>Cabs USE max : Lieux de vie</t>
  </si>
  <si>
    <t>Implémentation de l'onglet "Suivi Mensuel"
Actualisation des DJU pour S1 2024
Ajout de la possibilité de saisir des index dans les onglets compteurs (Onglet Site &amp; Compteurs)
Possibilité de saisir année de ref jusqu'en 2022 + modification des affichages impactés
Ajout indicateur surface/usager + Ajout de valeurs moyennes par établissement
Ratio de consommation EAU dorénavent basé sur total lits + places
Actualisation de l'onglet Aide_CME
Ajout conso journalière dans onglets compteurs
Actualisation des valeurs par défaut + formule de calcul de correction des DJU suite arrêté 5
Diverses corrections mineures</t>
  </si>
  <si>
    <t>Eau - L/j/Usager</t>
  </si>
  <si>
    <t>Montant</t>
  </si>
  <si>
    <t>1.4</t>
  </si>
  <si>
    <t>1.5</t>
  </si>
  <si>
    <t>Tableau Comparatif Mensuel EAU</t>
  </si>
  <si>
    <t>Analyse Electricité</t>
  </si>
  <si>
    <t>Analyse Chauffage</t>
  </si>
  <si>
    <t>Analyse EAU</t>
  </si>
  <si>
    <t>Implémentation des valeurs de l'arrêté 5 du DEET : https://www.legifrance.gouv.fr/jorf/id/JORFTEXT000049950583
Prise en compte des DJU hiver pendant les mois d'été et réciproquement pour les DJU climaticien
Gestion de l'affichage TTC/HT dans les onglets compteurs
Détection et ignorance des valeurs non saisies dans les onglets compteurs pour éviter les résultats négatifs dans la ligne qui suit la dernière valeur saisie 
Onglet Site : Ajout lien vers Tuto et Base doc MAPES
Gestion de l'eau dans l'onglet Suivi Mensuel 
Correction d'un bug dans le comptage des compteurs si année incomplète
Corrections de bugs mineurs</t>
  </si>
  <si>
    <t>Gestion des Solaires Th et PV =&gt;  unité spécifique, non intégration DEET mais mise en avant de l'autoconso, onglet spécifique à interoger ? ...</t>
  </si>
  <si>
    <t>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t>
  </si>
  <si>
    <t>Comment actualiser les DJU ?</t>
  </si>
  <si>
    <t>2. Ajouter les valeurs souhaitées en bas du tableau le plus à gauche dans cet onglet</t>
  </si>
  <si>
    <t>Plus d'infos climatologiques disponibles sur infoclimat :</t>
  </si>
  <si>
    <t>https://www.infoclimat.fr/climatologie/annee/2024/le-mans-arnage/valeurs/07235.html</t>
  </si>
  <si>
    <t>1. Récupérer les données DJU, issues du site meteo.gouv.fr via le lien ci-dessous :</t>
  </si>
  <si>
    <t>Ou ici :</t>
  </si>
  <si>
    <t>Observations</t>
  </si>
  <si>
    <t>Quantité restante dans la cuve après le plein</t>
  </si>
  <si>
    <t>Remplissage / 
Quantité remise</t>
  </si>
  <si>
    <t>Test Cohérence</t>
  </si>
  <si>
    <t>Nom de votre Cuve</t>
  </si>
  <si>
    <t>Unité de votre cuve</t>
  </si>
  <si>
    <t>Outil vous permettant de convertir vos niveaux 
de cuve en quantités consommées</t>
  </si>
  <si>
    <t>Onglets Compteurs : Ajout onglet "ConversionCuveQuantite" : pour faciliter la gestion des énergies de stock, y compris remplissage cuve…
Onglet DJU :  Ajout des DJU 2024 pour les Pays de la Loire (S2 en 53 = données Grez-en-bouere au lieu de Laval)
Onglet DJU : Ajout d'instructions pour actualiser les DJU</t>
  </si>
  <si>
    <t>1.53</t>
  </si>
  <si>
    <t>Forme de la cuve</t>
  </si>
  <si>
    <t>% remplissage</t>
  </si>
  <si>
    <t>Liste des formes de cuves</t>
  </si>
  <si>
    <t>Rectangulaire</t>
  </si>
  <si>
    <t>Cylindrique</t>
  </si>
  <si>
    <t>Volume contenu</t>
  </si>
  <si>
    <t>Volume de la cuve</t>
  </si>
  <si>
    <t>Sphère / Calcul non implémenté, en faire la demande</t>
  </si>
  <si>
    <t>Quantité
/Jour</t>
  </si>
  <si>
    <t>Date de 
relève</t>
  </si>
  <si>
    <t>Quantité restante dans la cuve
(si remplissage, valeur 
avant le plein)</t>
  </si>
  <si>
    <t>Fioul</t>
  </si>
  <si>
    <t>litres</t>
  </si>
  <si>
    <t>REFERENCE - Consommation thermique - kWh</t>
  </si>
  <si>
    <t>2021 - Consommation thermique - kWh</t>
  </si>
  <si>
    <t>2022 - Consommation thermique - kWh</t>
  </si>
  <si>
    <t>2023 - Consommation thermique - kWh</t>
  </si>
  <si>
    <t>2024 - Consommation thermique - kWh</t>
  </si>
  <si>
    <t>2025 - Consommation thermique - kWh</t>
  </si>
  <si>
    <t>2026 - Consommation thermique - kWh</t>
  </si>
  <si>
    <t>REFERENCE - Consommation électrique - kWh</t>
  </si>
  <si>
    <t>2021 - Consommation électrique - kWh</t>
  </si>
  <si>
    <t>2022 - Consommation électrique - kWh</t>
  </si>
  <si>
    <t>2023 - Consommation électrique - kWh</t>
  </si>
  <si>
    <t>2024 - Consommation électrique - kWh</t>
  </si>
  <si>
    <t>2025 - Consommation électrique - kWh</t>
  </si>
  <si>
    <t>2026 - Consommation électrique - kWh</t>
  </si>
  <si>
    <t>REFERENCE - Consommation eau froide - m3</t>
  </si>
  <si>
    <t>2021 - Consommation eau froide - m3</t>
  </si>
  <si>
    <t>2022 - Consommation eau froide - m3</t>
  </si>
  <si>
    <t>2023 - Consommation eau froide - m3</t>
  </si>
  <si>
    <t>2024 - Consommation eau froide - m3</t>
  </si>
  <si>
    <t>2025 - Consommation eau froide - m3</t>
  </si>
  <si>
    <t>2026 - Consommation eau froide - m3</t>
  </si>
  <si>
    <t>REFERENCE - kWh(DJU)/m² ou kWh/m² si kWh(ECS)/m² = NC</t>
  </si>
  <si>
    <t>2021 - kWh(DJU)/m² ou kWh/m² si kWh(ECS)/m² = NC</t>
  </si>
  <si>
    <t>2022 - kWh(DJU)/m² ou kWh/m² si kWh(ECS)/m² = NC</t>
  </si>
  <si>
    <t>2023 - kWh(DJU)/m² ou kWh/m² si kWh(ECS)/m² = NC</t>
  </si>
  <si>
    <t>2024 - kWh(DJU)/m² ou kWh/m² si kWh(ECS)/m² = NC</t>
  </si>
  <si>
    <t>2025 - kWh(DJU)/m² ou kWh/m² si kWh(ECS)/m² = NC</t>
  </si>
  <si>
    <t>2026 - kWh(DJU)/m² ou kWh/m² si kWh(ECS)/m² = NC</t>
  </si>
  <si>
    <t>REFERENCE - kWh(ECS)/m²</t>
  </si>
  <si>
    <t>2021 - kWh(ECS)/m²</t>
  </si>
  <si>
    <t>2022 - kWh(ECS)/m²</t>
  </si>
  <si>
    <t>2023 - kWh(ECS)/m²</t>
  </si>
  <si>
    <t>2024 - kWh(ECS)/m²</t>
  </si>
  <si>
    <t>2025 - kWh(ECS)/m²</t>
  </si>
  <si>
    <t>2026 - kWh(ECS)/m²</t>
  </si>
  <si>
    <t>PENSEE 2</t>
  </si>
  <si>
    <t>PENSEE 1</t>
  </si>
  <si>
    <t>Rappel dernière 
année saisie</t>
  </si>
  <si>
    <t>1.54</t>
  </si>
  <si>
    <t>Gestion de l'année 2026 dans différents onglets
MAJ onglet "Aide CME" pour tableau PENSEE2
MAJ DJU</t>
  </si>
  <si>
    <t>Ne pas saisir les volumes pour l'assainissement</t>
  </si>
  <si>
    <t xml:space="preserve"> (sinon, cela compte double)</t>
  </si>
  <si>
    <t xml:space="preserve">Pour l'assainissement, mettre date à J+1 de la </t>
  </si>
  <si>
    <t>date de colonne A</t>
  </si>
  <si>
    <t>1.55</t>
  </si>
  <si>
    <t xml:space="preserve">Instructions pour remplir le suivi des consommations de vos cuves </t>
  </si>
  <si>
    <t>Remplir uniquement les cases grisées</t>
  </si>
  <si>
    <t xml:space="preserve">Vous pouvez conserver des cases "rouge", c'est juste un point d'attention </t>
  </si>
  <si>
    <t>Pour autant, certaines jauges de mesure étant peu fiables, vous pouvez forcer ces valeurs à vos mesures</t>
  </si>
  <si>
    <t>Si une case se colore de rouge, c'est qu'il y a une incohérence, qui peut être due à l'imprecision de la jauge</t>
  </si>
  <si>
    <t>Montant 
HT ou TTC</t>
  </si>
  <si>
    <t xml:space="preserve">Une fois le tableau rempli, vous pouvez faire un copier/coller des colonnes "Fin de période", "Quantité" </t>
  </si>
  <si>
    <t>Date de début de la 1ère facture</t>
  </si>
  <si>
    <t>Suppression de la prise en compte des sous compteurs dans l'onglet "Déclaration OPERAT"
Suppression des sous compteurs dans les comptages généraux (chaleur/élec…) (même si cela ne semblait pas provoquer de bug)
Gestion de la remise à 0 d'un index d'un (sous) compteur : mettre une ligne avec la meme date de début et fin et index = 0
Suppression des dates de fin de période dans les onglets Compteurs + MAJ sur Onglet Synthèse
Amélioration de la gestion des énergies stockées : cuve fioul, gaz...</t>
  </si>
  <si>
    <t xml:space="preserve">Zone climatique : </t>
  </si>
  <si>
    <t xml:space="preserve">Altitude : </t>
  </si>
  <si>
    <t>m²</t>
  </si>
  <si>
    <t>Cabs EFA</t>
  </si>
  <si>
    <t>kWh/m2.an</t>
  </si>
  <si>
    <t>Nom des zones</t>
  </si>
  <si>
    <t xml:space="preserve">Début d'activité </t>
  </si>
  <si>
    <t>Fin d'activité</t>
  </si>
  <si>
    <t>Catégorie Principale</t>
  </si>
  <si>
    <t xml:space="preserve">Sous-Catégorie </t>
  </si>
  <si>
    <t>Surface de plancher</t>
  </si>
  <si>
    <t>Refroidssiment</t>
  </si>
  <si>
    <t>Cabs modulé</t>
  </si>
  <si>
    <t>Use modulé</t>
  </si>
  <si>
    <t>use etalon</t>
  </si>
  <si>
    <t>CVC+etalon</t>
  </si>
  <si>
    <t>% use variable</t>
  </si>
  <si>
    <t>indicateur d'intensité 1</t>
  </si>
  <si>
    <t>Valeur étalon intensité 1</t>
  </si>
  <si>
    <t>Valeur  intensité 1</t>
  </si>
  <si>
    <t>indicateur d'intensité 2</t>
  </si>
  <si>
    <t>Valeur étalon intensité 2</t>
  </si>
  <si>
    <t>Valeur intensité 2</t>
  </si>
  <si>
    <t>indicateur d'intensité 3</t>
  </si>
  <si>
    <t>Valeur étalon intensité 3</t>
  </si>
  <si>
    <t>Valeur intensité 3</t>
  </si>
  <si>
    <t>Consomation totale</t>
  </si>
  <si>
    <t>Catégorie 1</t>
  </si>
  <si>
    <t>Catégorie 2</t>
  </si>
  <si>
    <t>Catégorie 3</t>
  </si>
  <si>
    <t>Catégorie 4</t>
  </si>
  <si>
    <t>Catégorie 5</t>
  </si>
  <si>
    <t>Catégorie 6</t>
  </si>
  <si>
    <t>Catégorie 7</t>
  </si>
  <si>
    <t>Catégorie 8</t>
  </si>
  <si>
    <t>Catégorie 9</t>
  </si>
  <si>
    <t>Catégorie 10</t>
  </si>
  <si>
    <t>Catégorie 11</t>
  </si>
  <si>
    <t>Catégorie 12</t>
  </si>
  <si>
    <t>Catégorie 13</t>
  </si>
  <si>
    <t>Catégorie 14</t>
  </si>
  <si>
    <t>Catégorie 15</t>
  </si>
  <si>
    <t>Catégorie 16</t>
  </si>
  <si>
    <t>Catégorie 17</t>
  </si>
  <si>
    <t>Catégorie 18</t>
  </si>
  <si>
    <t>Catégorie 19</t>
  </si>
  <si>
    <t>Catégorie 20</t>
  </si>
  <si>
    <t>Catégorie 21</t>
  </si>
  <si>
    <t>Catégorie 22</t>
  </si>
  <si>
    <t>Catégorie 23</t>
  </si>
  <si>
    <t>Catégorie 24</t>
  </si>
  <si>
    <t>Catégorie 25</t>
  </si>
  <si>
    <t>Catégorie 26</t>
  </si>
  <si>
    <t>Catégorie 27</t>
  </si>
  <si>
    <t>Catégorie 28</t>
  </si>
  <si>
    <t>Catégorie 29</t>
  </si>
  <si>
    <t>Catégorie 30</t>
  </si>
  <si>
    <t>USE Modulé</t>
  </si>
  <si>
    <t>Variables</t>
  </si>
  <si>
    <t>Sous catégorie</t>
  </si>
  <si>
    <t xml:space="preserve">Indicateur </t>
  </si>
  <si>
    <t xml:space="preserve">Valeur </t>
  </si>
  <si>
    <t>Etablissements médico-sociaux - Administration et bureaux</t>
  </si>
  <si>
    <r>
      <t xml:space="preserve">Amplitude horaire annuelle (h ouvrées/an) </t>
    </r>
    <r>
      <rPr>
        <b/>
        <sz val="10"/>
        <color theme="1"/>
        <rFont val="Calibri"/>
        <family val="2"/>
        <scheme val="minor"/>
      </rPr>
      <t>Nb_h ouvrées</t>
    </r>
  </si>
  <si>
    <r>
      <t xml:space="preserve">Surface Plancher / poste de travail </t>
    </r>
    <r>
      <rPr>
        <sz val="9"/>
        <color theme="1"/>
        <rFont val="Calibri"/>
        <family val="2"/>
        <scheme val="minor"/>
      </rPr>
      <t xml:space="preserve">ou Surface Utile Brute </t>
    </r>
    <r>
      <rPr>
        <sz val="10"/>
        <color theme="1"/>
        <rFont val="Calibri"/>
        <family val="2"/>
        <scheme val="minor"/>
      </rPr>
      <t xml:space="preserve">(m²/poste) </t>
    </r>
    <r>
      <rPr>
        <b/>
        <sz val="9"/>
        <color theme="1"/>
        <rFont val="Calibri"/>
        <family val="2"/>
        <scheme val="minor"/>
      </rPr>
      <t>Surf_poste</t>
    </r>
  </si>
  <si>
    <r>
      <t xml:space="preserve">Taux d’occupation (%)  </t>
    </r>
    <r>
      <rPr>
        <b/>
        <sz val="10"/>
        <color theme="1"/>
        <rFont val="Calibri"/>
        <family val="2"/>
        <scheme val="minor"/>
      </rPr>
      <t xml:space="preserve">T_occ </t>
    </r>
  </si>
  <si>
    <t xml:space="preserve">Centre médical (Maison médicale - Protection Maternelle et Infantile) </t>
  </si>
  <si>
    <r>
      <t xml:space="preserve">Surface Plancher / salle consultation ou Surface Utile Brute (m²/salle) </t>
    </r>
    <r>
      <rPr>
        <b/>
        <sz val="10"/>
        <color theme="1"/>
        <rFont val="Calibri"/>
        <family val="2"/>
        <scheme val="minor"/>
      </rPr>
      <t>Surf_consult</t>
    </r>
  </si>
  <si>
    <t xml:space="preserve">Centre médical spécialisé pour enfants et adolescents (CAMSP – CMPP) </t>
  </si>
  <si>
    <t>Etablissement d'hébergement pour personnes âgées dépendantes (EHPAD) - Zones de vie</t>
  </si>
  <si>
    <r>
      <t xml:space="preserve">Surface utile par lit (m²/lit) </t>
    </r>
    <r>
      <rPr>
        <b/>
        <sz val="10"/>
        <color theme="1"/>
        <rFont val="Calibri"/>
        <family val="2"/>
        <scheme val="minor"/>
      </rPr>
      <t>Surf</t>
    </r>
  </si>
  <si>
    <r>
      <t xml:space="preserve">Taux d’utilisation (%)  </t>
    </r>
    <r>
      <rPr>
        <b/>
        <sz val="10"/>
        <color theme="1"/>
        <rFont val="Calibri"/>
        <family val="2"/>
      </rPr>
      <t>T_util</t>
    </r>
  </si>
  <si>
    <t>Etablissement médicalisé d'hébergement permanent pour adultes dépendants (MAS – FAM/EAM) - Zones de vie</t>
  </si>
  <si>
    <t>Etablissement de prise en charge pour les enfants et adolescents (IEM – EEAP – IME – IDA – IDV - ITEP) - Zones de vie</t>
  </si>
  <si>
    <r>
      <t>Surface par chambre</t>
    </r>
    <r>
      <rPr>
        <sz val="9"/>
        <color rgb="FF000000"/>
        <rFont val="Calibri"/>
        <family val="2"/>
        <scheme val="minor"/>
      </rPr>
      <t xml:space="preserve"> </t>
    </r>
    <r>
      <rPr>
        <sz val="10"/>
        <color rgb="FF000000"/>
        <rFont val="Calibri"/>
        <family val="2"/>
        <scheme val="minor"/>
      </rPr>
      <t xml:space="preserve">(m²) </t>
    </r>
    <r>
      <rPr>
        <b/>
        <sz val="9"/>
        <color rgb="FF000000"/>
        <rFont val="Calibri"/>
        <family val="2"/>
        <scheme val="minor"/>
      </rPr>
      <t>Surf</t>
    </r>
  </si>
  <si>
    <t>Etablissements médico-sociaux –Blanchisserie</t>
  </si>
  <si>
    <t>Etablissement médico-social –Laverie</t>
  </si>
  <si>
    <t>Amplitude horaire annuelle (h ouvrées/an) Nb_h_ouvrées</t>
  </si>
  <si>
    <t>Nombre de résidents Nb_résidents</t>
  </si>
  <si>
    <t>Etablissements médico-sociaux –Restauration collective</t>
  </si>
  <si>
    <r>
      <t xml:space="preserve">Amplitude horaire annuelle (h ouvrées/an) </t>
    </r>
    <r>
      <rPr>
        <b/>
        <sz val="10"/>
        <color theme="1"/>
        <rFont val="Calibri"/>
        <family val="2"/>
        <scheme val="minor"/>
      </rPr>
      <t>Nb_h_ouvrées</t>
    </r>
  </si>
  <si>
    <t>Ratio surfacique cuisine (%) Surf_cuisine</t>
  </si>
  <si>
    <t xml:space="preserve">Parametre supplémentaire 1 </t>
  </si>
  <si>
    <t>Densité cuisine (kWh/m²/an) DE_cuisineétalon</t>
  </si>
  <si>
    <t>Parametre supplémentaire 2</t>
  </si>
  <si>
    <t>Densité salle (kWh/m²/an) DE_salleétalon</t>
  </si>
  <si>
    <t>Parametre supplémentaire 3</t>
  </si>
  <si>
    <t>Densité totale (kWh/m²/an) DE_restaurantétalon</t>
  </si>
  <si>
    <t>Etablissements médico-sociaux – Valeur par défaut</t>
  </si>
  <si>
    <t>Etablissement d'hébergement social ou médico-social de mineurs en difficultés (MECS) - Zones de vie</t>
  </si>
  <si>
    <t xml:space="preserve">Centre Hospitalier-Restauration collective avec services – Restauration inter-entreprises </t>
  </si>
  <si>
    <t>Pente (kWh/an/(nombre de couverts servis)²)</t>
  </si>
  <si>
    <r>
      <t xml:space="preserve">Ordonnée à l’origine (kWh/an, par nombre de couverts servis) </t>
    </r>
    <r>
      <rPr>
        <b/>
        <sz val="10"/>
        <color theme="1"/>
        <rFont val="Calibri"/>
        <family val="2"/>
        <scheme val="minor"/>
      </rPr>
      <t>B</t>
    </r>
  </si>
  <si>
    <t>Centre Hospitalier-Restauration collective cuisine centrale (plateau repas)</t>
  </si>
  <si>
    <r>
      <t xml:space="preserve">Nombre de couverts (servis par jour) </t>
    </r>
    <r>
      <rPr>
        <b/>
        <sz val="10"/>
        <color theme="1"/>
        <rFont val="Calibri"/>
        <family val="2"/>
        <scheme val="minor"/>
      </rPr>
      <t>Nb_couverts</t>
    </r>
  </si>
  <si>
    <t>Surface plancher (m2)</t>
  </si>
  <si>
    <t>Centre Hospitalier-Administration</t>
  </si>
  <si>
    <t>Surface Plancher / poste de travail</t>
  </si>
  <si>
    <r>
      <t xml:space="preserve">Taux d’utilisation (%)  </t>
    </r>
    <r>
      <rPr>
        <b/>
        <sz val="10"/>
        <color theme="1"/>
        <rFont val="Calibri"/>
        <family val="2"/>
        <scheme val="minor"/>
      </rPr>
      <t>T_util</t>
    </r>
  </si>
  <si>
    <t>Centre Hospitalier-Consultations</t>
  </si>
  <si>
    <r>
      <t xml:space="preserve">Surface Plancher salle consultation ou Surface Utile Brute (m²/salle) </t>
    </r>
    <r>
      <rPr>
        <b/>
        <sz val="10"/>
        <color theme="1"/>
        <rFont val="Calibri"/>
        <family val="2"/>
        <scheme val="minor"/>
      </rPr>
      <t>Surf_consult</t>
    </r>
  </si>
  <si>
    <t>Centre Hospitalier-Hospitalisation conventionnelle</t>
  </si>
  <si>
    <t>Centre Hospitalier-Hospitalisation ambulatoire</t>
  </si>
  <si>
    <t>Centre Hospitalier-Zone accueil public</t>
  </si>
  <si>
    <t>Centre Hospitalier-Valeur par défaut</t>
  </si>
  <si>
    <t>Centre Hospitalier-Blanchisserie</t>
  </si>
  <si>
    <t>Production renseignée (t/an) P</t>
  </si>
  <si>
    <t xml:space="preserve">Surface </t>
  </si>
  <si>
    <t>Centres hospitaliers – Blocs opératoires</t>
  </si>
  <si>
    <t>Amplitude horaire annuelle blocs opératoires (h ouvrées/ an)</t>
  </si>
  <si>
    <t>Surface de plancher par bloc (m²/bloc opératoire) SDP_par_bloc</t>
  </si>
  <si>
    <t>Taux d’utilisation (%) T_util</t>
  </si>
  <si>
    <t>Centres hospitaliers – Réanimation</t>
  </si>
  <si>
    <t>Amplitude horaire annuelle (h ouvrées/ an) Nb_h_ouvrées</t>
  </si>
  <si>
    <t>Surface de plancher par lit (m²/lit) SDP_par_lit</t>
  </si>
  <si>
    <t>Centres hospitaliers – Salles blanches</t>
  </si>
  <si>
    <t>Amplitude horaire annuelle (h ouvrées/an)
Nb_h_ouvrées</t>
  </si>
  <si>
    <t>Densité énergétique réelle (kWh/m²/an) Deréelle</t>
  </si>
  <si>
    <t>Centres hospitaliers – Chambres froides positives</t>
  </si>
  <si>
    <t>Etablissement de Balnéothérapie – Bassins et Piscines (dont vestiaires et douches)</t>
  </si>
  <si>
    <t>Ratio surfacique des bassins (%) %Sbassin</t>
  </si>
  <si>
    <t>Variation de consommation selon l’amplitude horaire
(kWh/m²/an/h ouvrée) Variation_amplitude</t>
  </si>
  <si>
    <t>Variation de consommation selon le ratio surfacique bassins
(kWh/m²/an/%) Variation_%Sbassin</t>
  </si>
  <si>
    <t>Etablissement de Balnéothérapie – Zone de soins (Massages, Sauna et Hammam)</t>
  </si>
  <si>
    <t>Surface par chambre (m²) SDP_par_chambre</t>
  </si>
  <si>
    <t>Logistique - Entrepôt à température ambiante</t>
  </si>
  <si>
    <t>Logistique - Entrepôt sans maitien en température</t>
  </si>
  <si>
    <t>Salles serveurs - Local serveurs (surface salle IT &lt; 20 m²)</t>
  </si>
  <si>
    <t>PUE_Zone</t>
  </si>
  <si>
    <t>Consommation annuelle réelle des équipements informatiques (kWh/an)</t>
  </si>
  <si>
    <t>Surface</t>
  </si>
  <si>
    <t>Salles serveurs - Salle serveurs (20 m² ≤ surface salle IT &lt; 100 m²)</t>
  </si>
  <si>
    <t>Bureau - Bureaux standards</t>
  </si>
  <si>
    <t>Bureau - Open Space</t>
  </si>
  <si>
    <t>Bureau - Zone Accueil Public</t>
  </si>
  <si>
    <r>
      <t xml:space="preserve">Surface Plancher / guichet </t>
    </r>
    <r>
      <rPr>
        <sz val="9"/>
        <color theme="1"/>
        <rFont val="Calibri"/>
        <family val="2"/>
        <scheme val="minor"/>
      </rPr>
      <t xml:space="preserve">ou Surface Utile Brute </t>
    </r>
    <r>
      <rPr>
        <sz val="10"/>
        <color theme="1"/>
        <rFont val="Calibri"/>
        <family val="2"/>
        <scheme val="minor"/>
      </rPr>
      <t xml:space="preserve">(m²/guichet) </t>
    </r>
    <r>
      <rPr>
        <b/>
        <sz val="9"/>
        <color theme="1"/>
        <rFont val="Calibri"/>
        <family val="2"/>
        <scheme val="minor"/>
      </rPr>
      <t>Surf_poste</t>
    </r>
  </si>
  <si>
    <t>Bureau - Grande salle de réunion - Auditorium - Amphithéatre</t>
  </si>
  <si>
    <r>
      <t xml:space="preserve">Surface Plancher / place </t>
    </r>
    <r>
      <rPr>
        <sz val="9"/>
        <color theme="1"/>
        <rFont val="Calibri"/>
        <family val="2"/>
        <scheme val="minor"/>
      </rPr>
      <t xml:space="preserve">ou Surface Utile Brute </t>
    </r>
    <r>
      <rPr>
        <sz val="10"/>
        <color theme="1"/>
        <rFont val="Calibri"/>
        <family val="2"/>
        <scheme val="minor"/>
      </rPr>
      <t xml:space="preserve">(m²/guichet) </t>
    </r>
    <r>
      <rPr>
        <b/>
        <sz val="9"/>
        <color theme="1"/>
        <rFont val="Calibri"/>
        <family val="2"/>
        <scheme val="minor"/>
      </rPr>
      <t>Surf_poste</t>
    </r>
  </si>
  <si>
    <t>Enseignement - Maternelle</t>
  </si>
  <si>
    <t>Durée supplémentaire d'ouverture en période de chauffe par rappoirt à l'étalon (h/an)</t>
  </si>
  <si>
    <t>Durée supplémentaire d'ouverture hors période de chauffe par rappoirt à l'étalon (h/an)</t>
  </si>
  <si>
    <t>Enseignement - Elémentaire</t>
  </si>
  <si>
    <t>Enseignement - Salle multi-activités et Périscolaire</t>
  </si>
  <si>
    <t>Enseignement - Internat Primaire</t>
  </si>
  <si>
    <t>Enseignement - Collège</t>
  </si>
  <si>
    <t xml:space="preserve">Enseignement - Lycée </t>
  </si>
  <si>
    <t>Enseignement - Etablissement régional d'enseignement adapté</t>
  </si>
  <si>
    <t>Enseignement - Internat secondaire</t>
  </si>
  <si>
    <t>Centre Hospitalier - Soins et Supports - Rééducation fonctionnelle, Kinésithérapie</t>
  </si>
  <si>
    <r>
      <t>Densité énergétique moyenne</t>
    </r>
    <r>
      <rPr>
        <b/>
        <sz val="10"/>
        <color theme="1"/>
        <rFont val="Calibri"/>
        <family val="2"/>
        <scheme val="minor"/>
      </rPr>
      <t xml:space="preserve"> </t>
    </r>
    <r>
      <rPr>
        <sz val="10"/>
        <color theme="1"/>
        <rFont val="Calibri"/>
        <family val="2"/>
        <scheme val="minor"/>
      </rPr>
      <t xml:space="preserve">(Wh/m²/an) </t>
    </r>
    <r>
      <rPr>
        <b/>
        <sz val="10"/>
        <color theme="1"/>
        <rFont val="Calibri"/>
        <family val="2"/>
        <scheme val="minor"/>
      </rPr>
      <t>DE</t>
    </r>
    <r>
      <rPr>
        <b/>
        <vertAlign val="subscript"/>
        <sz val="10"/>
        <color theme="1"/>
        <rFont val="Calibri"/>
        <family val="2"/>
        <scheme val="minor"/>
      </rPr>
      <t>réelle</t>
    </r>
  </si>
  <si>
    <t>Centres hospitaliers – Laboratoires classés P2, P3, P4</t>
  </si>
  <si>
    <t>Centres hospitaliers – Laboratoires classés P2, P3, P5</t>
  </si>
  <si>
    <t>Centres hospitaliers – Laboratoires classés P2, P3, P6</t>
  </si>
  <si>
    <t>Centres hospitaliers – Laboratoires classés P2, P3, P7</t>
  </si>
  <si>
    <t>Centres hospitaliers – Laboratoires classés P2, P3, P8</t>
  </si>
  <si>
    <t>Centres hospitaliers – Laboratoires classés P2, P3, P9</t>
  </si>
  <si>
    <t>Densité énergétique réelle (kWh/m²/an) DEréelle</t>
  </si>
  <si>
    <t>Centres hospitaliers – Laboratoires classés P2, P3, P10</t>
  </si>
  <si>
    <t>Centres hospitaliers – Laboratoires classés P2, P3, P11</t>
  </si>
  <si>
    <t>Centres hospitaliers – Stérilisation</t>
  </si>
  <si>
    <t>Centres hospitaliers – Imageries médicales</t>
  </si>
  <si>
    <t>Amplitude horaire annuelle (h ouvrées/an)</t>
  </si>
  <si>
    <t>Densité énergétique réelle (kWh/m²/an)</t>
  </si>
  <si>
    <t>Centres hospitaliers – Laboratoires courants</t>
  </si>
  <si>
    <t>Collège ‐ Salles d'enseignements professionnels adaptés</t>
  </si>
  <si>
    <t>Enseignement secondaire ‐ Salles de TP</t>
  </si>
  <si>
    <t>Zones Géographiques</t>
  </si>
  <si>
    <t>en kWh/m²/an</t>
  </si>
  <si>
    <t>Guadeloupe</t>
  </si>
  <si>
    <t>Martinique</t>
  </si>
  <si>
    <t>Guyane</t>
  </si>
  <si>
    <t>Réunion</t>
  </si>
  <si>
    <t>Mayotte</t>
  </si>
  <si>
    <t>Définie par arrêté</t>
  </si>
  <si>
    <t xml:space="preserve">Définie par arrêté </t>
  </si>
  <si>
    <t xml:space="preserve">  </t>
  </si>
  <si>
    <t>Logistique - Logistique ou messagerie température dirigée +12 à +17°C</t>
  </si>
  <si>
    <t>Catégories</t>
  </si>
  <si>
    <t>Etablissements_Médico_sociaux</t>
  </si>
  <si>
    <t>Centre_Hospitalier</t>
  </si>
  <si>
    <t>Etablissement_Balneo</t>
  </si>
  <si>
    <t>Logistique</t>
  </si>
  <si>
    <t>Bureau_services_Publics</t>
  </si>
  <si>
    <t>Enseignement</t>
  </si>
  <si>
    <t>Salles_serveurs</t>
  </si>
  <si>
    <t xml:space="preserve">Penser à ajouter les nouvelles sous catégories dans les feuilles CABS_CVC, Calcul_CABS et SurfaceXactvités </t>
  </si>
  <si>
    <t>Moyenne</t>
  </si>
  <si>
    <t>DJU Mensuels Climaticien</t>
  </si>
  <si>
    <t>DJU Mensuels DJU Chauffagiste</t>
  </si>
  <si>
    <t>Calcul du DJU moyen</t>
  </si>
  <si>
    <t>Numéro</t>
  </si>
  <si>
    <t>Département</t>
  </si>
  <si>
    <t>Ain</t>
  </si>
  <si>
    <t>Aisne</t>
  </si>
  <si>
    <t>Allier</t>
  </si>
  <si>
    <t>Alpes-de-Haute-Provence</t>
  </si>
  <si>
    <t>Hautes-Alpes</t>
  </si>
  <si>
    <t>Alpes-Maritimes</t>
  </si>
  <si>
    <t>Ardèche</t>
  </si>
  <si>
    <t>Ardennes</t>
  </si>
  <si>
    <t>Ariège</t>
  </si>
  <si>
    <t>Aube</t>
  </si>
  <si>
    <t>Aude</t>
  </si>
  <si>
    <t>Aveyron</t>
  </si>
  <si>
    <t>Bouches-du-Rhône</t>
  </si>
  <si>
    <t>Calvados</t>
  </si>
  <si>
    <t>Cantal</t>
  </si>
  <si>
    <t>Charente</t>
  </si>
  <si>
    <t>Charente-Maritime</t>
  </si>
  <si>
    <t>Cher</t>
  </si>
  <si>
    <t>Corrèze</t>
  </si>
  <si>
    <t>Corse-du-Sud / Haute-Corse</t>
  </si>
  <si>
    <t>Côte-d’Or</t>
  </si>
  <si>
    <t>Côtes-d’Armor</t>
  </si>
  <si>
    <t>Creuse</t>
  </si>
  <si>
    <t>Dordogne</t>
  </si>
  <si>
    <t>Doubs</t>
  </si>
  <si>
    <t>Drôme</t>
  </si>
  <si>
    <t>Eure</t>
  </si>
  <si>
    <t>Eure-et-Loir</t>
  </si>
  <si>
    <t>Finistère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</si>
  <si>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</si>
  <si>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</si>
  <si>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</si>
  <si>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</si>
  <si>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</si>
  <si>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</si>
  <si>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</si>
  <si>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</si>
  <si>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</si>
  <si>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</si>
  <si>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</si>
  <si>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</si>
  <si>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</si>
  <si>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</si>
  <si>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</si>
  <si>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</si>
  <si>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</si>
  <si>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</si>
  <si>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Lozère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</si>
  <si>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</si>
  <si>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</si>
  <si>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</si>
  <si>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</si>
  <si>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</si>
  <si>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</si>
  <si>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</si>
  <si>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</si>
  <si>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</si>
  <si>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</si>
  <si>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</si>
  <si>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</si>
  <si>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</si>
  <si>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</si>
  <si>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</si>
  <si>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</si>
  <si>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</si>
  <si>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</si>
  <si>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</si>
  <si>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</si>
  <si>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</si>
  <si>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</si>
  <si>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</si>
  <si>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</si>
  <si>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</si>
  <si>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</si>
  <si>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Paris</t>
  </si>
  <si>
    <t>Seine-Maritime</t>
  </si>
  <si>
    <t>Seine-et-Marne</t>
  </si>
  <si>
    <t>Yvelines</t>
  </si>
  <si>
    <t>Deux-Sèvres</t>
  </si>
  <si>
    <t>Somme</t>
  </si>
  <si>
    <t>Tarn</t>
  </si>
  <si>
    <t>Tarn-et-Garonne</t>
  </si>
  <si>
    <t>Var</t>
  </si>
  <si>
    <t>Vaucluse</t>
  </si>
  <si>
    <t>Vendée</t>
  </si>
  <si>
    <t>Vienne</t>
  </si>
  <si>
    <t>Haute-Vienne</t>
  </si>
  <si>
    <t>Vosges</t>
  </si>
  <si>
    <t>Yonne</t>
  </si>
  <si>
    <t>Territoire de Belfort</t>
  </si>
  <si>
    <t>Essonne</t>
  </si>
  <si>
    <t>Hauts-de-Seine</t>
  </si>
  <si>
    <t>Seine-Saint-Denis</t>
  </si>
  <si>
    <t>Val-de-Marne</t>
  </si>
  <si>
    <t>Val-d’Oise</t>
  </si>
  <si>
    <t>Auvergne-Rhône-Alpes</t>
  </si>
  <si>
    <t>Hauts-de-France</t>
  </si>
  <si>
    <t>Provence-Alpes-Côte d'Azur</t>
  </si>
  <si>
    <t>Grand Est</t>
  </si>
  <si>
    <t>Occitanie</t>
  </si>
  <si>
    <t>Normandie</t>
  </si>
  <si>
    <t>Nouvelle-Aquitaine</t>
  </si>
  <si>
    <t>Centre-Val de Loire</t>
  </si>
  <si>
    <t>Bourgogne-Franche-Comté</t>
  </si>
  <si>
    <t>Bretagne</t>
  </si>
  <si>
    <t>Pays de la Loire</t>
  </si>
  <si>
    <t>Île-de-France</t>
  </si>
  <si>
    <t>Corse</t>
  </si>
  <si>
    <t>Region</t>
  </si>
  <si>
    <t>La Réunion</t>
  </si>
  <si>
    <t>Outre-mer</t>
  </si>
  <si>
    <t>1.56</t>
  </si>
  <si>
    <t xml:space="preserve">Gestion des DJU depuis une BDD externe pour diffusion nationale du fichier
Module calcul du Cabs pour le décret tertiaire avec les modulations
</t>
  </si>
  <si>
    <t xml:space="preserve">Par défaut, la colonne "Quantité Restante dans la cuve après plein" (colonne D) se remplit </t>
  </si>
  <si>
    <t>automatiquement avec la valeur déduite des lignes précédentes</t>
  </si>
  <si>
    <t>et "Montant" (Colonnes F, G et H) dans l'onglet compteur approprié ou faire des liens entre cellules.</t>
  </si>
  <si>
    <t>Test Cohérence des données DJU</t>
  </si>
  <si>
    <t>Si des valeurs apparaissent en rouge ci-dessous, vos données climatiques sont erronnées</t>
  </si>
  <si>
    <t>Station Météo</t>
  </si>
  <si>
    <t>3. Actualisez les tableaux croisés dynamiques ci-dessous en cliquant sur l'onglet "Données" puis le bouton "Actualiser tout"</t>
  </si>
  <si>
    <t>si toujours en activité indiquer une année lointaine (ex: 2030)</t>
  </si>
  <si>
    <t>Années DEET</t>
  </si>
  <si>
    <t>Si très ancien indiquer 2010</t>
  </si>
  <si>
    <r>
      <t xml:space="preserve">Une fois les données de comptage remplies, veuillez les actualiser en faisant Ctrl+Alt+F5 ou en cliquant sur le bouton "Actualiser tout" dans l'onglet "Données" de la barre d'Outils Excel
</t>
    </r>
    <r>
      <rPr>
        <sz val="11"/>
        <color theme="1"/>
        <rFont val="Calibri"/>
        <family val="2"/>
        <scheme val="minor"/>
      </rPr>
      <t>Accès aux onglets des compteurs :</t>
    </r>
  </si>
  <si>
    <t>Date arrêt chauffage ?
Le 141 semble anomal</t>
  </si>
  <si>
    <t>données ajoutées à la main pour ne pas fausser les graphs</t>
  </si>
  <si>
    <t>2020</t>
  </si>
  <si>
    <t>2021</t>
  </si>
  <si>
    <t>2022</t>
  </si>
  <si>
    <t>2023</t>
  </si>
  <si>
    <t>2024</t>
  </si>
  <si>
    <t>2025</t>
  </si>
  <si>
    <t>1.57</t>
  </si>
  <si>
    <t>Mise à jour avec le jeu de données de test "EHPAD IDEAL"</t>
  </si>
  <si>
    <t>2014</t>
  </si>
  <si>
    <t>2015</t>
  </si>
  <si>
    <t>2016</t>
  </si>
  <si>
    <t>2017</t>
  </si>
  <si>
    <t>2018</t>
  </si>
  <si>
    <t>2019</t>
  </si>
  <si>
    <t>2013</t>
  </si>
  <si>
    <t>Somme de Conso_kWh_PCI</t>
  </si>
  <si>
    <t>Somme de Conso_kWh_DEET</t>
  </si>
  <si>
    <t>PCI_EP</t>
  </si>
  <si>
    <t>PCI/EP</t>
  </si>
  <si>
    <t>Total Somme de Conso_kWh_PCI</t>
  </si>
  <si>
    <t>Total Somme de Conso_kWh_DEET</t>
  </si>
  <si>
    <t>Annee</t>
  </si>
  <si>
    <t>Somme de Cout_jour</t>
  </si>
  <si>
    <t>Total Somme de Conso_kWhEP</t>
  </si>
  <si>
    <t>Somme de Conso_kWhEP</t>
  </si>
  <si>
    <t>Total Somme de Demande_jour</t>
  </si>
  <si>
    <t>Somme de Demande_jour</t>
  </si>
  <si>
    <t>Total Moyenne de Conso_kWh_PCI</t>
  </si>
  <si>
    <t>Moyenne de Conso_kWh_PCI</t>
  </si>
  <si>
    <t>Total Moyenne de Conso_kWh_DEET</t>
  </si>
  <si>
    <t>Moyenne de Conso_kWh_DEET</t>
  </si>
  <si>
    <t>Dates (année)</t>
  </si>
  <si>
    <t>Conso brute</t>
  </si>
  <si>
    <t>févr</t>
  </si>
  <si>
    <t>août</t>
  </si>
  <si>
    <t>déc</t>
  </si>
  <si>
    <t>Nombre de DJU(chauffagiste)</t>
  </si>
  <si>
    <t>Nombre de DJU(climaticien)</t>
  </si>
  <si>
    <t>Moyenne de DJU(chauffagiste)</t>
  </si>
  <si>
    <t xml:space="preserve">Nom: </t>
  </si>
  <si>
    <t>Type :</t>
  </si>
  <si>
    <t>Source :</t>
  </si>
  <si>
    <t>Detail usage :</t>
  </si>
  <si>
    <t>Combustible :</t>
  </si>
  <si>
    <t>All</t>
  </si>
  <si>
    <t>Talon :</t>
  </si>
  <si>
    <t>7</t>
  </si>
  <si>
    <t>Conso jour juillet</t>
  </si>
  <si>
    <t>Indicateur elec</t>
  </si>
  <si>
    <t>Indicateur thermique</t>
  </si>
  <si>
    <t>Talon thermique</t>
  </si>
  <si>
    <t>Talon elec</t>
  </si>
  <si>
    <t>Talon Thermique</t>
  </si>
  <si>
    <t>Talon Elec</t>
  </si>
  <si>
    <t>Synthèse!C6</t>
  </si>
  <si>
    <t>Synthèse!C9:C10</t>
  </si>
  <si>
    <t>Conso_DJU</t>
  </si>
  <si>
    <t>septembre</t>
  </si>
  <si>
    <t>octobre</t>
  </si>
  <si>
    <t>novembre</t>
  </si>
  <si>
    <t>décembre</t>
  </si>
  <si>
    <t>Nom du site</t>
  </si>
  <si>
    <t>2011</t>
  </si>
  <si>
    <t>2012</t>
  </si>
  <si>
    <t>2026</t>
  </si>
  <si>
    <t>Conso [MWh]</t>
  </si>
  <si>
    <t>Conso Corrigée [MWh]</t>
  </si>
  <si>
    <t xml:space="preserve">Talon de consommation électrique </t>
  </si>
  <si>
    <t>Surface totale</t>
  </si>
  <si>
    <t>1.99</t>
  </si>
  <si>
    <t>Valeur [kW] ou kVA</t>
  </si>
  <si>
    <t>Elec Générale (Factures)</t>
  </si>
  <si>
    <t>Chaleur Générale (factures)</t>
  </si>
  <si>
    <t>Eau Générale (factures)</t>
  </si>
  <si>
    <t>2010</t>
  </si>
  <si>
    <t>Eau - General EF</t>
  </si>
  <si>
    <t>Conso annuelle</t>
  </si>
  <si>
    <t xml:space="preserve"> (ECS, Cuisson et Blanchisserie)</t>
  </si>
  <si>
    <t>Si Oui, vous pouvez sélectionner les mois sans chauffage :</t>
  </si>
  <si>
    <t>Ou Forcer la part chauffage ?</t>
  </si>
  <si>
    <t>Complétez ici les talons de consommations issus d'Optiturpe :</t>
  </si>
  <si>
    <t>Evolution principale et majeure : 
Refonte de la métode d'aggregation des données en passant par Power Query et Power Pivot
Cette refonte vient corriger les erreurs de calcul lorsque des consommations ou factures étaient à cheval sur une période (anné ou mois...)
Correction Calcul Energie Primaire Thermique dans Calcul_Bilan_Energie
Ajout d'un segment dans l'onglet Site pour sélectionner les mois à considérer pour l'ECS
Mise en forme conditionnelle sur les dates des Compteurs vérifiant que l'ordre chronologique des dates est bien respecté
Amélioration de la gestion des cuves 
Intégration des talons de conso élec et chaleur
Mise en place d'une mise en forme conditionnelle pour que les dates qui ne respectent pas l'ordre chronologique apparaissent en rouge
Extension du fichier jusqu'en 2030
Actualisation des statistiques de consommations régionales
Suppression de l'onglet "Sous Compteurs" et regroupement des sous compteurs avec les compteurs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</si>
</sst>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8" formatCode="#,##0.00\ &quot;€&quot;;[Red]\-#,##0.00\ &quot;€&quot;"/>
    <numFmt numFmtId="44" formatCode="_-* #,##0.00\ &quot;€&quot;_-;\-* #,##0.00\ &quot;€&quot;_-;_-* &quot;-&quot;??\ &quot;€&quot;_-;_-@_-"/>
    <numFmt numFmtId="43" formatCode="_-* #,##0.00_-;\-* #,##0.00_-;_-* &quot;-&quot;??_-;_-@_-"/>
    <numFmt numFmtId="164" formatCode="0.000"/>
    <numFmt numFmtId="165" formatCode="_-* #,##0.0\ _€_-;\-* #,##0.0\ _€_-;_-* \-?\ _€_-;_-@_-"/>
    <numFmt numFmtId="166" formatCode="_-* #,##0.00\ _€_-;\-* #,##0.00\ _€_-;_-* \-??\ _€_-;_-@_-"/>
    <numFmt numFmtId="167" formatCode="_-* #,##0.0\ _€_-;\-* #,##0.0\ _€_-;_-* \-??\ _€_-;_-@_-"/>
    <numFmt numFmtId="168" formatCode="0.0&quot; kWh/m².an&quot;"/>
    <numFmt numFmtId="169" formatCode="_-* #,##0\ &quot;€&quot;_-;\-* #,##0\ &quot;€&quot;_-;_-* &quot;-&quot;??\ &quot;€&quot;_-;_-@_-"/>
    <numFmt numFmtId="170" formatCode="0.0&quot; l/j.lit&quot;"/>
    <numFmt numFmtId="171" formatCode="_-* #,##0_-;\-* #,##0_-;_-* &quot;-&quot;??_-;_-@_-"/>
    <numFmt numFmtId="172" formatCode="0.0&quot; kWhEP/m².an&quot;"/>
    <numFmt numFmtId="173" formatCode="0.00&quot; MWh [EF PCI]&quot;"/>
    <numFmt numFmtId="174" formatCode="0.0&quot; kWh [EP PCI]/m².an&quot;"/>
    <numFmt numFmtId="175" formatCode="0.0&quot; kWh [EF PCI]/m².an&quot;"/>
    <numFmt numFmtId="176" formatCode="0.0"/>
    <numFmt numFmtId="177" formatCode="0&quot; m²/usager&quot;"/>
    <numFmt numFmtId="178" formatCode="0.0%"/>
    <numFmt numFmtId="179" formatCode="_-* #,##0.0_-;\-* #,##0.0_-;_-* &quot;-&quot;??_-;_-@_-"/>
    <numFmt numFmtId="180" formatCode="0.0&quot; l/j.Usager&quot;"/>
    <numFmt numFmtId="181" formatCode="0.0&quot; W/m²&quot;"/>
    <numFmt numFmtId="182" formatCode="0.0&quot; kWh/mois.m²&quot;"/>
    <numFmt numFmtId="183" formatCode="_-* #,##0.0\ _€_-;\-* #,##0.0\ _€_-;_-* &quot;-&quot;?\ _€_-;_-@_-"/>
  </numFmts>
  <fonts count="78">
    <font>
      <sz val="11"/>
      <color theme="1"/>
      <name val="Calibri"/>
      <family val="2"/>
      <scheme val="minor"/>
    </font>
    <font>
      <sz val="11"/>
      <color theme="1"/>
      <name val="Calibri"/>
      <family val="2"/>
      <scheme val="minor"/>
    </font>
    <font>
      <b/>
      <sz val="11"/>
      <color theme="0"/>
      <name val="Calibri"/>
      <family val="2"/>
      <scheme val="minor"/>
    </font>
    <font>
      <b/>
      <sz val="10"/>
      <color theme="1"/>
      <name val="Calibri"/>
      <family val="2"/>
      <scheme val="minor"/>
    </font>
    <font>
      <sz val="10"/>
      <color rgb="FF000000"/>
      <name val="Calibri"/>
      <family val="2"/>
    </font>
    <font>
      <b/>
      <sz val="10"/>
      <color theme="1"/>
      <name val="Arial"/>
      <family val="2"/>
    </font>
    <font>
      <sz val="10"/>
      <color theme="1"/>
      <name val="Calibri"/>
      <family val="2"/>
      <scheme val="minor"/>
    </font>
    <font>
      <sz val="10"/>
      <color rgb="FF000000"/>
      <name val="Calibri"/>
      <family val="2"/>
      <charset val="1"/>
    </font>
    <font>
      <b/>
      <sz val="11"/>
      <color theme="1"/>
      <name val="Calibri"/>
      <family val="2"/>
      <scheme val="minor"/>
    </font>
    <font>
      <sz val="11"/>
      <color rgb="FF000000"/>
      <name val="Calibri"/>
      <family val="2"/>
      <charset val="1"/>
    </font>
    <font>
      <b/>
      <sz val="11"/>
      <color rgb="FFFFFFFF"/>
      <name val="Calibri"/>
      <family val="2"/>
      <charset val="1"/>
    </font>
    <font>
      <b/>
      <sz val="14"/>
      <color theme="1"/>
      <name val="Calibri"/>
      <family val="2"/>
      <scheme val="minor"/>
    </font>
    <font>
      <b/>
      <sz val="10"/>
      <color rgb="FF000000"/>
      <name val="Calibri"/>
      <family val="2"/>
      <charset val="1"/>
    </font>
    <font>
      <sz val="11"/>
      <color rgb="FFFF0000"/>
      <name val="Calibri"/>
      <family val="2"/>
      <scheme val="minor"/>
    </font>
    <font>
      <b/>
      <sz val="10"/>
      <color theme="0"/>
      <name val="Calibri Light"/>
      <family val="2"/>
      <scheme val="major"/>
    </font>
    <font>
      <b/>
      <sz val="10"/>
      <color theme="1"/>
      <name val="Calibri Light"/>
      <family val="2"/>
      <scheme val="major"/>
    </font>
    <font>
      <sz val="11"/>
      <name val="Calibri"/>
      <family val="2"/>
      <scheme val="minor"/>
    </font>
    <font>
      <b/>
      <sz val="10"/>
      <color rgb="FF000000"/>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color theme="1"/>
      <name val="Calibri"/>
      <family val="2"/>
    </font>
    <font>
      <b/>
      <sz val="9"/>
      <color theme="1"/>
      <name val="Calibri"/>
      <family val="2"/>
    </font>
    <font>
      <sz val="10"/>
      <color rgb="FFFF0000"/>
      <name val="Calibri"/>
      <family val="2"/>
      <scheme val="minor"/>
    </font>
    <font>
      <sz val="8"/>
      <color rgb="FFFF0000"/>
      <name val="Calibri"/>
      <family val="2"/>
      <scheme val="minor"/>
    </font>
    <font>
      <b/>
      <sz val="9"/>
      <color theme="1"/>
      <name val="Calibri"/>
      <family val="2"/>
      <scheme val="minor"/>
    </font>
    <font>
      <sz val="9"/>
      <color theme="1"/>
      <name val="Calibri"/>
      <family val="2"/>
      <scheme val="minor"/>
    </font>
    <font>
      <b/>
      <sz val="9"/>
      <color indexed="81"/>
      <name val="Tahoma"/>
      <family val="2"/>
    </font>
    <font>
      <sz val="9"/>
      <color indexed="81"/>
      <name val="Tahoma"/>
      <family val="2"/>
    </font>
    <font>
      <sz val="11"/>
      <color indexed="81"/>
      <name val="Tahoma"/>
      <family val="2"/>
    </font>
    <font>
      <sz val="9"/>
      <color rgb="FFFF0000"/>
      <name val="Calibri"/>
      <family val="2"/>
      <scheme val="minor"/>
    </font>
    <font>
      <b/>
      <sz val="16"/>
      <color theme="1"/>
      <name val="Calibri"/>
      <family val="2"/>
      <scheme val="minor"/>
    </font>
    <font>
      <sz val="8"/>
      <name val="Calibri"/>
      <family val="2"/>
      <scheme val="minor"/>
    </font>
    <font>
      <u/>
      <sz val="11"/>
      <color theme="10"/>
      <name val="Calibri"/>
      <family val="2"/>
      <scheme val="minor"/>
    </font>
    <font>
      <sz val="11"/>
      <color rgb="FF0070C0"/>
      <name val="Calibri"/>
      <family val="2"/>
      <scheme val="minor"/>
    </font>
    <font>
      <sz val="8"/>
      <color theme="1"/>
      <name val="Calibri"/>
      <family val="2"/>
      <scheme val="minor"/>
    </font>
    <font>
      <sz val="11"/>
      <color rgb="FF9933FF"/>
      <name val="Calibri"/>
      <family val="2"/>
      <scheme val="minor"/>
    </font>
    <font>
      <sz val="11"/>
      <color rgb="FF1506DE"/>
      <name val="Calibri"/>
      <family val="2"/>
      <scheme val="minor"/>
    </font>
    <font>
      <sz val="12"/>
      <color theme="1"/>
      <name val="Calibri"/>
      <family val="2"/>
      <scheme val="minor"/>
    </font>
    <font>
      <sz val="10"/>
      <name val="Calibri"/>
      <family val="2"/>
      <scheme val="minor"/>
    </font>
    <font>
      <sz val="11"/>
      <color theme="1"/>
      <name val="Calibri"/>
      <family val="2"/>
      <scheme val="minor"/>
    </font>
    <font>
      <sz val="11"/>
      <color theme="1"/>
      <name val="Calibri"/>
      <family val="2"/>
    </font>
    <font>
      <sz val="11"/>
      <color theme="1"/>
      <name val="Calibri"/>
      <family val="2"/>
      <scheme val="minor"/>
    </font>
    <font>
      <sz val="11"/>
      <color theme="1"/>
      <name val="Calibri"/>
      <family val="2"/>
      <scheme val="minor"/>
    </font>
    <font>
      <b/>
      <sz val="10"/>
      <color theme="1"/>
      <name val="Calibri"/>
      <family val="2"/>
    </font>
    <font>
      <sz val="10"/>
      <color rgb="FF000000"/>
      <name val="Calibri"/>
      <family val="2"/>
      <scheme val="minor"/>
    </font>
    <font>
      <sz val="9"/>
      <color rgb="FF000000"/>
      <name val="Calibri"/>
      <family val="2"/>
      <scheme val="minor"/>
    </font>
    <font>
      <b/>
      <sz val="9"/>
      <color rgb="FF000000"/>
      <name val="Calibri"/>
      <family val="2"/>
      <scheme val="minor"/>
    </font>
    <font>
      <b/>
      <vertAlign val="subscript"/>
      <sz val="10"/>
      <color theme="1"/>
      <name val="Calibri"/>
      <family val="2"/>
      <scheme val="minor"/>
    </font>
    <font>
      <sz val="8"/>
      <color theme="1"/>
      <name val="Calibri"/>
      <family val="2"/>
    </font>
    <font>
      <sz val="10"/>
      <color rgb="FF00B050"/>
      <name val="Calibri"/>
      <family val="2"/>
    </font>
    <font>
      <b/>
      <sz val="10"/>
      <color rgb="FF00B050"/>
      <name val="Calibri"/>
      <family val="2"/>
    </font>
    <font>
      <sz val="8"/>
      <color rgb="FF00B050"/>
      <name val="Calibri"/>
      <family val="2"/>
    </font>
    <font>
      <sz val="11"/>
      <color rgb="FF000000"/>
      <name val="Calibri"/>
      <family val="2"/>
    </font>
    <font>
      <b/>
      <sz val="10"/>
      <color rgb="FF0000FF"/>
      <name val="Calibri"/>
      <family val="2"/>
    </font>
    <font>
      <sz val="8"/>
      <color rgb="FF0000FF"/>
      <name val="Calibri"/>
      <family val="2"/>
    </font>
    <font>
      <sz val="10"/>
      <color rgb="FFFF0000"/>
      <name val="Calibri"/>
      <family val="2"/>
    </font>
    <font>
      <b/>
      <sz val="10"/>
      <color rgb="FFFF0000"/>
      <name val="Calibri"/>
      <family val="2"/>
    </font>
    <font>
      <sz val="8"/>
      <color rgb="FFFF0000"/>
      <name val="Calibri"/>
      <family val="2"/>
    </font>
    <font>
      <sz val="10"/>
      <color rgb="FF0000FF"/>
      <name val="Calibri"/>
      <family val="2"/>
    </font>
    <font>
      <i/>
      <sz val="10"/>
      <color theme="1"/>
      <name val="Calibri"/>
      <family val="2"/>
    </font>
    <font>
      <i/>
      <sz val="10"/>
      <color rgb="FF0000FF"/>
      <name val="Calibri"/>
      <family val="2"/>
    </font>
    <font>
      <i/>
      <sz val="8"/>
      <color theme="1"/>
      <name val="Calibri"/>
      <family val="2"/>
    </font>
    <font>
      <b/>
      <sz val="11"/>
      <color rgb="FFFF0000"/>
      <name val="Calibri"/>
      <family val="2"/>
      <scheme val="minor"/>
    </font>
    <font>
      <b/>
      <u/>
      <sz val="11"/>
      <color theme="1"/>
      <name val="Calibri"/>
      <family val="2"/>
      <scheme val="minor"/>
    </font>
    <font>
      <sz val="11"/>
      <name val="Calibri"/>
      <family val="2"/>
    </font>
    <font>
      <sz val="11"/>
      <color rgb="FF000000"/>
      <name val="Calibri"/>
      <family val="2"/>
      <charset val="134"/>
      <scheme val="minor"/>
    </font>
    <font>
      <sz val="11"/>
      <color rgb="FF000000"/>
      <name val="Calibri"/>
      <family val="2"/>
      <scheme val="minor"/>
    </font>
  </fonts>
  <fills count="70">
    <fill>
      <patternFill patternType="none"/>
    </fill>
    <fill>
      <patternFill patternType="gray125"/>
    </fill>
    <fill>
      <patternFill patternType="solid">
        <fgColor theme="4"/>
        <bgColor theme="4"/>
      </patternFill>
    </fill>
    <fill>
      <patternFill patternType="solid">
        <fgColor theme="8" tint="0.39997558519241921"/>
        <bgColor indexed="64"/>
      </patternFill>
    </fill>
    <fill>
      <patternFill patternType="solid">
        <fgColor theme="4" tint="0.59999389629810485"/>
        <bgColor rgb="FFFFFFD7"/>
      </patternFill>
    </fill>
    <fill>
      <patternFill patternType="solid">
        <fgColor theme="0" tint="-0.14999847407452621"/>
        <bgColor indexed="64"/>
      </patternFill>
    </fill>
    <fill>
      <patternFill patternType="solid">
        <fgColor theme="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bgColor indexed="64"/>
      </patternFill>
    </fill>
    <fill>
      <patternFill patternType="solid">
        <fgColor rgb="FF5B9BD5"/>
        <bgColor rgb="FF4F81BD"/>
      </patternFill>
    </fill>
    <fill>
      <patternFill patternType="solid">
        <fgColor theme="0"/>
        <bgColor rgb="FFFFFFD7"/>
      </patternFill>
    </fill>
    <fill>
      <patternFill patternType="solid">
        <fgColor theme="0"/>
        <bgColor rgb="FF4F81BD"/>
      </patternFill>
    </fill>
    <fill>
      <patternFill patternType="solid">
        <fgColor theme="0"/>
        <bgColor rgb="FFFF99CC"/>
      </patternFill>
    </fill>
    <fill>
      <patternFill patternType="solid">
        <fgColor rgb="FFFFFFFF"/>
        <bgColor rgb="FFF2F2F2"/>
      </patternFill>
    </fill>
    <fill>
      <patternFill patternType="solid">
        <fgColor theme="8" tint="-0.249977111117893"/>
        <bgColor rgb="FFFFE598"/>
      </patternFill>
    </fill>
    <fill>
      <patternFill patternType="solid">
        <fgColor theme="8" tint="0.39997558519241921"/>
        <bgColor rgb="FFFFE598"/>
      </patternFill>
    </fill>
    <fill>
      <patternFill patternType="solid">
        <fgColor theme="4" tint="0.39997558519241921"/>
        <bgColor rgb="FF4F81BD"/>
      </patternFill>
    </fill>
    <fill>
      <patternFill patternType="solid">
        <fgColor theme="4" tint="0.39997558519241921"/>
        <bgColor indexed="64"/>
      </patternFill>
    </fill>
    <fill>
      <patternFill patternType="solid">
        <fgColor theme="4" tint="0.79998168889431442"/>
        <bgColor rgb="FFFFFFD7"/>
      </patternFill>
    </fill>
    <fill>
      <patternFill patternType="solid">
        <fgColor theme="2"/>
        <bgColor rgb="FFFF99CC"/>
      </patternFill>
    </fill>
    <fill>
      <patternFill patternType="solid">
        <fgColor theme="2"/>
        <bgColor indexed="64"/>
      </patternFill>
    </fill>
    <fill>
      <patternFill patternType="solid">
        <fgColor theme="4" tint="0.39997558519241921"/>
        <bgColor rgb="FFFFFFD7"/>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DD6EE"/>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5B8B7"/>
        <bgColor rgb="FFE5B8B7"/>
      </patternFill>
    </fill>
    <fill>
      <patternFill patternType="solid">
        <fgColor theme="0"/>
        <bgColor theme="0"/>
      </patternFill>
    </fill>
    <fill>
      <patternFill patternType="solid">
        <fgColor rgb="FFFBD4B4"/>
        <bgColor rgb="FFFBD4B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33CC33"/>
        <bgColor indexed="64"/>
      </patternFill>
    </fill>
    <fill>
      <patternFill patternType="solid">
        <fgColor rgb="FFFFFF00"/>
        <bgColor rgb="FFFF99CC"/>
      </patternFill>
    </fill>
    <fill>
      <patternFill patternType="solid">
        <fgColor rgb="FFFFFFFF"/>
        <bgColor indexed="64"/>
      </patternFill>
    </fill>
  </fills>
  <borders count="101">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theme="1"/>
      </left>
      <right/>
      <top style="medium">
        <color theme="1"/>
      </top>
      <bottom style="medium">
        <color theme="1"/>
      </bottom>
      <diagonal/>
    </border>
    <border>
      <left style="medium">
        <color indexed="64"/>
      </left>
      <right/>
      <top style="medium">
        <color theme="1"/>
      </top>
      <bottom style="medium">
        <color theme="1"/>
      </bottom>
      <diagonal/>
    </border>
    <border>
      <left/>
      <right style="medium">
        <color indexed="64"/>
      </right>
      <top style="medium">
        <color theme="1"/>
      </top>
      <bottom style="medium">
        <color theme="1"/>
      </bottom>
      <diagonal/>
    </border>
    <border>
      <left/>
      <right style="thin">
        <color auto="1"/>
      </right>
      <top style="medium">
        <color theme="1"/>
      </top>
      <bottom style="medium">
        <color theme="1"/>
      </bottom>
      <diagonal/>
    </border>
    <border>
      <left style="thin">
        <color auto="1"/>
      </left>
      <right style="medium">
        <color indexed="64"/>
      </right>
      <top style="medium">
        <color theme="1"/>
      </top>
      <bottom style="medium">
        <color theme="1"/>
      </bottom>
      <diagonal/>
    </border>
    <border>
      <left style="thin">
        <color auto="1"/>
      </left>
      <right style="medium">
        <color theme="1"/>
      </right>
      <top style="medium">
        <color theme="1"/>
      </top>
      <bottom style="medium">
        <color theme="1"/>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auto="1"/>
      </left>
      <right style="medium">
        <color indexed="64"/>
      </right>
      <top style="thin">
        <color auto="1"/>
      </top>
      <bottom/>
      <diagonal/>
    </border>
    <border>
      <left/>
      <right style="thin">
        <color indexed="64"/>
      </right>
      <top style="thin">
        <color indexed="64"/>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tint="0.39997558519241921"/>
      </left>
      <right style="thin">
        <color theme="4" tint="0.3999755851924192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theme="1"/>
      </left>
      <right/>
      <top style="medium">
        <color theme="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thin">
        <color theme="4" tint="0.39997558519241921"/>
      </bottom>
      <diagonal/>
    </border>
    <border>
      <left style="medium">
        <color indexed="64"/>
      </left>
      <right/>
      <top style="medium">
        <color indexed="64"/>
      </top>
      <bottom style="medium">
        <color indexed="64"/>
      </bottom>
      <diagonal/>
    </border>
    <border>
      <left/>
      <right style="thin">
        <color theme="4" tint="0.39997558519241921"/>
      </right>
      <top/>
      <bottom style="thin">
        <color theme="4" tint="0.39997558519241921"/>
      </bottom>
      <diagonal/>
    </border>
    <border>
      <left/>
      <right/>
      <top/>
      <bottom style="thin">
        <color rgb="FF9BC2E6"/>
      </bottom>
      <diagonal/>
    </border>
    <border>
      <left/>
      <right style="thin">
        <color theme="4" tint="0.39997558519241921"/>
      </right>
      <top/>
      <bottom style="thin">
        <color rgb="FF9BC2E6"/>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thin">
        <color theme="4"/>
      </left>
      <right/>
      <top style="thin">
        <color theme="4"/>
      </top>
      <bottom style="thin">
        <color theme="4" tint="0.39997558519241921"/>
      </bottom>
      <diagonal/>
    </border>
    <border>
      <left style="thin">
        <color theme="4"/>
      </left>
      <right/>
      <top style="thin">
        <color theme="4" tint="0.39997558519241921"/>
      </top>
      <bottom style="thin">
        <color theme="4" tint="0.3999755851924192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theme="4"/>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thin">
        <color auto="1"/>
      </top>
      <bottom style="thin">
        <color auto="1"/>
      </bottom>
      <diagonal/>
    </border>
    <border>
      <left style="thin">
        <color theme="4"/>
      </left>
      <right/>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style="medium">
        <color indexed="64"/>
      </right>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auto="1"/>
      </right>
      <top style="thin">
        <color indexed="64"/>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thin">
        <color auto="1"/>
      </right>
      <top/>
      <bottom/>
      <diagonal/>
    </border>
    <border>
      <left style="medium">
        <color indexed="64"/>
      </left>
      <right/>
      <top style="medium">
        <color indexed="64"/>
      </top>
      <bottom/>
      <diagonal/>
    </border>
  </borders>
  <cellStyleXfs count="71">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44" fontId="1" fillId="0" borderId="0" applyFont="0" applyFill="0" applyBorder="0" applyAlignment="0" applyProtection="0"/>
    <xf numFmtId="44" fontId="1" fillId="0" borderId="0" applyFont="0" applyFill="0" applyBorder="0" applyAlignment="0" applyProtection="0"/>
    <xf numFmtId="166" fontId="9" fillId="0" borderId="0" applyBorder="0" applyProtection="0"/>
    <xf numFmtId="0" fontId="18" fillId="0" borderId="0" applyNumberFormat="0" applyFill="0" applyBorder="0" applyAlignment="0" applyProtection="0"/>
    <xf numFmtId="0" fontId="19" fillId="0" borderId="50" applyNumberFormat="0" applyFill="0" applyAlignment="0" applyProtection="0"/>
    <xf numFmtId="0" fontId="20" fillId="0" borderId="51" applyNumberFormat="0" applyFill="0" applyAlignment="0" applyProtection="0"/>
    <xf numFmtId="0" fontId="21" fillId="0" borderId="52" applyNumberFormat="0" applyFill="0" applyAlignment="0" applyProtection="0"/>
    <xf numFmtId="0" fontId="21" fillId="0" borderId="0" applyNumberFormat="0" applyFill="0" applyBorder="0" applyAlignment="0" applyProtection="0"/>
    <xf numFmtId="0" fontId="22" fillId="23" borderId="0" applyNumberFormat="0" applyBorder="0" applyAlignment="0" applyProtection="0"/>
    <xf numFmtId="0" fontId="23" fillId="24" borderId="0" applyNumberFormat="0" applyBorder="0" applyAlignment="0" applyProtection="0"/>
    <xf numFmtId="0" fontId="24" fillId="25" borderId="0" applyNumberFormat="0" applyBorder="0" applyAlignment="0" applyProtection="0"/>
    <xf numFmtId="0" fontId="25" fillId="26" borderId="53" applyNumberFormat="0" applyAlignment="0" applyProtection="0"/>
    <xf numFmtId="0" fontId="26" fillId="27" borderId="54" applyNumberFormat="0" applyAlignment="0" applyProtection="0"/>
    <xf numFmtId="0" fontId="27" fillId="27" borderId="53" applyNumberFormat="0" applyAlignment="0" applyProtection="0"/>
    <xf numFmtId="0" fontId="28" fillId="0" borderId="55" applyNumberFormat="0" applyFill="0" applyAlignment="0" applyProtection="0"/>
    <xf numFmtId="0" fontId="2" fillId="28" borderId="56" applyNumberFormat="0" applyAlignment="0" applyProtection="0"/>
    <xf numFmtId="0" fontId="13" fillId="0" borderId="0" applyNumberFormat="0" applyFill="0" applyBorder="0" applyAlignment="0" applyProtection="0"/>
    <xf numFmtId="0" fontId="1" fillId="29" borderId="57" applyNumberFormat="0" applyFont="0" applyAlignment="0" applyProtection="0"/>
    <xf numFmtId="0" fontId="29" fillId="0" borderId="0" applyNumberFormat="0" applyFill="0" applyBorder="0" applyAlignment="0" applyProtection="0"/>
    <xf numFmtId="0" fontId="8" fillId="0" borderId="58" applyNumberFormat="0" applyFill="0" applyAlignment="0" applyProtection="0"/>
    <xf numFmtId="0" fontId="3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0"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0"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0"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0"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5" fillId="0" borderId="0"/>
  </cellStyleXfs>
  <cellXfs count="578">
    <xf numFmtId="0" fontId="0" fillId="0" borderId="0" xfId="0"/>
    <xf numFmtId="0" fontId="2" fillId="2" borderId="2" xfId="0" applyFont="1" applyFill="1" applyBorder="1"/>
    <xf numFmtId="0" fontId="2" fillId="2" borderId="3" xfId="0" applyFont="1" applyFill="1" applyBorder="1"/>
    <xf numFmtId="14" fontId="0" fillId="0" borderId="0" xfId="0" applyNumberFormat="1"/>
    <xf numFmtId="0" fontId="3" fillId="3" borderId="4"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3" fontId="4" fillId="4" borderId="10" xfId="0" applyNumberFormat="1" applyFont="1" applyFill="1" applyBorder="1" applyAlignment="1">
      <alignment horizontal="center" vertical="center"/>
    </xf>
    <xf numFmtId="3" fontId="5" fillId="5" borderId="11" xfId="1" applyNumberFormat="1" applyFont="1" applyFill="1" applyBorder="1" applyAlignment="1" applyProtection="1">
      <alignment horizontal="center" vertical="center"/>
    </xf>
    <xf numFmtId="3" fontId="6" fillId="6" borderId="12" xfId="0" applyNumberFormat="1" applyFont="1" applyFill="1" applyBorder="1" applyAlignment="1">
      <alignment horizontal="center" vertical="center"/>
    </xf>
    <xf numFmtId="164" fontId="6" fillId="5" borderId="13" xfId="0" applyNumberFormat="1" applyFont="1" applyFill="1" applyBorder="1" applyAlignment="1">
      <alignment horizontal="center" vertical="center"/>
    </xf>
    <xf numFmtId="0" fontId="6" fillId="0" borderId="12" xfId="0" applyFont="1" applyBorder="1" applyAlignment="1">
      <alignment horizontal="center" vertical="center"/>
    </xf>
    <xf numFmtId="9" fontId="6" fillId="6" borderId="12" xfId="0" applyNumberFormat="1" applyFont="1" applyFill="1" applyBorder="1" applyAlignment="1">
      <alignment horizontal="center" vertical="center"/>
    </xf>
    <xf numFmtId="4" fontId="5" fillId="5" borderId="11" xfId="1" applyNumberFormat="1" applyFont="1" applyFill="1" applyBorder="1" applyAlignment="1" applyProtection="1">
      <alignment horizontal="center" vertical="center"/>
    </xf>
    <xf numFmtId="4" fontId="5" fillId="7" borderId="11" xfId="1" applyNumberFormat="1" applyFont="1" applyFill="1" applyBorder="1" applyAlignment="1" applyProtection="1">
      <alignment horizontal="center" vertical="center"/>
    </xf>
    <xf numFmtId="9" fontId="6" fillId="6" borderId="12" xfId="2" applyFont="1" applyFill="1" applyBorder="1" applyAlignment="1">
      <alignment horizontal="center" vertical="center"/>
    </xf>
    <xf numFmtId="0" fontId="6" fillId="8" borderId="10" xfId="0" applyFont="1" applyFill="1" applyBorder="1" applyAlignment="1">
      <alignment horizontal="center" vertical="center"/>
    </xf>
    <xf numFmtId="2" fontId="6" fillId="0" borderId="12" xfId="0" applyNumberFormat="1" applyFont="1" applyBorder="1" applyAlignment="1">
      <alignment horizontal="center" vertical="center"/>
    </xf>
    <xf numFmtId="0" fontId="6" fillId="8" borderId="14" xfId="0" applyFont="1" applyFill="1" applyBorder="1" applyAlignment="1">
      <alignment horizontal="center" vertical="center"/>
    </xf>
    <xf numFmtId="164" fontId="6" fillId="9" borderId="13" xfId="0" applyNumberFormat="1" applyFont="1" applyFill="1" applyBorder="1" applyAlignment="1">
      <alignment horizontal="center" vertical="center"/>
    </xf>
    <xf numFmtId="0" fontId="6" fillId="8" borderId="15" xfId="0" applyFont="1" applyFill="1" applyBorder="1" applyAlignment="1">
      <alignment horizontal="center" vertical="center"/>
    </xf>
    <xf numFmtId="3" fontId="5" fillId="5" borderId="16" xfId="1" applyNumberFormat="1" applyFont="1" applyFill="1" applyBorder="1" applyAlignment="1" applyProtection="1">
      <alignment horizontal="center" vertical="center"/>
    </xf>
    <xf numFmtId="3" fontId="6" fillId="6" borderId="17" xfId="0" applyNumberFormat="1" applyFont="1" applyFill="1" applyBorder="1" applyAlignment="1">
      <alignment horizontal="center" vertical="center"/>
    </xf>
    <xf numFmtId="164" fontId="6" fillId="5" borderId="18" xfId="0" applyNumberFormat="1" applyFont="1" applyFill="1" applyBorder="1" applyAlignment="1">
      <alignment horizontal="center" vertical="center"/>
    </xf>
    <xf numFmtId="2" fontId="6" fillId="0" borderId="17" xfId="0" applyNumberFormat="1" applyFont="1" applyBorder="1" applyAlignment="1">
      <alignment horizontal="center" vertical="center"/>
    </xf>
    <xf numFmtId="9" fontId="6" fillId="6" borderId="17" xfId="2" applyFont="1" applyFill="1" applyBorder="1" applyAlignment="1">
      <alignment horizontal="center" vertical="center"/>
    </xf>
    <xf numFmtId="0" fontId="0" fillId="0" borderId="21" xfId="0" applyBorder="1"/>
    <xf numFmtId="0" fontId="2" fillId="2" borderId="1" xfId="0" applyFont="1" applyFill="1" applyBorder="1"/>
    <xf numFmtId="0" fontId="2" fillId="2" borderId="0" xfId="0" applyFont="1" applyFill="1"/>
    <xf numFmtId="0" fontId="2" fillId="2" borderId="22" xfId="0" applyFont="1" applyFill="1" applyBorder="1"/>
    <xf numFmtId="0" fontId="10" fillId="10" borderId="23" xfId="3" applyFont="1" applyFill="1" applyBorder="1" applyAlignment="1">
      <alignment horizontal="center"/>
    </xf>
    <xf numFmtId="0" fontId="8" fillId="0" borderId="0" xfId="0" applyFont="1"/>
    <xf numFmtId="0" fontId="3" fillId="3" borderId="25"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27" xfId="0" applyFont="1" applyFill="1" applyBorder="1" applyAlignment="1">
      <alignment horizontal="center" vertical="center"/>
    </xf>
    <xf numFmtId="0" fontId="3" fillId="3" borderId="28" xfId="0" applyFont="1" applyFill="1" applyBorder="1" applyAlignment="1">
      <alignment horizontal="center" vertical="center"/>
    </xf>
    <xf numFmtId="0" fontId="4" fillId="11" borderId="0" xfId="1" applyNumberFormat="1" applyFont="1" applyFill="1" applyBorder="1" applyAlignment="1" applyProtection="1">
      <alignment horizontal="center" vertical="center"/>
    </xf>
    <xf numFmtId="0" fontId="0" fillId="6" borderId="0" xfId="0" applyFill="1"/>
    <xf numFmtId="0" fontId="12" fillId="12" borderId="0" xfId="3" applyFont="1" applyFill="1" applyAlignment="1">
      <alignment vertical="center"/>
    </xf>
    <xf numFmtId="3" fontId="0" fillId="13" borderId="0" xfId="0" applyNumberFormat="1" applyFill="1" applyAlignment="1">
      <alignment horizontal="center" vertical="center" wrapText="1"/>
    </xf>
    <xf numFmtId="0" fontId="2" fillId="2" borderId="31" xfId="0" applyFont="1" applyFill="1" applyBorder="1"/>
    <xf numFmtId="0" fontId="2" fillId="2" borderId="33" xfId="0" applyFont="1" applyFill="1" applyBorder="1"/>
    <xf numFmtId="0" fontId="2" fillId="2" borderId="34" xfId="0" applyFont="1" applyFill="1" applyBorder="1"/>
    <xf numFmtId="0" fontId="2" fillId="2" borderId="35" xfId="0" applyFont="1" applyFill="1" applyBorder="1"/>
    <xf numFmtId="3" fontId="0" fillId="0" borderId="0" xfId="0" applyNumberFormat="1"/>
    <xf numFmtId="0" fontId="3" fillId="3" borderId="0" xfId="0" applyFont="1" applyFill="1" applyAlignment="1">
      <alignment horizontal="center" vertical="center"/>
    </xf>
    <xf numFmtId="0" fontId="8" fillId="0" borderId="0" xfId="0" applyFont="1" applyAlignment="1">
      <alignment horizontal="center" wrapText="1"/>
    </xf>
    <xf numFmtId="0" fontId="2" fillId="0" borderId="0" xfId="0" applyFont="1"/>
    <xf numFmtId="165" fontId="9" fillId="14" borderId="0" xfId="3" applyNumberFormat="1" applyFill="1"/>
    <xf numFmtId="167" fontId="0" fillId="14" borderId="23" xfId="6" applyNumberFormat="1" applyFont="1" applyFill="1" applyBorder="1" applyProtection="1"/>
    <xf numFmtId="165" fontId="0" fillId="0" borderId="0" xfId="0" applyNumberFormat="1"/>
    <xf numFmtId="168" fontId="0" fillId="0" borderId="0" xfId="0" applyNumberFormat="1"/>
    <xf numFmtId="9" fontId="0" fillId="0" borderId="0" xfId="2" applyFont="1"/>
    <xf numFmtId="0" fontId="0" fillId="6" borderId="0" xfId="0" applyFill="1" applyAlignment="1">
      <alignment horizontal="right"/>
    </xf>
    <xf numFmtId="14" fontId="7" fillId="0" borderId="0" xfId="0" applyNumberFormat="1" applyFont="1"/>
    <xf numFmtId="0" fontId="7" fillId="0" borderId="0" xfId="0" applyFont="1"/>
    <xf numFmtId="0" fontId="2" fillId="2" borderId="36" xfId="0" applyFont="1" applyFill="1" applyBorder="1"/>
    <xf numFmtId="0" fontId="2" fillId="2" borderId="37" xfId="0" applyFont="1" applyFill="1" applyBorder="1"/>
    <xf numFmtId="0" fontId="2" fillId="2" borderId="38" xfId="0" applyFont="1" applyFill="1" applyBorder="1"/>
    <xf numFmtId="0" fontId="14" fillId="15" borderId="23" xfId="0" applyFont="1" applyFill="1" applyBorder="1" applyAlignment="1">
      <alignment horizontal="center" vertical="center" wrapText="1"/>
    </xf>
    <xf numFmtId="0" fontId="0" fillId="0" borderId="23" xfId="0" quotePrefix="1" applyBorder="1" applyAlignment="1">
      <alignment horizontal="center" vertical="center"/>
    </xf>
    <xf numFmtId="164" fontId="0" fillId="0" borderId="23" xfId="0" quotePrefix="1" applyNumberFormat="1" applyBorder="1" applyAlignment="1">
      <alignment horizontal="center" vertical="center"/>
    </xf>
    <xf numFmtId="0" fontId="0" fillId="5" borderId="13" xfId="0" applyFill="1" applyBorder="1" applyAlignment="1">
      <alignment horizontal="center" vertical="center"/>
    </xf>
    <xf numFmtId="1" fontId="0" fillId="0" borderId="23" xfId="0" applyNumberFormat="1" applyBorder="1" applyAlignment="1">
      <alignment horizontal="center" vertical="center"/>
    </xf>
    <xf numFmtId="0" fontId="14" fillId="15" borderId="23" xfId="0" applyFont="1" applyFill="1" applyBorder="1" applyAlignment="1">
      <alignment vertical="center" wrapText="1"/>
    </xf>
    <xf numFmtId="0" fontId="0" fillId="5" borderId="43" xfId="0" applyFill="1" applyBorder="1" applyAlignment="1">
      <alignment horizontal="center" vertical="center"/>
    </xf>
    <xf numFmtId="0" fontId="0" fillId="0" borderId="40" xfId="0" quotePrefix="1" applyBorder="1" applyAlignment="1">
      <alignment horizontal="center" vertical="center"/>
    </xf>
    <xf numFmtId="1" fontId="0" fillId="0" borderId="40" xfId="0" applyNumberFormat="1" applyBorder="1" applyAlignment="1">
      <alignment horizontal="center" vertical="center"/>
    </xf>
    <xf numFmtId="164" fontId="0" fillId="0" borderId="40" xfId="0" quotePrefix="1" applyNumberFormat="1" applyBorder="1" applyAlignment="1">
      <alignment horizontal="center" vertical="center"/>
    </xf>
    <xf numFmtId="0" fontId="0" fillId="6" borderId="0" xfId="0" applyFill="1" applyAlignment="1">
      <alignment vertical="top" wrapText="1"/>
    </xf>
    <xf numFmtId="0" fontId="12" fillId="17" borderId="16" xfId="3" applyFont="1" applyFill="1" applyBorder="1" applyAlignment="1">
      <alignment horizontal="center" vertical="center"/>
    </xf>
    <xf numFmtId="0" fontId="12" fillId="17" borderId="44" xfId="3" applyFont="1" applyFill="1" applyBorder="1" applyAlignment="1">
      <alignment horizontal="center" vertical="center"/>
    </xf>
    <xf numFmtId="0" fontId="16" fillId="6" borderId="0" xfId="0" applyFont="1" applyFill="1"/>
    <xf numFmtId="0" fontId="8" fillId="6" borderId="0" xfId="0" applyFont="1" applyFill="1"/>
    <xf numFmtId="0" fontId="11" fillId="6" borderId="0" xfId="0" applyFont="1" applyFill="1"/>
    <xf numFmtId="0" fontId="3" fillId="18" borderId="45" xfId="0" applyFont="1" applyFill="1" applyBorder="1" applyAlignment="1">
      <alignment horizontal="center" vertical="center"/>
    </xf>
    <xf numFmtId="0" fontId="8" fillId="0" borderId="0" xfId="0" applyFont="1" applyAlignment="1">
      <alignment horizontal="right"/>
    </xf>
    <xf numFmtId="169" fontId="0" fillId="0" borderId="0" xfId="4" applyNumberFormat="1" applyFont="1"/>
    <xf numFmtId="0" fontId="6" fillId="6" borderId="0" xfId="0" applyFont="1" applyFill="1"/>
    <xf numFmtId="170" fontId="0" fillId="0" borderId="0" xfId="0" applyNumberFormat="1"/>
    <xf numFmtId="2" fontId="0" fillId="0" borderId="0" xfId="0" applyNumberFormat="1"/>
    <xf numFmtId="0" fontId="0" fillId="0" borderId="0" xfId="0" quotePrefix="1" applyAlignment="1">
      <alignment wrapText="1"/>
    </xf>
    <xf numFmtId="164" fontId="6" fillId="9" borderId="18" xfId="0" applyNumberFormat="1" applyFont="1" applyFill="1" applyBorder="1" applyAlignment="1">
      <alignment horizontal="center" vertical="center"/>
    </xf>
    <xf numFmtId="0" fontId="0" fillId="0" borderId="0" xfId="0" applyAlignment="1">
      <alignment wrapText="1"/>
    </xf>
    <xf numFmtId="0" fontId="2" fillId="2" borderId="1" xfId="0" applyFont="1" applyFill="1" applyBorder="1" applyProtection="1">
      <protection locked="0"/>
    </xf>
    <xf numFmtId="0" fontId="2" fillId="2" borderId="2" xfId="0" applyFont="1" applyFill="1" applyBorder="1" applyProtection="1">
      <protection locked="0"/>
    </xf>
    <xf numFmtId="14" fontId="2" fillId="0" borderId="0" xfId="0" applyNumberFormat="1" applyFont="1" applyProtection="1">
      <protection locked="0"/>
    </xf>
    <xf numFmtId="14" fontId="0" fillId="0" borderId="0" xfId="0" applyNumberFormat="1" applyProtection="1">
      <protection locked="0"/>
    </xf>
    <xf numFmtId="0" fontId="0" fillId="0" borderId="0" xfId="0" applyAlignment="1">
      <alignment horizontal="left"/>
    </xf>
    <xf numFmtId="171" fontId="0" fillId="0" borderId="0" xfId="1" quotePrefix="1" applyNumberFormat="1" applyFont="1" applyAlignment="1">
      <alignment horizontal="center"/>
    </xf>
    <xf numFmtId="0" fontId="32" fillId="54" borderId="0" xfId="0" applyFont="1" applyFill="1" applyAlignment="1">
      <alignment horizontal="center" vertical="center" wrapText="1"/>
    </xf>
    <xf numFmtId="0" fontId="31" fillId="0" borderId="59" xfId="0" applyFont="1" applyBorder="1" applyAlignment="1">
      <alignment horizontal="center" vertical="center" wrapText="1"/>
    </xf>
    <xf numFmtId="0" fontId="0" fillId="0" borderId="0" xfId="0" applyAlignment="1">
      <alignment horizontal="center"/>
    </xf>
    <xf numFmtId="0" fontId="0" fillId="55" borderId="61" xfId="0" applyFill="1" applyBorder="1"/>
    <xf numFmtId="0" fontId="0" fillId="0" borderId="61" xfId="0" applyBorder="1"/>
    <xf numFmtId="0" fontId="0" fillId="55" borderId="62" xfId="0" applyFill="1" applyBorder="1"/>
    <xf numFmtId="0" fontId="0" fillId="0" borderId="62" xfId="0" applyBorder="1"/>
    <xf numFmtId="0" fontId="3" fillId="18" borderId="63" xfId="0" applyFont="1" applyFill="1" applyBorder="1" applyAlignment="1">
      <alignment horizontal="center" vertical="center"/>
    </xf>
    <xf numFmtId="0" fontId="3" fillId="18" borderId="64" xfId="0" applyFont="1" applyFill="1" applyBorder="1" applyAlignment="1">
      <alignment horizontal="center" vertical="center"/>
    </xf>
    <xf numFmtId="3" fontId="17" fillId="22" borderId="65" xfId="0" applyNumberFormat="1" applyFont="1" applyFill="1" applyBorder="1" applyAlignment="1">
      <alignment horizontal="center" vertical="center" wrapText="1"/>
    </xf>
    <xf numFmtId="172" fontId="0" fillId="0" borderId="0" xfId="0" applyNumberFormat="1"/>
    <xf numFmtId="2" fontId="0" fillId="6" borderId="0" xfId="0" applyNumberFormat="1" applyFill="1"/>
    <xf numFmtId="0" fontId="3" fillId="3" borderId="5" xfId="0" applyFont="1" applyFill="1" applyBorder="1" applyAlignment="1">
      <alignment vertical="center" wrapText="1"/>
    </xf>
    <xf numFmtId="0" fontId="3" fillId="3" borderId="6" xfId="0" applyFont="1" applyFill="1" applyBorder="1" applyAlignment="1">
      <alignment vertical="center" wrapText="1"/>
    </xf>
    <xf numFmtId="0" fontId="3" fillId="6" borderId="0" xfId="0" applyFont="1" applyFill="1"/>
    <xf numFmtId="0" fontId="3" fillId="6" borderId="0" xfId="0" applyFont="1" applyFill="1" applyAlignment="1">
      <alignment horizontal="right"/>
    </xf>
    <xf numFmtId="0" fontId="35" fillId="6" borderId="0" xfId="0" applyFont="1" applyFill="1"/>
    <xf numFmtId="0" fontId="13" fillId="6" borderId="0" xfId="0" applyFont="1" applyFill="1" applyAlignment="1">
      <alignment vertical="top" wrapText="1"/>
    </xf>
    <xf numFmtId="0" fontId="8" fillId="6" borderId="0" xfId="0" applyFont="1" applyFill="1" applyAlignment="1">
      <alignment horizontal="right"/>
    </xf>
    <xf numFmtId="0" fontId="0" fillId="6" borderId="0" xfId="0" applyFill="1" applyAlignment="1">
      <alignment horizontal="left"/>
    </xf>
    <xf numFmtId="3" fontId="0" fillId="5" borderId="26" xfId="0" applyNumberFormat="1" applyFill="1" applyBorder="1" applyAlignment="1">
      <alignment horizontal="center"/>
    </xf>
    <xf numFmtId="3" fontId="0" fillId="5" borderId="27" xfId="0" applyNumberFormat="1" applyFill="1" applyBorder="1" applyAlignment="1">
      <alignment horizontal="center"/>
    </xf>
    <xf numFmtId="3" fontId="0" fillId="5" borderId="11" xfId="0" applyNumberFormat="1" applyFill="1" applyBorder="1" applyAlignment="1">
      <alignment horizontal="center"/>
    </xf>
    <xf numFmtId="3" fontId="0" fillId="5" borderId="23" xfId="0" applyNumberFormat="1" applyFill="1" applyBorder="1" applyAlignment="1">
      <alignment horizontal="center"/>
    </xf>
    <xf numFmtId="3" fontId="0" fillId="5" borderId="29" xfId="0" applyNumberFormat="1" applyFill="1" applyBorder="1" applyAlignment="1">
      <alignment horizontal="center"/>
    </xf>
    <xf numFmtId="3" fontId="0" fillId="5" borderId="0" xfId="0" applyNumberFormat="1" applyFill="1" applyAlignment="1">
      <alignment horizontal="center"/>
    </xf>
    <xf numFmtId="9" fontId="0" fillId="0" borderId="0" xfId="0" applyNumberFormat="1"/>
    <xf numFmtId="0" fontId="34" fillId="6" borderId="0" xfId="0" applyFont="1" applyFill="1" applyAlignment="1">
      <alignment vertical="center" wrapText="1"/>
    </xf>
    <xf numFmtId="0" fontId="8" fillId="6" borderId="0" xfId="0" applyFont="1" applyFill="1" applyAlignment="1">
      <alignment horizontal="left"/>
    </xf>
    <xf numFmtId="0" fontId="0" fillId="0" borderId="0" xfId="0" applyAlignment="1">
      <alignment horizontal="right"/>
    </xf>
    <xf numFmtId="1" fontId="0" fillId="0" borderId="0" xfId="0" applyNumberFormat="1"/>
    <xf numFmtId="3" fontId="4" fillId="19" borderId="10" xfId="0" applyNumberFormat="1" applyFont="1" applyFill="1" applyBorder="1" applyAlignment="1">
      <alignment horizontal="center" vertical="center"/>
    </xf>
    <xf numFmtId="3" fontId="4" fillId="19" borderId="30" xfId="0" applyNumberFormat="1" applyFont="1" applyFill="1" applyBorder="1" applyAlignment="1">
      <alignment horizontal="center" vertical="center"/>
    </xf>
    <xf numFmtId="0" fontId="13" fillId="6" borderId="0" xfId="0" applyFont="1" applyFill="1" applyAlignment="1">
      <alignment wrapText="1"/>
    </xf>
    <xf numFmtId="0" fontId="13" fillId="0" borderId="0" xfId="0" applyFont="1" applyAlignment="1">
      <alignment wrapText="1"/>
    </xf>
    <xf numFmtId="0" fontId="0" fillId="0" borderId="68" xfId="0" applyBorder="1"/>
    <xf numFmtId="44" fontId="0" fillId="0" borderId="0" xfId="4" applyFont="1"/>
    <xf numFmtId="44" fontId="2" fillId="2" borderId="3" xfId="4" applyFont="1" applyFill="1" applyBorder="1" applyProtection="1">
      <protection locked="0"/>
    </xf>
    <xf numFmtId="44" fontId="2" fillId="0" borderId="0" xfId="4" applyFont="1" applyProtection="1">
      <protection locked="0"/>
    </xf>
    <xf numFmtId="171" fontId="2" fillId="0" borderId="0" xfId="1" applyNumberFormat="1" applyFont="1" applyProtection="1">
      <protection locked="0"/>
    </xf>
    <xf numFmtId="171" fontId="0" fillId="0" borderId="0" xfId="1" applyNumberFormat="1" applyFont="1"/>
    <xf numFmtId="171" fontId="2" fillId="2" borderId="37" xfId="1" applyNumberFormat="1" applyFont="1" applyFill="1" applyBorder="1"/>
    <xf numFmtId="0" fontId="0" fillId="56" borderId="69" xfId="0" applyFill="1" applyBorder="1" applyAlignment="1">
      <alignment horizontal="center" vertical="center" wrapText="1"/>
    </xf>
    <xf numFmtId="0" fontId="0" fillId="56" borderId="32" xfId="0" applyFill="1" applyBorder="1" applyAlignment="1">
      <alignment horizontal="center" vertical="center" wrapText="1"/>
    </xf>
    <xf numFmtId="0" fontId="0" fillId="57" borderId="65" xfId="0" applyFill="1" applyBorder="1" applyAlignment="1">
      <alignment horizontal="center" vertical="center" wrapText="1"/>
    </xf>
    <xf numFmtId="0" fontId="0" fillId="57" borderId="70" xfId="0" applyFill="1" applyBorder="1" applyAlignment="1">
      <alignment horizontal="center" vertical="center" wrapText="1"/>
    </xf>
    <xf numFmtId="0" fontId="0" fillId="57" borderId="71" xfId="0" applyFill="1" applyBorder="1" applyAlignment="1">
      <alignment horizontal="center" vertical="center" wrapText="1"/>
    </xf>
    <xf numFmtId="0" fontId="0" fillId="58" borderId="70" xfId="0" applyFill="1" applyBorder="1" applyAlignment="1">
      <alignment horizontal="center" vertical="center" wrapText="1"/>
    </xf>
    <xf numFmtId="0" fontId="0" fillId="58" borderId="71" xfId="0" applyFill="1" applyBorder="1" applyAlignment="1">
      <alignment horizontal="center" vertical="center" wrapText="1"/>
    </xf>
    <xf numFmtId="0" fontId="0" fillId="6" borderId="0" xfId="0" applyFill="1" applyAlignment="1">
      <alignment horizontal="center" vertical="center" wrapText="1"/>
    </xf>
    <xf numFmtId="0" fontId="0" fillId="57" borderId="72" xfId="0" applyFill="1" applyBorder="1" applyAlignment="1">
      <alignment horizontal="center" vertical="center" wrapText="1"/>
    </xf>
    <xf numFmtId="0" fontId="0" fillId="57" borderId="73" xfId="0" applyFill="1" applyBorder="1" applyAlignment="1">
      <alignment horizontal="center" vertical="center" wrapText="1"/>
    </xf>
    <xf numFmtId="44" fontId="2" fillId="2" borderId="38" xfId="4" applyFont="1" applyFill="1" applyBorder="1"/>
    <xf numFmtId="173" fontId="0" fillId="0" borderId="0" xfId="0" applyNumberFormat="1"/>
    <xf numFmtId="174" fontId="0" fillId="0" borderId="0" xfId="0" applyNumberFormat="1"/>
    <xf numFmtId="175" fontId="0" fillId="0" borderId="0" xfId="0" applyNumberFormat="1"/>
    <xf numFmtId="0" fontId="0" fillId="6" borderId="23" xfId="0" applyFill="1" applyBorder="1" applyAlignment="1">
      <alignment horizontal="center"/>
    </xf>
    <xf numFmtId="16" fontId="0" fillId="0" borderId="0" xfId="0" applyNumberFormat="1"/>
    <xf numFmtId="0" fontId="11" fillId="0" borderId="0" xfId="0" applyFont="1"/>
    <xf numFmtId="0" fontId="8" fillId="0" borderId="0" xfId="0" applyFont="1" applyAlignment="1">
      <alignment horizontal="left"/>
    </xf>
    <xf numFmtId="0" fontId="0" fillId="0" borderId="0" xfId="0" applyAlignment="1">
      <alignment vertical="center"/>
    </xf>
    <xf numFmtId="0" fontId="13" fillId="6" borderId="0" xfId="0" applyFont="1" applyFill="1" applyAlignment="1">
      <alignment vertical="top"/>
    </xf>
    <xf numFmtId="0" fontId="0" fillId="6" borderId="0" xfId="0" applyFill="1" applyAlignment="1">
      <alignment vertical="top"/>
    </xf>
    <xf numFmtId="0" fontId="41" fillId="0" borderId="0" xfId="0" applyFont="1"/>
    <xf numFmtId="0" fontId="16" fillId="6" borderId="23" xfId="0" applyFont="1" applyFill="1" applyBorder="1" applyAlignment="1">
      <alignment vertical="top" wrapText="1"/>
    </xf>
    <xf numFmtId="0" fontId="16" fillId="6" borderId="0" xfId="0" applyFont="1" applyFill="1" applyAlignment="1">
      <alignment vertical="top" wrapText="1"/>
    </xf>
    <xf numFmtId="0" fontId="42" fillId="6" borderId="0" xfId="0" applyFont="1" applyFill="1" applyAlignment="1">
      <alignment horizontal="left" vertical="top"/>
    </xf>
    <xf numFmtId="0" fontId="12" fillId="17" borderId="41" xfId="3" applyFont="1" applyFill="1" applyBorder="1" applyAlignment="1">
      <alignment horizontal="center" vertical="center"/>
    </xf>
    <xf numFmtId="0" fontId="12" fillId="17" borderId="17" xfId="3" applyFont="1" applyFill="1" applyBorder="1" applyAlignment="1">
      <alignment horizontal="center" vertical="center"/>
    </xf>
    <xf numFmtId="0" fontId="0" fillId="0" borderId="75" xfId="0" applyBorder="1"/>
    <xf numFmtId="0" fontId="3" fillId="18" borderId="76" xfId="0" applyFont="1" applyFill="1" applyBorder="1" applyAlignment="1">
      <alignment horizontal="center" vertical="center" wrapText="1"/>
    </xf>
    <xf numFmtId="0" fontId="3" fillId="18" borderId="71" xfId="0" applyFont="1" applyFill="1" applyBorder="1" applyAlignment="1">
      <alignment horizontal="center" vertical="center" wrapText="1"/>
    </xf>
    <xf numFmtId="0" fontId="43" fillId="0" borderId="0" xfId="57"/>
    <xf numFmtId="0" fontId="44" fillId="0" borderId="0" xfId="0" applyFont="1"/>
    <xf numFmtId="0" fontId="13" fillId="0" borderId="0" xfId="0" applyFont="1"/>
    <xf numFmtId="0" fontId="36" fillId="0" borderId="0" xfId="0" applyFont="1" applyAlignment="1">
      <alignment wrapText="1"/>
    </xf>
    <xf numFmtId="3" fontId="0" fillId="58" borderId="0" xfId="0" applyNumberFormat="1" applyFill="1" applyAlignment="1">
      <alignment horizontal="center"/>
    </xf>
    <xf numFmtId="0" fontId="12" fillId="17" borderId="46" xfId="3" applyFont="1" applyFill="1" applyBorder="1" applyAlignment="1">
      <alignment horizontal="center" vertical="center" wrapText="1"/>
    </xf>
    <xf numFmtId="0" fontId="12" fillId="17" borderId="15" xfId="3" applyFont="1" applyFill="1" applyBorder="1" applyAlignment="1">
      <alignment horizontal="center" vertical="center"/>
    </xf>
    <xf numFmtId="3" fontId="0" fillId="13" borderId="11" xfId="0" applyNumberFormat="1" applyFill="1" applyBorder="1" applyAlignment="1">
      <alignment horizontal="center" vertical="center" wrapText="1"/>
    </xf>
    <xf numFmtId="0" fontId="45" fillId="6" borderId="0" xfId="0" applyFont="1" applyFill="1"/>
    <xf numFmtId="0" fontId="46" fillId="0" borderId="0" xfId="0" applyFont="1" applyAlignment="1">
      <alignment horizontal="center"/>
    </xf>
    <xf numFmtId="0" fontId="46" fillId="58" borderId="65" xfId="0" applyFont="1" applyFill="1" applyBorder="1" applyAlignment="1">
      <alignment horizontal="center" vertical="center" wrapText="1"/>
    </xf>
    <xf numFmtId="0" fontId="47" fillId="58" borderId="70" xfId="0" applyFont="1" applyFill="1" applyBorder="1" applyAlignment="1">
      <alignment horizontal="center" vertical="center" wrapText="1"/>
    </xf>
    <xf numFmtId="176" fontId="0" fillId="0" borderId="0" xfId="0" applyNumberFormat="1"/>
    <xf numFmtId="0" fontId="47" fillId="0" borderId="0" xfId="0" applyFont="1"/>
    <xf numFmtId="177" fontId="0" fillId="0" borderId="0" xfId="0" applyNumberFormat="1"/>
    <xf numFmtId="0" fontId="3" fillId="18" borderId="23" xfId="0" applyFont="1" applyFill="1" applyBorder="1" applyAlignment="1">
      <alignment horizontal="center" vertical="center"/>
    </xf>
    <xf numFmtId="0" fontId="33" fillId="6" borderId="0" xfId="0" applyFont="1" applyFill="1"/>
    <xf numFmtId="0" fontId="0" fillId="0" borderId="0" xfId="0" pivotButton="1"/>
    <xf numFmtId="0" fontId="0" fillId="0" borderId="0" xfId="0" applyAlignment="1">
      <alignment horizontal="left" indent="1"/>
    </xf>
    <xf numFmtId="3" fontId="0" fillId="20" borderId="26" xfId="0" applyNumberFormat="1" applyFill="1" applyBorder="1" applyAlignment="1">
      <alignment horizontal="center" vertical="center" wrapText="1"/>
    </xf>
    <xf numFmtId="3" fontId="0" fillId="20" borderId="27" xfId="0" applyNumberFormat="1" applyFill="1" applyBorder="1" applyAlignment="1">
      <alignment horizontal="center" vertical="center" wrapText="1"/>
    </xf>
    <xf numFmtId="178" fontId="0" fillId="0" borderId="0" xfId="2" applyNumberFormat="1" applyFont="1"/>
    <xf numFmtId="43" fontId="0" fillId="0" borderId="0" xfId="1" applyFont="1"/>
    <xf numFmtId="3" fontId="0" fillId="6" borderId="79" xfId="0" applyNumberFormat="1" applyFill="1" applyBorder="1" applyAlignment="1">
      <alignment horizontal="left"/>
    </xf>
    <xf numFmtId="3" fontId="0" fillId="6" borderId="0" xfId="0" applyNumberFormat="1" applyFill="1" applyAlignment="1">
      <alignment horizontal="left"/>
    </xf>
    <xf numFmtId="0" fontId="2" fillId="2" borderId="80" xfId="0" applyFont="1" applyFill="1" applyBorder="1"/>
    <xf numFmtId="171" fontId="7" fillId="0" borderId="20" xfId="0" applyNumberFormat="1" applyFont="1" applyBorder="1"/>
    <xf numFmtId="0" fontId="33" fillId="6" borderId="0" xfId="0" applyFont="1" applyFill="1" applyAlignment="1">
      <alignment vertical="center" wrapText="1"/>
    </xf>
    <xf numFmtId="0" fontId="2" fillId="2" borderId="34" xfId="0" applyFont="1" applyFill="1" applyBorder="1" applyProtection="1">
      <protection locked="0"/>
    </xf>
    <xf numFmtId="0" fontId="0" fillId="6" borderId="0" xfId="0" applyFill="1" applyProtection="1">
      <protection locked="0"/>
    </xf>
    <xf numFmtId="0" fontId="0" fillId="0" borderId="0" xfId="0" applyProtection="1">
      <protection locked="0"/>
    </xf>
    <xf numFmtId="171" fontId="7" fillId="0" borderId="0" xfId="1" applyNumberFormat="1" applyFont="1" applyProtection="1">
      <protection locked="0"/>
    </xf>
    <xf numFmtId="44" fontId="0" fillId="0" borderId="0" xfId="4" applyFont="1" applyProtection="1">
      <protection locked="0"/>
    </xf>
    <xf numFmtId="171" fontId="0" fillId="0" borderId="0" xfId="1" applyNumberFormat="1" applyFont="1" applyProtection="1">
      <protection locked="0"/>
    </xf>
    <xf numFmtId="171" fontId="0" fillId="0" borderId="0" xfId="1" applyNumberFormat="1" applyFont="1" applyAlignment="1" applyProtection="1">
      <alignment horizontal="right" vertical="center"/>
      <protection locked="0"/>
    </xf>
    <xf numFmtId="44" fontId="0" fillId="0" borderId="0" xfId="4" applyFont="1" applyBorder="1" applyAlignment="1" applyProtection="1">
      <alignment horizontal="center"/>
      <protection locked="0"/>
    </xf>
    <xf numFmtId="171" fontId="0" fillId="0" borderId="0" xfId="1" applyNumberFormat="1" applyFont="1" applyAlignment="1" applyProtection="1">
      <alignment horizontal="right"/>
      <protection locked="0"/>
    </xf>
    <xf numFmtId="44" fontId="0" fillId="0" borderId="0" xfId="4" applyFont="1" applyFill="1" applyBorder="1" applyAlignment="1" applyProtection="1">
      <alignment horizontal="center"/>
      <protection locked="0"/>
    </xf>
    <xf numFmtId="0" fontId="13" fillId="0" borderId="0" xfId="0" applyFont="1" applyAlignment="1" applyProtection="1">
      <alignment wrapText="1"/>
      <protection locked="0"/>
    </xf>
    <xf numFmtId="8" fontId="0" fillId="0" borderId="0" xfId="4" applyNumberFormat="1" applyFont="1" applyBorder="1" applyAlignment="1" applyProtection="1">
      <alignment horizontal="center"/>
      <protection locked="0"/>
    </xf>
    <xf numFmtId="0" fontId="16" fillId="0" borderId="0" xfId="0" applyFont="1" applyProtection="1">
      <protection locked="0"/>
    </xf>
    <xf numFmtId="0" fontId="33" fillId="0" borderId="0" xfId="0" applyFont="1" applyAlignment="1" applyProtection="1">
      <alignment wrapText="1"/>
      <protection locked="0"/>
    </xf>
    <xf numFmtId="0" fontId="33" fillId="0" borderId="0" xfId="0" applyFont="1" applyProtection="1">
      <protection locked="0"/>
    </xf>
    <xf numFmtId="44" fontId="7" fillId="0" borderId="0" xfId="4" applyFont="1" applyProtection="1">
      <protection locked="0"/>
    </xf>
    <xf numFmtId="1" fontId="0" fillId="0" borderId="0" xfId="0" applyNumberFormat="1" applyProtection="1">
      <protection locked="0"/>
    </xf>
    <xf numFmtId="169" fontId="7" fillId="0" borderId="0" xfId="4" applyNumberFormat="1" applyFont="1" applyProtection="1">
      <protection locked="0"/>
    </xf>
    <xf numFmtId="1" fontId="7" fillId="0" borderId="0" xfId="0" applyNumberFormat="1" applyFont="1" applyProtection="1">
      <protection locked="0"/>
    </xf>
    <xf numFmtId="171" fontId="7" fillId="0" borderId="0" xfId="0" applyNumberFormat="1" applyFont="1"/>
    <xf numFmtId="0" fontId="0" fillId="5" borderId="0" xfId="0" applyFill="1" applyAlignment="1">
      <alignment horizontal="left" vertical="center"/>
    </xf>
    <xf numFmtId="1" fontId="0" fillId="0" borderId="0" xfId="0" applyNumberFormat="1" applyAlignment="1">
      <alignment horizontal="center" vertical="center"/>
    </xf>
    <xf numFmtId="3" fontId="0" fillId="6" borderId="0" xfId="0" applyNumberFormat="1" applyFill="1" applyProtection="1">
      <protection locked="0"/>
    </xf>
    <xf numFmtId="0" fontId="6" fillId="6" borderId="0" xfId="0" applyFont="1" applyFill="1" applyAlignment="1" applyProtection="1">
      <alignment wrapText="1"/>
      <protection locked="0"/>
    </xf>
    <xf numFmtId="179" fontId="0" fillId="0" borderId="0" xfId="1" applyNumberFormat="1" applyFont="1" applyFill="1" applyProtection="1"/>
    <xf numFmtId="0" fontId="16" fillId="6" borderId="0" xfId="0" applyFont="1" applyFill="1" applyProtection="1">
      <protection locked="0"/>
    </xf>
    <xf numFmtId="0" fontId="49" fillId="6" borderId="0" xfId="0" applyFont="1" applyFill="1" applyProtection="1">
      <protection locked="0"/>
    </xf>
    <xf numFmtId="0" fontId="49" fillId="6" borderId="0" xfId="0" applyFont="1" applyFill="1" applyAlignment="1" applyProtection="1">
      <alignment wrapText="1"/>
      <protection locked="0"/>
    </xf>
    <xf numFmtId="179" fontId="16" fillId="0" borderId="0" xfId="1" applyNumberFormat="1" applyFont="1" applyFill="1" applyProtection="1"/>
    <xf numFmtId="179" fontId="49" fillId="0" borderId="0" xfId="1" applyNumberFormat="1" applyFont="1" applyFill="1" applyAlignment="1" applyProtection="1">
      <alignment wrapText="1"/>
    </xf>
    <xf numFmtId="179" fontId="49" fillId="0" borderId="0" xfId="1" applyNumberFormat="1" applyFont="1" applyFill="1" applyAlignment="1" applyProtection="1"/>
    <xf numFmtId="179" fontId="0" fillId="0" borderId="0" xfId="0" applyNumberFormat="1"/>
    <xf numFmtId="0" fontId="3" fillId="18" borderId="23" xfId="0" applyFont="1" applyFill="1" applyBorder="1" applyAlignment="1">
      <alignment vertical="center"/>
    </xf>
    <xf numFmtId="0" fontId="0" fillId="6" borderId="0" xfId="0" applyFill="1" applyAlignment="1" applyProtection="1">
      <alignment horizontal="center"/>
      <protection locked="0"/>
    </xf>
    <xf numFmtId="0" fontId="16" fillId="0" borderId="0" xfId="0" applyFont="1"/>
    <xf numFmtId="179" fontId="0" fillId="0" borderId="0" xfId="1" applyNumberFormat="1" applyFont="1" applyFill="1" applyAlignment="1" applyProtection="1"/>
    <xf numFmtId="171" fontId="0" fillId="0" borderId="0" xfId="1" applyNumberFormat="1" applyFont="1" applyAlignment="1" applyProtection="1">
      <protection locked="0"/>
    </xf>
    <xf numFmtId="44" fontId="0" fillId="0" borderId="0" xfId="4" applyFont="1" applyAlignment="1" applyProtection="1">
      <protection locked="0"/>
    </xf>
    <xf numFmtId="171" fontId="0" fillId="0" borderId="0" xfId="1" applyNumberFormat="1" applyFont="1" applyAlignment="1"/>
    <xf numFmtId="3" fontId="0" fillId="20" borderId="40" xfId="0" applyNumberFormat="1" applyFill="1" applyBorder="1" applyAlignment="1" applyProtection="1">
      <alignment horizontal="center" vertical="center" wrapText="1"/>
      <protection locked="0"/>
    </xf>
    <xf numFmtId="0" fontId="0" fillId="5" borderId="0" xfId="0" applyFill="1" applyAlignment="1">
      <alignment horizontal="center" vertical="center"/>
    </xf>
    <xf numFmtId="171" fontId="0" fillId="0" borderId="0" xfId="1" quotePrefix="1" applyNumberFormat="1" applyFont="1" applyFill="1" applyAlignment="1">
      <alignment horizontal="center"/>
    </xf>
    <xf numFmtId="171" fontId="0" fillId="59" borderId="0" xfId="1" quotePrefix="1" applyNumberFormat="1" applyFont="1" applyFill="1" applyAlignment="1">
      <alignment horizontal="left"/>
    </xf>
    <xf numFmtId="180" fontId="0" fillId="0" borderId="0" xfId="0" applyNumberFormat="1"/>
    <xf numFmtId="0" fontId="2" fillId="2" borderId="37" xfId="0" applyFont="1" applyFill="1" applyBorder="1" applyAlignment="1" applyProtection="1">
      <alignment horizontal="center"/>
      <protection locked="0"/>
    </xf>
    <xf numFmtId="14" fontId="0" fillId="0" borderId="0" xfId="0" applyNumberFormat="1" applyAlignment="1" applyProtection="1">
      <alignment horizontal="right"/>
      <protection locked="0"/>
    </xf>
    <xf numFmtId="0" fontId="0" fillId="0" borderId="0" xfId="0" applyAlignment="1" applyProtection="1">
      <alignment horizontal="center"/>
      <protection locked="0"/>
    </xf>
    <xf numFmtId="14" fontId="7" fillId="0" borderId="19" xfId="0" applyNumberFormat="1" applyFont="1" applyBorder="1" applyProtection="1">
      <protection locked="0"/>
    </xf>
    <xf numFmtId="14" fontId="7" fillId="0" borderId="0" xfId="0" applyNumberFormat="1" applyFont="1" applyProtection="1">
      <protection locked="0"/>
    </xf>
    <xf numFmtId="0" fontId="2" fillId="2" borderId="37" xfId="0" applyFont="1" applyFill="1" applyBorder="1" applyProtection="1">
      <protection locked="0"/>
    </xf>
    <xf numFmtId="0" fontId="0" fillId="0" borderId="0" xfId="0" applyNumberFormat="1"/>
    <xf numFmtId="0" fontId="0" fillId="0" borderId="0" xfId="0"/>
    <xf numFmtId="3" fontId="0" fillId="13" borderId="11" xfId="0" applyNumberFormat="1" applyFill="1" applyBorder="1" applyAlignment="1" applyProtection="1">
      <alignment horizontal="center" vertical="center" wrapText="1"/>
    </xf>
    <xf numFmtId="0" fontId="0" fillId="0" borderId="0" xfId="0"/>
    <xf numFmtId="3" fontId="0" fillId="0" borderId="23" xfId="0" applyNumberFormat="1" applyBorder="1" applyAlignment="1">
      <alignment horizontal="center" vertical="center"/>
    </xf>
    <xf numFmtId="0" fontId="0" fillId="0" borderId="84" xfId="0" applyBorder="1" applyAlignment="1">
      <alignment horizontal="center" vertical="center"/>
    </xf>
    <xf numFmtId="0" fontId="0" fillId="0" borderId="40" xfId="0" applyBorder="1" applyAlignment="1">
      <alignment horizontal="center" vertical="center"/>
    </xf>
    <xf numFmtId="14" fontId="0" fillId="0" borderId="0" xfId="0" applyNumberFormat="1" applyAlignment="1">
      <alignment horizontal="left"/>
    </xf>
    <xf numFmtId="3" fontId="0" fillId="0" borderId="84" xfId="0" applyNumberFormat="1" applyBorder="1" applyAlignment="1">
      <alignment horizontal="center" vertical="center"/>
    </xf>
    <xf numFmtId="0" fontId="8" fillId="0" borderId="23" xfId="0" applyFont="1" applyBorder="1" applyAlignment="1">
      <alignment horizontal="center" vertical="center" wrapText="1"/>
    </xf>
    <xf numFmtId="0" fontId="0" fillId="0" borderId="84"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3" fontId="0" fillId="0" borderId="49" xfId="0" applyNumberFormat="1" applyBorder="1" applyAlignment="1">
      <alignment horizontal="center" vertical="center"/>
    </xf>
    <xf numFmtId="0" fontId="2" fillId="2" borderId="23" xfId="0" applyFont="1" applyFill="1" applyBorder="1" applyAlignment="1" applyProtection="1">
      <alignment horizontal="center"/>
      <protection locked="0"/>
    </xf>
    <xf numFmtId="0" fontId="0" fillId="0" borderId="0" xfId="0" applyProtection="1"/>
    <xf numFmtId="0" fontId="2" fillId="2" borderId="23" xfId="0" applyFont="1" applyFill="1" applyBorder="1" applyAlignment="1" applyProtection="1">
      <alignment horizontal="center" wrapText="1"/>
      <protection locked="0"/>
    </xf>
    <xf numFmtId="3" fontId="0" fillId="0" borderId="42" xfId="0" applyNumberFormat="1" applyBorder="1" applyAlignment="1">
      <alignment horizontal="center" vertical="center"/>
    </xf>
    <xf numFmtId="0" fontId="8" fillId="0" borderId="23" xfId="0" applyFont="1" applyBorder="1" applyAlignment="1" applyProtection="1">
      <alignment horizontal="center" vertical="center" wrapText="1"/>
      <protection locked="0"/>
    </xf>
    <xf numFmtId="0" fontId="8" fillId="0" borderId="23" xfId="0" applyFont="1" applyBorder="1" applyAlignment="1">
      <alignment horizontal="center" wrapText="1"/>
    </xf>
    <xf numFmtId="0" fontId="8" fillId="0" borderId="23" xfId="0" applyFont="1" applyBorder="1" applyAlignment="1" applyProtection="1">
      <alignment horizontal="center"/>
      <protection locked="0"/>
    </xf>
    <xf numFmtId="0" fontId="2" fillId="2" borderId="22" xfId="0" applyFont="1" applyFill="1" applyBorder="1" applyProtection="1">
      <protection locked="0"/>
    </xf>
    <xf numFmtId="0" fontId="16" fillId="6" borderId="0" xfId="0" quotePrefix="1" applyFont="1" applyFill="1" applyProtection="1">
      <protection locked="0"/>
    </xf>
    <xf numFmtId="0" fontId="0" fillId="0" borderId="0" xfId="0"/>
    <xf numFmtId="0" fontId="0" fillId="0" borderId="0" xfId="0" applyBorder="1"/>
    <xf numFmtId="171" fontId="2" fillId="2" borderId="37" xfId="1" applyNumberFormat="1" applyFont="1" applyFill="1" applyBorder="1" applyProtection="1"/>
    <xf numFmtId="0" fontId="2" fillId="2" borderId="38" xfId="0" applyFont="1" applyFill="1" applyBorder="1" applyProtection="1"/>
    <xf numFmtId="0" fontId="2" fillId="2" borderId="0" xfId="0" applyFont="1" applyFill="1" applyProtection="1"/>
    <xf numFmtId="0" fontId="2" fillId="2" borderId="22" xfId="0" applyFont="1" applyFill="1" applyBorder="1" applyProtection="1"/>
    <xf numFmtId="0" fontId="2" fillId="2" borderId="37" xfId="0" applyFont="1" applyFill="1" applyBorder="1" applyProtection="1"/>
    <xf numFmtId="44" fontId="2" fillId="2" borderId="38" xfId="4" applyFont="1" applyFill="1" applyBorder="1" applyProtection="1"/>
    <xf numFmtId="0" fontId="2" fillId="2" borderId="34" xfId="0" applyFont="1" applyFill="1" applyBorder="1" applyProtection="1"/>
    <xf numFmtId="0" fontId="2" fillId="2" borderId="35" xfId="0" applyFont="1" applyFill="1" applyBorder="1" applyProtection="1"/>
    <xf numFmtId="0" fontId="7" fillId="0" borderId="0" xfId="0" applyFont="1" applyProtection="1"/>
    <xf numFmtId="44" fontId="0" fillId="0" borderId="0" xfId="4" applyFont="1" applyProtection="1"/>
    <xf numFmtId="0" fontId="0" fillId="0" borderId="0" xfId="0"/>
    <xf numFmtId="0" fontId="51" fillId="63" borderId="0" xfId="0" applyFont="1" applyFill="1" applyAlignment="1">
      <alignment horizontal="center" vertical="center" wrapText="1"/>
    </xf>
    <xf numFmtId="0" fontId="51" fillId="64" borderId="23" xfId="0" applyFont="1" applyFill="1" applyBorder="1" applyAlignment="1">
      <alignment horizontal="center" vertical="center" wrapText="1"/>
    </xf>
    <xf numFmtId="0" fontId="51" fillId="62" borderId="23" xfId="0" applyFont="1" applyFill="1" applyBorder="1" applyAlignment="1">
      <alignment horizontal="center" vertical="center" wrapText="1"/>
    </xf>
    <xf numFmtId="0" fontId="0" fillId="0" borderId="0" xfId="0" applyAlignment="1">
      <alignment horizontal="center" vertical="center"/>
    </xf>
    <xf numFmtId="171" fontId="51" fillId="64" borderId="23" xfId="1" applyNumberFormat="1" applyFont="1" applyFill="1" applyBorder="1" applyAlignment="1">
      <alignment horizontal="center" vertical="center" wrapText="1"/>
    </xf>
    <xf numFmtId="0" fontId="0" fillId="65" borderId="0" xfId="0" applyFill="1"/>
    <xf numFmtId="0" fontId="0" fillId="65" borderId="0" xfId="0" applyFill="1" applyAlignment="1">
      <alignment wrapText="1"/>
    </xf>
    <xf numFmtId="0" fontId="0" fillId="0" borderId="0" xfId="0"/>
    <xf numFmtId="0" fontId="11" fillId="0" borderId="0" xfId="0" applyFont="1" applyBorder="1" applyAlignment="1">
      <alignment horizontal="center"/>
    </xf>
    <xf numFmtId="0" fontId="0" fillId="0" borderId="0" xfId="0" applyFill="1"/>
    <xf numFmtId="0" fontId="33" fillId="6" borderId="0" xfId="0" applyFont="1" applyFill="1" applyAlignment="1" applyProtection="1">
      <alignment horizontal="center" wrapText="1"/>
      <protection locked="0"/>
    </xf>
    <xf numFmtId="3" fontId="0" fillId="66" borderId="84" xfId="0" applyNumberFormat="1" applyFill="1" applyBorder="1" applyAlignment="1">
      <alignment horizontal="center" vertical="center"/>
    </xf>
    <xf numFmtId="3" fontId="4" fillId="19" borderId="14" xfId="0" applyNumberFormat="1" applyFont="1" applyFill="1" applyBorder="1" applyAlignment="1">
      <alignment horizontal="center" vertical="center"/>
    </xf>
    <xf numFmtId="0" fontId="0" fillId="67" borderId="0" xfId="0" applyFill="1"/>
    <xf numFmtId="0" fontId="13" fillId="6" borderId="3" xfId="0" applyFont="1" applyFill="1" applyBorder="1"/>
    <xf numFmtId="0" fontId="13" fillId="6" borderId="0" xfId="0" applyFont="1" applyFill="1"/>
    <xf numFmtId="0" fontId="0" fillId="0" borderId="0" xfId="0"/>
    <xf numFmtId="0" fontId="0" fillId="0" borderId="0" xfId="0" applyAlignment="1"/>
    <xf numFmtId="0" fontId="0" fillId="0" borderId="0" xfId="0"/>
    <xf numFmtId="14" fontId="0" fillId="61" borderId="83" xfId="0" applyNumberFormat="1" applyFill="1" applyBorder="1" applyAlignment="1" applyProtection="1">
      <alignment horizontal="center" vertical="center"/>
      <protection locked="0"/>
    </xf>
    <xf numFmtId="3" fontId="0" fillId="61" borderId="42" xfId="0" applyNumberFormat="1" applyFill="1" applyBorder="1" applyAlignment="1" applyProtection="1">
      <alignment horizontal="center" vertical="center"/>
      <protection locked="0"/>
    </xf>
    <xf numFmtId="14" fontId="0" fillId="61" borderId="13" xfId="0" applyNumberFormat="1" applyFill="1" applyBorder="1" applyAlignment="1" applyProtection="1">
      <alignment horizontal="center" vertical="center"/>
      <protection locked="0"/>
    </xf>
    <xf numFmtId="3" fontId="0" fillId="61" borderId="23" xfId="0" applyNumberFormat="1" applyFill="1" applyBorder="1" applyAlignment="1" applyProtection="1">
      <alignment horizontal="center" vertical="center"/>
      <protection locked="0"/>
    </xf>
    <xf numFmtId="14" fontId="0" fillId="61" borderId="18" xfId="0" applyNumberFormat="1" applyFill="1" applyBorder="1" applyAlignment="1" applyProtection="1">
      <alignment horizontal="center" vertical="center"/>
      <protection locked="0"/>
    </xf>
    <xf numFmtId="3" fontId="0" fillId="61" borderId="41" xfId="0" applyNumberFormat="1" applyFill="1" applyBorder="1" applyAlignment="1" applyProtection="1">
      <alignment horizontal="center" vertical="center"/>
      <protection locked="0"/>
    </xf>
    <xf numFmtId="0" fontId="13" fillId="0" borderId="0" xfId="0" applyFont="1" applyProtection="1">
      <protection locked="0"/>
    </xf>
    <xf numFmtId="14" fontId="0" fillId="6" borderId="13" xfId="0" applyNumberFormat="1" applyFill="1" applyBorder="1" applyAlignment="1">
      <alignment horizontal="center" vertical="center"/>
    </xf>
    <xf numFmtId="3" fontId="0" fillId="6" borderId="40" xfId="0" applyNumberFormat="1" applyFill="1" applyBorder="1" applyAlignment="1">
      <alignment horizontal="center" vertical="center"/>
    </xf>
    <xf numFmtId="0" fontId="13" fillId="61" borderId="0" xfId="0" applyFont="1" applyFill="1" applyProtection="1">
      <protection locked="0"/>
    </xf>
    <xf numFmtId="3" fontId="0" fillId="6" borderId="44" xfId="0" applyNumberFormat="1" applyFill="1" applyBorder="1" applyAlignment="1">
      <alignment horizontal="center" vertical="center"/>
    </xf>
    <xf numFmtId="0" fontId="8" fillId="61" borderId="39" xfId="0" applyFont="1" applyFill="1" applyBorder="1" applyProtection="1">
      <protection locked="0"/>
    </xf>
    <xf numFmtId="0" fontId="0" fillId="61" borderId="39" xfId="0" applyFill="1" applyBorder="1" applyProtection="1">
      <protection locked="0"/>
    </xf>
    <xf numFmtId="3" fontId="0" fillId="61" borderId="39" xfId="0" applyNumberFormat="1" applyFill="1" applyBorder="1" applyProtection="1">
      <protection locked="0"/>
    </xf>
    <xf numFmtId="9" fontId="0" fillId="61" borderId="39" xfId="2" applyFont="1" applyFill="1" applyBorder="1" applyProtection="1">
      <protection locked="0"/>
    </xf>
    <xf numFmtId="3" fontId="0" fillId="20" borderId="85" xfId="0" applyNumberFormat="1" applyFill="1" applyBorder="1" applyAlignment="1" applyProtection="1">
      <alignment horizontal="center" vertical="center" wrapText="1"/>
      <protection locked="0"/>
    </xf>
    <xf numFmtId="0" fontId="3" fillId="18" borderId="69" xfId="0" applyFont="1" applyFill="1" applyBorder="1" applyAlignment="1">
      <alignment horizontal="center" vertical="center" wrapText="1"/>
    </xf>
    <xf numFmtId="3" fontId="0" fillId="20" borderId="87" xfId="0" applyNumberFormat="1" applyFill="1" applyBorder="1" applyAlignment="1" applyProtection="1">
      <alignment horizontal="center" vertical="center" wrapText="1"/>
      <protection locked="0"/>
    </xf>
    <xf numFmtId="0" fontId="0" fillId="21" borderId="0" xfId="0" applyFill="1"/>
    <xf numFmtId="0" fontId="8" fillId="0" borderId="88" xfId="0" applyFont="1" applyBorder="1" applyAlignment="1">
      <alignment horizontal="right"/>
    </xf>
    <xf numFmtId="0" fontId="0" fillId="0" borderId="69" xfId="0" applyBorder="1"/>
    <xf numFmtId="0" fontId="8" fillId="0" borderId="90" xfId="0" applyFont="1" applyBorder="1" applyAlignment="1">
      <alignment horizontal="right"/>
    </xf>
    <xf numFmtId="0" fontId="11" fillId="58" borderId="65" xfId="0" applyFont="1" applyFill="1" applyBorder="1" applyAlignment="1">
      <alignment horizontal="center" vertical="center" wrapText="1"/>
    </xf>
    <xf numFmtId="0" fontId="11" fillId="58" borderId="91" xfId="0" applyFont="1" applyFill="1" applyBorder="1" applyAlignment="1">
      <alignment horizontal="center" vertical="center" wrapText="1"/>
    </xf>
    <xf numFmtId="0" fontId="11" fillId="58" borderId="70" xfId="0" applyFont="1" applyFill="1" applyBorder="1" applyAlignment="1">
      <alignment horizontal="center" vertical="center" wrapText="1"/>
    </xf>
    <xf numFmtId="0" fontId="11" fillId="58" borderId="71" xfId="0" applyFont="1" applyFill="1" applyBorder="1" applyAlignment="1">
      <alignment horizontal="center" vertical="center" wrapText="1"/>
    </xf>
    <xf numFmtId="0" fontId="11" fillId="58" borderId="45" xfId="0" applyFont="1" applyFill="1" applyBorder="1" applyAlignment="1">
      <alignment horizontal="center" vertical="center" wrapText="1"/>
    </xf>
    <xf numFmtId="0" fontId="11" fillId="58" borderId="78" xfId="0" applyFont="1" applyFill="1" applyBorder="1" applyAlignment="1">
      <alignment horizontal="center" vertical="center" wrapText="1"/>
    </xf>
    <xf numFmtId="0" fontId="11" fillId="58" borderId="78" xfId="0" applyFont="1" applyFill="1" applyBorder="1" applyAlignment="1">
      <alignment vertical="center" wrapText="1"/>
    </xf>
    <xf numFmtId="0" fontId="11" fillId="58" borderId="92" xfId="0" applyFont="1" applyFill="1" applyBorder="1" applyAlignment="1">
      <alignment vertical="center" wrapText="1"/>
    </xf>
    <xf numFmtId="0" fontId="0" fillId="0" borderId="42" xfId="0" applyBorder="1"/>
    <xf numFmtId="176" fontId="0" fillId="5" borderId="77" xfId="0" applyNumberFormat="1" applyFill="1" applyBorder="1" applyAlignment="1">
      <alignment horizontal="center"/>
    </xf>
    <xf numFmtId="176" fontId="0" fillId="5" borderId="27" xfId="0" applyNumberFormat="1" applyFill="1" applyBorder="1" applyAlignment="1">
      <alignment horizontal="center"/>
    </xf>
    <xf numFmtId="0" fontId="0" fillId="5" borderId="27" xfId="0" applyFill="1" applyBorder="1" applyAlignment="1">
      <alignment horizontal="center"/>
    </xf>
    <xf numFmtId="9" fontId="0" fillId="5" borderId="27" xfId="0" applyNumberFormat="1" applyFill="1" applyBorder="1" applyAlignment="1">
      <alignment horizontal="center"/>
    </xf>
    <xf numFmtId="0" fontId="0" fillId="5" borderId="28" xfId="0" applyFill="1" applyBorder="1" applyAlignment="1">
      <alignment horizontal="center"/>
    </xf>
    <xf numFmtId="0" fontId="0" fillId="0" borderId="23" xfId="0" applyBorder="1"/>
    <xf numFmtId="176" fontId="0" fillId="5" borderId="13" xfId="0" applyNumberFormat="1" applyFill="1" applyBorder="1" applyAlignment="1">
      <alignment horizontal="center"/>
    </xf>
    <xf numFmtId="176" fontId="0" fillId="5" borderId="23" xfId="0" applyNumberFormat="1" applyFill="1" applyBorder="1" applyAlignment="1">
      <alignment horizontal="center"/>
    </xf>
    <xf numFmtId="0" fontId="0" fillId="5" borderId="23" xfId="0" applyFill="1" applyBorder="1" applyAlignment="1">
      <alignment horizontal="center"/>
    </xf>
    <xf numFmtId="9" fontId="0" fillId="5" borderId="23" xfId="0" applyNumberFormat="1" applyFill="1" applyBorder="1" applyAlignment="1">
      <alignment horizontal="center"/>
    </xf>
    <xf numFmtId="0" fontId="0" fillId="5" borderId="12" xfId="0" applyFill="1" applyBorder="1" applyAlignment="1">
      <alignment horizontal="center"/>
    </xf>
    <xf numFmtId="176" fontId="0" fillId="5" borderId="94" xfId="0" applyNumberFormat="1" applyFill="1" applyBorder="1" applyAlignment="1">
      <alignment horizontal="center"/>
    </xf>
    <xf numFmtId="176" fontId="0" fillId="5" borderId="29" xfId="0" applyNumberFormat="1" applyFill="1" applyBorder="1" applyAlignment="1">
      <alignment horizontal="center"/>
    </xf>
    <xf numFmtId="0" fontId="0" fillId="5" borderId="29" xfId="0" applyFill="1" applyBorder="1" applyAlignment="1">
      <alignment horizontal="center"/>
    </xf>
    <xf numFmtId="9" fontId="0" fillId="5" borderId="29" xfId="0" applyNumberFormat="1" applyFill="1" applyBorder="1" applyAlignment="1">
      <alignment horizontal="center"/>
    </xf>
    <xf numFmtId="0" fontId="0" fillId="5" borderId="82" xfId="0" applyFill="1" applyBorder="1" applyAlignment="1">
      <alignment horizontal="center"/>
    </xf>
    <xf numFmtId="0" fontId="6" fillId="0" borderId="0" xfId="0" applyFont="1"/>
    <xf numFmtId="0" fontId="31" fillId="0" borderId="0" xfId="0" applyFont="1" applyAlignment="1">
      <alignment horizontal="center" vertical="center" wrapText="1"/>
    </xf>
    <xf numFmtId="0" fontId="55" fillId="0" borderId="0" xfId="0" applyFont="1"/>
    <xf numFmtId="0" fontId="3" fillId="0" borderId="0" xfId="0" applyFont="1"/>
    <xf numFmtId="3" fontId="6" fillId="0" borderId="0" xfId="0" applyNumberFormat="1" applyFont="1"/>
    <xf numFmtId="0" fontId="54" fillId="54" borderId="95" xfId="0" applyFont="1" applyFill="1" applyBorder="1" applyAlignment="1">
      <alignment horizontal="center" vertical="center" wrapText="1"/>
    </xf>
    <xf numFmtId="0" fontId="31" fillId="54" borderId="59" xfId="0" applyFont="1" applyFill="1" applyBorder="1" applyAlignment="1">
      <alignment horizontal="center" vertical="center" wrapText="1"/>
    </xf>
    <xf numFmtId="0" fontId="31" fillId="0" borderId="26" xfId="0" applyFont="1" applyBorder="1" applyAlignment="1">
      <alignment horizontal="center" vertical="center" wrapText="1"/>
    </xf>
    <xf numFmtId="0" fontId="31" fillId="0" borderId="27" xfId="0" applyFont="1" applyBorder="1" applyAlignment="1">
      <alignment vertical="center" wrapText="1"/>
    </xf>
    <xf numFmtId="0" fontId="59" fillId="0" borderId="27" xfId="0" applyFont="1" applyBorder="1" applyAlignment="1">
      <alignment vertical="center" wrapText="1"/>
    </xf>
    <xf numFmtId="0" fontId="59" fillId="0" borderId="28" xfId="0" applyFont="1" applyBorder="1" applyAlignment="1">
      <alignment vertical="center" wrapText="1"/>
    </xf>
    <xf numFmtId="0" fontId="31" fillId="0" borderId="11" xfId="0" applyFont="1" applyBorder="1" applyAlignment="1">
      <alignment horizontal="center" vertical="center" wrapText="1"/>
    </xf>
    <xf numFmtId="0" fontId="31" fillId="0" borderId="23" xfId="0" applyFont="1" applyBorder="1" applyAlignment="1">
      <alignment vertical="center" wrapText="1"/>
    </xf>
    <xf numFmtId="0" fontId="60" fillId="0" borderId="23" xfId="0" applyFont="1" applyBorder="1" applyAlignment="1">
      <alignment vertical="center" wrapText="1"/>
    </xf>
    <xf numFmtId="0" fontId="59" fillId="0" borderId="23" xfId="0" applyFont="1" applyBorder="1" applyAlignment="1">
      <alignment vertical="center" wrapText="1"/>
    </xf>
    <xf numFmtId="0" fontId="61" fillId="0" borderId="23" xfId="0" applyFont="1" applyBorder="1" applyAlignment="1">
      <alignment vertical="center" wrapText="1"/>
    </xf>
    <xf numFmtId="0" fontId="59" fillId="0" borderId="12" xfId="0" applyFont="1" applyBorder="1" applyAlignment="1">
      <alignment vertical="center" wrapText="1"/>
    </xf>
    <xf numFmtId="0" fontId="62" fillId="0" borderId="12" xfId="0" applyFont="1" applyBorder="1" applyAlignment="1">
      <alignment vertical="center" wrapText="1"/>
    </xf>
    <xf numFmtId="0" fontId="63" fillId="0" borderId="23"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12" xfId="0" applyFont="1" applyBorder="1" applyAlignment="1">
      <alignment horizontal="center" vertical="center" wrapText="1"/>
    </xf>
    <xf numFmtId="0" fontId="31" fillId="0" borderId="23" xfId="0" applyFont="1" applyBorder="1" applyAlignment="1">
      <alignment horizontal="center" vertical="center" wrapText="1"/>
    </xf>
    <xf numFmtId="0" fontId="54" fillId="0" borderId="23" xfId="0" applyFont="1" applyBorder="1" applyAlignment="1">
      <alignment horizontal="center" vertical="center" wrapText="1"/>
    </xf>
    <xf numFmtId="0" fontId="63" fillId="0" borderId="23" xfId="0" applyFont="1" applyBorder="1" applyAlignment="1">
      <alignment vertical="center" wrapText="1"/>
    </xf>
    <xf numFmtId="0" fontId="54" fillId="0" borderId="23" xfId="0" applyFont="1" applyBorder="1" applyAlignment="1">
      <alignment vertical="center" wrapText="1"/>
    </xf>
    <xf numFmtId="0" fontId="64" fillId="0" borderId="23" xfId="0" applyFont="1" applyBorder="1" applyAlignment="1">
      <alignment vertical="center" wrapText="1"/>
    </xf>
    <xf numFmtId="0" fontId="65" fillId="0" borderId="12" xfId="0" applyFont="1" applyBorder="1" applyAlignment="1">
      <alignment vertical="center" wrapText="1"/>
    </xf>
    <xf numFmtId="0" fontId="66" fillId="0" borderId="23" xfId="0" applyFont="1" applyBorder="1" applyAlignment="1">
      <alignment vertical="center" wrapText="1"/>
    </xf>
    <xf numFmtId="0" fontId="67" fillId="0" borderId="23" xfId="0" applyFont="1" applyBorder="1" applyAlignment="1">
      <alignment vertical="center" wrapText="1"/>
    </xf>
    <xf numFmtId="0" fontId="68" fillId="0" borderId="12" xfId="0" applyFont="1" applyBorder="1" applyAlignment="1">
      <alignment vertical="center" wrapText="1"/>
    </xf>
    <xf numFmtId="0" fontId="69" fillId="0" borderId="23" xfId="0" applyFont="1" applyBorder="1" applyAlignment="1">
      <alignment vertical="center" wrapText="1"/>
    </xf>
    <xf numFmtId="0" fontId="69" fillId="0" borderId="23" xfId="0" applyFont="1" applyBorder="1" applyAlignment="1">
      <alignment horizontal="center" vertical="center" wrapText="1"/>
    </xf>
    <xf numFmtId="0" fontId="64" fillId="0" borderId="23" xfId="0" applyFont="1" applyBorder="1" applyAlignment="1">
      <alignment horizontal="center" vertical="center" wrapText="1"/>
    </xf>
    <xf numFmtId="0" fontId="65" fillId="0" borderId="12" xfId="0" applyFont="1" applyBorder="1" applyAlignment="1">
      <alignment horizontal="center" vertical="center" wrapText="1"/>
    </xf>
    <xf numFmtId="0" fontId="70" fillId="0" borderId="11" xfId="0" applyFont="1" applyBorder="1" applyAlignment="1">
      <alignment horizontal="center" vertical="center" wrapText="1"/>
    </xf>
    <xf numFmtId="0" fontId="71" fillId="0" borderId="23" xfId="0" applyFont="1" applyBorder="1" applyAlignment="1">
      <alignment horizontal="center" vertical="center" wrapText="1"/>
    </xf>
    <xf numFmtId="0" fontId="72" fillId="0" borderId="23" xfId="0" applyFont="1" applyBorder="1" applyAlignment="1">
      <alignment horizontal="center" vertical="center" wrapText="1"/>
    </xf>
    <xf numFmtId="0" fontId="72" fillId="0" borderId="12" xfId="0" applyFont="1" applyBorder="1" applyAlignment="1">
      <alignment horizontal="center" vertical="center" wrapText="1"/>
    </xf>
    <xf numFmtId="0" fontId="68" fillId="0" borderId="23" xfId="0" applyFont="1" applyBorder="1" applyAlignment="1">
      <alignment horizontal="center" vertical="center" wrapText="1"/>
    </xf>
    <xf numFmtId="0" fontId="63" fillId="0" borderId="0" xfId="0" applyFont="1" applyAlignment="1">
      <alignment horizontal="center" vertical="center" wrapText="1"/>
    </xf>
    <xf numFmtId="0" fontId="31" fillId="0" borderId="81" xfId="0" applyFont="1" applyBorder="1" applyAlignment="1">
      <alignment horizontal="center" vertical="center" wrapText="1"/>
    </xf>
    <xf numFmtId="0" fontId="54" fillId="0" borderId="29" xfId="0" applyFont="1" applyBorder="1" applyAlignment="1">
      <alignment horizontal="center" vertical="center" wrapText="1"/>
    </xf>
    <xf numFmtId="0" fontId="31" fillId="0" borderId="29" xfId="0" applyFont="1" applyBorder="1" applyAlignment="1">
      <alignment horizontal="center" vertical="center" wrapText="1"/>
    </xf>
    <xf numFmtId="0" fontId="63" fillId="0" borderId="29" xfId="0" applyFont="1" applyBorder="1" applyAlignment="1">
      <alignment horizontal="center" vertical="center" wrapText="1"/>
    </xf>
    <xf numFmtId="0" fontId="59" fillId="0" borderId="82" xfId="0" applyFont="1" applyBorder="1" applyAlignment="1">
      <alignment horizontal="center" vertical="center" wrapText="1"/>
    </xf>
    <xf numFmtId="0" fontId="63" fillId="0" borderId="39" xfId="0" applyFont="1" applyBorder="1" applyAlignment="1">
      <alignment horizontal="center" vertical="center" wrapText="1"/>
    </xf>
    <xf numFmtId="0" fontId="63" fillId="0" borderId="99" xfId="0" applyFont="1" applyBorder="1" applyAlignment="1">
      <alignment horizontal="center" vertical="center" wrapText="1"/>
    </xf>
    <xf numFmtId="0" fontId="0" fillId="59" borderId="0" xfId="0" applyFill="1"/>
    <xf numFmtId="0" fontId="12" fillId="17" borderId="100" xfId="3" applyFont="1" applyFill="1" applyBorder="1" applyAlignment="1">
      <alignment vertical="center"/>
    </xf>
    <xf numFmtId="0" fontId="0" fillId="6" borderId="0" xfId="0" applyFill="1" applyBorder="1"/>
    <xf numFmtId="3" fontId="0" fillId="13" borderId="23" xfId="0" applyNumberFormat="1" applyFill="1" applyBorder="1" applyAlignment="1" applyProtection="1">
      <alignment horizontal="center" vertical="center" wrapText="1"/>
    </xf>
    <xf numFmtId="0" fontId="4" fillId="19" borderId="60" xfId="1" applyNumberFormat="1" applyFont="1" applyFill="1" applyBorder="1" applyAlignment="1" applyProtection="1">
      <alignment horizontal="center" vertical="center"/>
    </xf>
    <xf numFmtId="0" fontId="4" fillId="19" borderId="74" xfId="1" applyNumberFormat="1" applyFont="1" applyFill="1" applyBorder="1" applyAlignment="1" applyProtection="1">
      <alignment horizontal="center" vertical="center"/>
    </xf>
    <xf numFmtId="0" fontId="4" fillId="19" borderId="86" xfId="1" applyNumberFormat="1" applyFont="1" applyFill="1" applyBorder="1" applyAlignment="1" applyProtection="1">
      <alignment horizontal="center" vertical="center"/>
    </xf>
    <xf numFmtId="3" fontId="0" fillId="13" borderId="28" xfId="0" applyNumberFormat="1" applyFill="1" applyBorder="1" applyAlignment="1">
      <alignment horizontal="center" vertical="center" wrapText="1"/>
    </xf>
    <xf numFmtId="3" fontId="0" fillId="13" borderId="12" xfId="0" applyNumberFormat="1" applyFill="1" applyBorder="1" applyAlignment="1" applyProtection="1">
      <alignment horizontal="center" vertical="center" wrapText="1"/>
    </xf>
    <xf numFmtId="3" fontId="0" fillId="13" borderId="81" xfId="0" applyNumberFormat="1" applyFill="1" applyBorder="1" applyAlignment="1" applyProtection="1">
      <alignment horizontal="center" vertical="center" wrapText="1"/>
    </xf>
    <xf numFmtId="3" fontId="0" fillId="13" borderId="29" xfId="0" applyNumberFormat="1" applyFill="1" applyBorder="1" applyAlignment="1" applyProtection="1">
      <alignment horizontal="center" vertical="center" wrapText="1"/>
    </xf>
    <xf numFmtId="3" fontId="0" fillId="13" borderId="82" xfId="0" applyNumberFormat="1" applyFill="1" applyBorder="1" applyAlignment="1" applyProtection="1">
      <alignment horizontal="center" vertical="center" wrapText="1"/>
    </xf>
    <xf numFmtId="3" fontId="0" fillId="13" borderId="27" xfId="0" applyNumberFormat="1" applyFill="1" applyBorder="1" applyAlignment="1">
      <alignment horizontal="center" vertical="center" wrapText="1"/>
    </xf>
    <xf numFmtId="3" fontId="0" fillId="20" borderId="28" xfId="0" applyNumberFormat="1" applyFill="1" applyBorder="1" applyAlignment="1">
      <alignment horizontal="center" vertical="center" wrapText="1"/>
    </xf>
    <xf numFmtId="3" fontId="0" fillId="20" borderId="12" xfId="0" applyNumberFormat="1" applyFill="1" applyBorder="1" applyAlignment="1">
      <alignment horizontal="center" vertical="center" wrapText="1"/>
    </xf>
    <xf numFmtId="3" fontId="0" fillId="20" borderId="82" xfId="0" applyNumberFormat="1" applyFill="1" applyBorder="1" applyAlignment="1">
      <alignment horizontal="center" vertical="center" wrapText="1"/>
    </xf>
    <xf numFmtId="0" fontId="0" fillId="0" borderId="0" xfId="0"/>
    <xf numFmtId="0" fontId="0" fillId="0" borderId="0" xfId="0"/>
    <xf numFmtId="0" fontId="74" fillId="0" borderId="0" xfId="0" applyFont="1"/>
    <xf numFmtId="0" fontId="8" fillId="0" borderId="0" xfId="0" applyFont="1" applyAlignment="1">
      <alignment horizontal="center" vertical="center" wrapText="1"/>
    </xf>
    <xf numFmtId="0" fontId="0" fillId="0" borderId="0" xfId="0" applyAlignment="1">
      <alignment vertical="center" wrapText="1"/>
    </xf>
    <xf numFmtId="0" fontId="0" fillId="5" borderId="0" xfId="0" applyFill="1"/>
    <xf numFmtId="0" fontId="0" fillId="0" borderId="0" xfId="0" applyAlignment="1">
      <alignment horizontal="left" indent="2"/>
    </xf>
    <xf numFmtId="0" fontId="0" fillId="0" borderId="0" xfId="0"/>
    <xf numFmtId="0" fontId="0" fillId="0" borderId="41" xfId="0" applyBorder="1"/>
    <xf numFmtId="0" fontId="0" fillId="0" borderId="39" xfId="0" applyBorder="1"/>
    <xf numFmtId="0" fontId="13" fillId="0" borderId="40" xfId="0" applyFont="1" applyBorder="1" applyAlignment="1" applyProtection="1">
      <alignment horizontal="left"/>
      <protection locked="0"/>
    </xf>
    <xf numFmtId="0" fontId="0" fillId="0" borderId="43" xfId="0" applyBorder="1" applyAlignment="1">
      <alignment horizontal="left"/>
    </xf>
    <xf numFmtId="0" fontId="0" fillId="0" borderId="13" xfId="0" applyBorder="1" applyAlignment="1">
      <alignment horizontal="left"/>
    </xf>
    <xf numFmtId="0" fontId="0" fillId="0" borderId="0" xfId="0" applyAlignment="1">
      <alignment horizontal="center"/>
    </xf>
    <xf numFmtId="3" fontId="0" fillId="20" borderId="11" xfId="0" applyNumberFormat="1" applyFill="1" applyBorder="1" applyAlignment="1" applyProtection="1">
      <alignment horizontal="center" vertical="center" wrapText="1"/>
      <protection locked="0"/>
    </xf>
    <xf numFmtId="3" fontId="0" fillId="20" borderId="23" xfId="0" applyNumberFormat="1" applyFill="1" applyBorder="1" applyAlignment="1" applyProtection="1">
      <alignment horizontal="center" vertical="center" wrapText="1"/>
      <protection locked="0"/>
    </xf>
    <xf numFmtId="3" fontId="0" fillId="20" borderId="81" xfId="0" applyNumberFormat="1" applyFill="1" applyBorder="1" applyAlignment="1" applyProtection="1">
      <alignment horizontal="center" vertical="center" wrapText="1"/>
      <protection locked="0"/>
    </xf>
    <xf numFmtId="3" fontId="0" fillId="20" borderId="29" xfId="0" applyNumberFormat="1" applyFill="1" applyBorder="1" applyAlignment="1" applyProtection="1">
      <alignment horizontal="center" vertical="center" wrapText="1"/>
      <protection locked="0"/>
    </xf>
    <xf numFmtId="0" fontId="0" fillId="0" borderId="0" xfId="0"/>
    <xf numFmtId="0" fontId="0" fillId="0" borderId="93" xfId="0" applyBorder="1" applyProtection="1">
      <protection locked="0"/>
    </xf>
    <xf numFmtId="1" fontId="0" fillId="0" borderId="83" xfId="0" applyNumberFormat="1" applyBorder="1" applyProtection="1">
      <protection locked="0"/>
    </xf>
    <xf numFmtId="0" fontId="48" fillId="0" borderId="23" xfId="0" applyFont="1" applyBorder="1" applyProtection="1">
      <protection locked="0"/>
    </xf>
    <xf numFmtId="0" fontId="0" fillId="0" borderId="42" xfId="0" applyBorder="1" applyProtection="1">
      <protection locked="0"/>
    </xf>
    <xf numFmtId="0" fontId="0" fillId="0" borderId="11" xfId="0" applyBorder="1" applyAlignment="1" applyProtection="1">
      <alignment horizontal="center"/>
      <protection locked="0"/>
    </xf>
    <xf numFmtId="0" fontId="0" fillId="0" borderId="85" xfId="0" applyBorder="1" applyAlignment="1" applyProtection="1">
      <alignment horizontal="center"/>
      <protection locked="0"/>
    </xf>
    <xf numFmtId="0" fontId="0" fillId="0" borderId="11" xfId="0" applyBorder="1" applyProtection="1">
      <protection locked="0"/>
    </xf>
    <xf numFmtId="0" fontId="0" fillId="0" borderId="23" xfId="0" applyBorder="1" applyProtection="1">
      <protection locked="0"/>
    </xf>
    <xf numFmtId="0" fontId="0" fillId="0" borderId="40" xfId="0" applyBorder="1" applyAlignment="1" applyProtection="1">
      <alignment horizontal="center"/>
      <protection locked="0"/>
    </xf>
    <xf numFmtId="0" fontId="0" fillId="0" borderId="13" xfId="0" applyBorder="1" applyProtection="1">
      <protection locked="0"/>
    </xf>
    <xf numFmtId="0" fontId="0" fillId="0" borderId="12" xfId="0" applyBorder="1" applyAlignment="1" applyProtection="1">
      <alignment horizontal="center"/>
      <protection locked="0"/>
    </xf>
    <xf numFmtId="0" fontId="0" fillId="0" borderId="81" xfId="0" applyBorder="1" applyProtection="1">
      <protection locked="0"/>
    </xf>
    <xf numFmtId="0" fontId="0" fillId="0" borderId="94" xfId="0" applyBorder="1" applyProtection="1">
      <protection locked="0"/>
    </xf>
    <xf numFmtId="0" fontId="48" fillId="0" borderId="29" xfId="0" applyFont="1" applyBorder="1" applyProtection="1">
      <protection locked="0"/>
    </xf>
    <xf numFmtId="0" fontId="0" fillId="0" borderId="29" xfId="0" applyBorder="1" applyProtection="1">
      <protection locked="0"/>
    </xf>
    <xf numFmtId="0" fontId="0" fillId="0" borderId="87" xfId="0" applyBorder="1" applyAlignment="1" applyProtection="1">
      <alignment horizontal="center"/>
      <protection locked="0"/>
    </xf>
    <xf numFmtId="0" fontId="0" fillId="0" borderId="81" xfId="0" applyBorder="1" applyAlignment="1" applyProtection="1">
      <alignment horizontal="center"/>
      <protection locked="0"/>
    </xf>
    <xf numFmtId="0" fontId="0" fillId="0" borderId="82"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23" xfId="0" applyBorder="1" applyAlignment="1" applyProtection="1">
      <alignment horizontal="center"/>
      <protection locked="0"/>
    </xf>
    <xf numFmtId="0" fontId="16" fillId="0" borderId="23" xfId="0" applyFont="1" applyBorder="1" applyAlignment="1" applyProtection="1">
      <alignment horizontal="center"/>
      <protection locked="0"/>
    </xf>
    <xf numFmtId="0" fontId="0" fillId="0" borderId="29" xfId="0" applyBorder="1" applyAlignment="1" applyProtection="1">
      <alignment horizontal="center"/>
      <protection locked="0"/>
    </xf>
    <xf numFmtId="3" fontId="0" fillId="0" borderId="23" xfId="0" applyNumberFormat="1" applyBorder="1" applyAlignment="1" applyProtection="1">
      <alignment horizontal="center"/>
      <protection locked="0"/>
    </xf>
    <xf numFmtId="3" fontId="0" fillId="20" borderId="26" xfId="0" applyNumberFormat="1" applyFill="1" applyBorder="1" applyAlignment="1" applyProtection="1">
      <alignment horizontal="center" vertical="center" wrapText="1"/>
      <protection locked="0"/>
    </xf>
    <xf numFmtId="3" fontId="0" fillId="20" borderId="27" xfId="0" applyNumberFormat="1" applyFill="1" applyBorder="1" applyAlignment="1" applyProtection="1">
      <alignment horizontal="center" vertical="center" wrapText="1"/>
      <protection locked="0"/>
    </xf>
    <xf numFmtId="3" fontId="0" fillId="20" borderId="67" xfId="0" applyNumberFormat="1" applyFill="1" applyBorder="1" applyAlignment="1" applyProtection="1">
      <alignment horizontal="center" vertical="center" wrapText="1"/>
      <protection locked="0"/>
    </xf>
    <xf numFmtId="14" fontId="0" fillId="20" borderId="60" xfId="0" applyNumberFormat="1" applyFill="1" applyBorder="1" applyAlignment="1" applyProtection="1">
      <alignment horizontal="center" vertical="center" wrapText="1"/>
      <protection locked="0"/>
    </xf>
    <xf numFmtId="0" fontId="0" fillId="21" borderId="74" xfId="0" applyFill="1" applyBorder="1" applyAlignment="1" applyProtection="1">
      <alignment horizontal="left" vertical="center"/>
      <protection locked="0"/>
    </xf>
    <xf numFmtId="14" fontId="0" fillId="20" borderId="74" xfId="0" applyNumberFormat="1" applyFill="1" applyBorder="1" applyAlignment="1" applyProtection="1">
      <alignment horizontal="center" vertical="center" wrapText="1"/>
      <protection locked="0"/>
    </xf>
    <xf numFmtId="0" fontId="0" fillId="21" borderId="86" xfId="0" applyFill="1" applyBorder="1" applyAlignment="1" applyProtection="1">
      <alignment horizontal="left" vertical="center"/>
      <protection locked="0"/>
    </xf>
    <xf numFmtId="3" fontId="0" fillId="68" borderId="60" xfId="0" applyNumberFormat="1" applyFill="1" applyBorder="1" applyAlignment="1" applyProtection="1">
      <alignment horizontal="left" vertical="center" wrapText="1"/>
      <protection locked="0"/>
    </xf>
    <xf numFmtId="0" fontId="0" fillId="59" borderId="74" xfId="0" applyFill="1" applyBorder="1" applyAlignment="1" applyProtection="1">
      <alignment horizontal="left" vertical="center"/>
      <protection locked="0"/>
    </xf>
    <xf numFmtId="0" fontId="0" fillId="59" borderId="40" xfId="0" applyFill="1" applyBorder="1" applyAlignment="1" applyProtection="1">
      <alignment horizontal="left" vertical="center"/>
      <protection locked="0"/>
    </xf>
    <xf numFmtId="3" fontId="0" fillId="0" borderId="0" xfId="0" applyNumberFormat="1" applyProtection="1">
      <protection locked="0"/>
    </xf>
    <xf numFmtId="0" fontId="0" fillId="0" borderId="40" xfId="0" applyBorder="1" applyAlignment="1" applyProtection="1">
      <alignment horizontal="center" vertical="center" wrapText="1"/>
      <protection locked="0"/>
    </xf>
    <xf numFmtId="0" fontId="0" fillId="0" borderId="0" xfId="0"/>
    <xf numFmtId="0" fontId="0" fillId="0" borderId="0" xfId="0"/>
    <xf numFmtId="14" fontId="0" fillId="0" borderId="0" xfId="0" applyNumberFormat="1" applyAlignment="1">
      <alignment horizontal="right"/>
    </xf>
    <xf numFmtId="171" fontId="0" fillId="0" borderId="0" xfId="1" applyNumberFormat="1" applyFont="1" applyProtection="1"/>
    <xf numFmtId="0" fontId="0" fillId="0" borderId="0" xfId="0"/>
    <xf numFmtId="14" fontId="0" fillId="0" borderId="0" xfId="0" applyNumberFormat="1" applyAlignment="1" applyProtection="1">
      <alignment horizontal="right"/>
    </xf>
    <xf numFmtId="0" fontId="76" fillId="0" borderId="0" xfId="0" applyFont="1" applyProtection="1">
      <protection locked="0"/>
    </xf>
    <xf numFmtId="14" fontId="77" fillId="0" borderId="0" xfId="0" applyNumberFormat="1" applyFont="1" applyProtection="1">
      <protection locked="0"/>
    </xf>
    <xf numFmtId="0" fontId="0" fillId="0" borderId="0" xfId="0"/>
    <xf numFmtId="0" fontId="12" fillId="6" borderId="66" xfId="3" applyFont="1" applyFill="1" applyBorder="1" applyAlignment="1">
      <alignment vertical="center"/>
    </xf>
    <xf numFmtId="0" fontId="12" fillId="6" borderId="0" xfId="3" applyFont="1" applyFill="1" applyAlignment="1">
      <alignment vertical="center"/>
    </xf>
    <xf numFmtId="3" fontId="0" fillId="6" borderId="0" xfId="0" applyNumberFormat="1" applyFill="1" applyBorder="1" applyAlignment="1">
      <alignment wrapText="1"/>
    </xf>
    <xf numFmtId="3" fontId="0" fillId="6" borderId="0" xfId="0" applyNumberFormat="1" applyFill="1" applyAlignment="1">
      <alignment horizontal="center" vertical="center" wrapText="1"/>
    </xf>
    <xf numFmtId="3" fontId="0" fillId="6" borderId="0" xfId="0" applyNumberFormat="1" applyFill="1" applyAlignment="1">
      <alignment vertical="center" wrapText="1"/>
    </xf>
    <xf numFmtId="3" fontId="0" fillId="6" borderId="0" xfId="0" applyNumberFormat="1" applyFill="1" applyAlignment="1">
      <alignment wrapText="1"/>
    </xf>
    <xf numFmtId="0" fontId="0" fillId="0" borderId="0" xfId="0"/>
    <xf numFmtId="181" fontId="0" fillId="0" borderId="0" xfId="0" applyNumberFormat="1"/>
    <xf numFmtId="0" fontId="0" fillId="5" borderId="0" xfId="0" applyFill="1" applyBorder="1" applyAlignment="1">
      <alignment horizontal="center" vertical="center"/>
    </xf>
    <xf numFmtId="0" fontId="43" fillId="6" borderId="0" xfId="57" applyFill="1"/>
    <xf numFmtId="0" fontId="0" fillId="0" borderId="0" xfId="0"/>
    <xf numFmtId="0" fontId="0" fillId="0" borderId="0" xfId="0"/>
    <xf numFmtId="0" fontId="75" fillId="0" borderId="0" xfId="70" applyFont="1" applyFill="1" applyBorder="1" applyProtection="1">
      <protection locked="0"/>
    </xf>
    <xf numFmtId="0" fontId="0" fillId="0" borderId="0" xfId="0" applyFont="1" applyBorder="1" applyProtection="1">
      <protection locked="0"/>
    </xf>
    <xf numFmtId="0" fontId="0" fillId="0" borderId="20" xfId="0" applyBorder="1" applyProtection="1">
      <protection locked="0"/>
    </xf>
    <xf numFmtId="0" fontId="1" fillId="0" borderId="20" xfId="0" applyFont="1" applyBorder="1" applyProtection="1">
      <protection locked="0"/>
    </xf>
    <xf numFmtId="0" fontId="1" fillId="0" borderId="0" xfId="0" applyFont="1" applyProtection="1">
      <protection locked="0"/>
    </xf>
    <xf numFmtId="0" fontId="50" fillId="0" borderId="20" xfId="0" applyFont="1" applyBorder="1" applyProtection="1">
      <protection locked="0"/>
    </xf>
    <xf numFmtId="0" fontId="50" fillId="0" borderId="0" xfId="0" applyFont="1" applyProtection="1">
      <protection locked="0"/>
    </xf>
    <xf numFmtId="0" fontId="50" fillId="0" borderId="0" xfId="0" applyFont="1" applyBorder="1" applyProtection="1">
      <protection locked="0"/>
    </xf>
    <xf numFmtId="0" fontId="0" fillId="0" borderId="20" xfId="0" applyFont="1" applyBorder="1" applyProtection="1">
      <protection locked="0"/>
    </xf>
    <xf numFmtId="0" fontId="0" fillId="0" borderId="0" xfId="0" applyFont="1" applyProtection="1">
      <protection locked="0"/>
    </xf>
    <xf numFmtId="0" fontId="52" fillId="0" borderId="20" xfId="0" applyFont="1" applyBorder="1" applyProtection="1">
      <protection locked="0"/>
    </xf>
    <xf numFmtId="0" fontId="52" fillId="0" borderId="0" xfId="0" applyFont="1" applyProtection="1">
      <protection locked="0"/>
    </xf>
    <xf numFmtId="0" fontId="53" fillId="0" borderId="20" xfId="0" applyFont="1" applyBorder="1" applyProtection="1">
      <protection locked="0"/>
    </xf>
    <xf numFmtId="0" fontId="53" fillId="0" borderId="0" xfId="0" applyFont="1" applyProtection="1">
      <protection locked="0"/>
    </xf>
    <xf numFmtId="0" fontId="0" fillId="0" borderId="0" xfId="0"/>
    <xf numFmtId="14" fontId="63" fillId="0" borderId="0" xfId="0" applyNumberFormat="1" applyFont="1" applyProtection="1">
      <protection locked="0"/>
    </xf>
    <xf numFmtId="0" fontId="0" fillId="0" borderId="0" xfId="0" applyAlignment="1">
      <alignment horizontal="center"/>
    </xf>
    <xf numFmtId="0" fontId="0" fillId="0" borderId="23" xfId="0" applyBorder="1" applyAlignment="1">
      <alignment horizontal="center"/>
    </xf>
    <xf numFmtId="171" fontId="16" fillId="0" borderId="0" xfId="0" applyNumberFormat="1" applyFont="1" applyProtection="1">
      <protection locked="0"/>
    </xf>
    <xf numFmtId="176" fontId="0" fillId="0" borderId="23" xfId="0" applyNumberFormat="1" applyBorder="1" applyAlignment="1" applyProtection="1">
      <alignment horizontal="center"/>
      <protection locked="0"/>
    </xf>
    <xf numFmtId="14" fontId="0" fillId="0" borderId="0" xfId="0" applyNumberFormat="1" applyProtection="1"/>
    <xf numFmtId="0" fontId="63" fillId="0" borderId="0" xfId="0" applyFont="1" applyProtection="1">
      <protection locked="0"/>
    </xf>
    <xf numFmtId="0" fontId="0" fillId="0" borderId="0" xfId="0"/>
    <xf numFmtId="3" fontId="0" fillId="0" borderId="84" xfId="0" applyNumberFormat="1" applyBorder="1" applyAlignment="1" applyProtection="1">
      <alignment horizontal="center"/>
      <protection locked="0"/>
    </xf>
    <xf numFmtId="3" fontId="0" fillId="0" borderId="40" xfId="0" applyNumberFormat="1" applyBorder="1" applyAlignment="1" applyProtection="1">
      <alignment horizontal="center"/>
      <protection locked="0"/>
    </xf>
    <xf numFmtId="171" fontId="0" fillId="6" borderId="0" xfId="0" applyNumberFormat="1" applyFill="1" applyProtection="1">
      <protection locked="0"/>
    </xf>
    <xf numFmtId="14" fontId="0" fillId="6" borderId="0" xfId="0" applyNumberFormat="1" applyFill="1" applyProtection="1">
      <protection locked="0"/>
    </xf>
    <xf numFmtId="4" fontId="0" fillId="0" borderId="0" xfId="0" applyNumberFormat="1"/>
    <xf numFmtId="176" fontId="0" fillId="0" borderId="0" xfId="0" applyNumberFormat="1" applyFill="1"/>
    <xf numFmtId="179" fontId="0" fillId="0" borderId="0" xfId="1" applyNumberFormat="1" applyFont="1"/>
    <xf numFmtId="179" fontId="0" fillId="59" borderId="0" xfId="1" applyNumberFormat="1" applyFont="1" applyFill="1"/>
    <xf numFmtId="182" fontId="0" fillId="0" borderId="0" xfId="0" applyNumberFormat="1"/>
    <xf numFmtId="171" fontId="0" fillId="0" borderId="0" xfId="0" applyNumberFormat="1" applyProtection="1">
      <protection locked="0"/>
    </xf>
    <xf numFmtId="183" fontId="0" fillId="0" borderId="0" xfId="0" applyNumberFormat="1"/>
    <xf numFmtId="0" fontId="0" fillId="0" borderId="0" xfId="0"/>
    <xf numFmtId="0" fontId="0" fillId="6" borderId="0" xfId="0" applyFill="1" applyAlignment="1"/>
    <xf numFmtId="0" fontId="13" fillId="6" borderId="0" xfId="0" applyFont="1" applyFill="1" applyBorder="1" applyAlignment="1">
      <alignment vertical="top" wrapText="1"/>
    </xf>
    <xf numFmtId="0" fontId="0" fillId="6" borderId="0" xfId="0" applyFill="1" applyBorder="1" applyAlignment="1"/>
    <xf numFmtId="0" fontId="0" fillId="69" borderId="0" xfId="0" applyFill="1"/>
    <xf numFmtId="0" fontId="8" fillId="0" borderId="0" xfId="0" applyFont="1" applyAlignment="1">
      <alignment horizontal="center"/>
    </xf>
    <xf numFmtId="0" fontId="0" fillId="0" borderId="0" xfId="0" applyAlignment="1">
      <alignment horizontal="center"/>
    </xf>
    <xf numFmtId="0" fontId="0" fillId="0" borderId="0" xfId="0" applyAlignment="1">
      <alignment horizontal="center" wrapText="1"/>
    </xf>
    <xf numFmtId="0" fontId="54" fillId="54" borderId="96" xfId="0" applyFont="1" applyFill="1" applyBorder="1" applyAlignment="1">
      <alignment horizontal="center" vertical="center" wrapText="1"/>
    </xf>
    <xf numFmtId="0" fontId="54" fillId="54" borderId="97" xfId="0" applyFont="1" applyFill="1" applyBorder="1" applyAlignment="1">
      <alignment horizontal="center" vertical="center" wrapText="1"/>
    </xf>
    <xf numFmtId="0" fontId="54" fillId="54" borderId="98" xfId="0" applyFont="1" applyFill="1" applyBorder="1" applyAlignment="1">
      <alignment horizontal="center" vertical="center" wrapText="1"/>
    </xf>
    <xf numFmtId="0" fontId="73" fillId="0" borderId="0" xfId="0" applyFont="1" applyAlignment="1">
      <alignment horizontal="center" vertical="center" wrapText="1"/>
    </xf>
    <xf numFmtId="0" fontId="0" fillId="0" borderId="89" xfId="0" applyBorder="1" applyAlignment="1">
      <alignment horizontal="center" wrapText="1"/>
    </xf>
    <xf numFmtId="0" fontId="13" fillId="6" borderId="0" xfId="0" applyFont="1" applyFill="1" applyAlignment="1">
      <alignment horizontal="left" vertical="center" wrapText="1"/>
    </xf>
    <xf numFmtId="168" fontId="0" fillId="6" borderId="0" xfId="0" applyNumberFormat="1" applyFill="1" applyAlignment="1">
      <alignment horizontal="center"/>
    </xf>
    <xf numFmtId="0" fontId="48" fillId="6" borderId="49" xfId="0" applyFont="1" applyFill="1" applyBorder="1" applyAlignment="1">
      <alignment horizontal="left"/>
    </xf>
    <xf numFmtId="0" fontId="12" fillId="17" borderId="46" xfId="3" applyFont="1" applyFill="1" applyBorder="1" applyAlignment="1">
      <alignment horizontal="center" vertical="center"/>
    </xf>
    <xf numFmtId="0" fontId="12" fillId="17" borderId="47" xfId="3" applyFont="1" applyFill="1" applyBorder="1" applyAlignment="1">
      <alignment horizontal="center" vertical="center"/>
    </xf>
    <xf numFmtId="0" fontId="12" fillId="17" borderId="48" xfId="3" applyFont="1" applyFill="1" applyBorder="1" applyAlignment="1">
      <alignment horizontal="center" vertical="center"/>
    </xf>
    <xf numFmtId="0" fontId="12" fillId="17" borderId="26" xfId="3" applyFont="1" applyFill="1" applyBorder="1" applyAlignment="1">
      <alignment horizontal="center" vertical="center"/>
    </xf>
    <xf numFmtId="0" fontId="12" fillId="17" borderId="27" xfId="3" applyFont="1" applyFill="1" applyBorder="1" applyAlignment="1">
      <alignment horizontal="center" vertical="center"/>
    </xf>
    <xf numFmtId="0" fontId="0" fillId="0" borderId="27" xfId="0" applyBorder="1" applyAlignment="1">
      <alignment vertical="center"/>
    </xf>
    <xf numFmtId="0" fontId="0" fillId="0" borderId="28" xfId="0" applyBorder="1" applyAlignment="1">
      <alignment vertical="center"/>
    </xf>
    <xf numFmtId="0" fontId="12" fillId="17" borderId="16" xfId="3" applyFont="1" applyFill="1" applyBorder="1" applyAlignment="1">
      <alignment horizontal="center" vertical="center"/>
    </xf>
    <xf numFmtId="0" fontId="12" fillId="17" borderId="41" xfId="3" applyFont="1" applyFill="1" applyBorder="1" applyAlignment="1">
      <alignment horizontal="center" vertical="center"/>
    </xf>
    <xf numFmtId="0" fontId="0" fillId="0" borderId="41" xfId="0" applyBorder="1" applyAlignment="1">
      <alignment vertical="center"/>
    </xf>
    <xf numFmtId="0" fontId="0" fillId="0" borderId="17" xfId="0" applyBorder="1" applyAlignment="1">
      <alignment vertical="center"/>
    </xf>
    <xf numFmtId="3" fontId="0" fillId="20" borderId="11" xfId="0" applyNumberFormat="1" applyFill="1" applyBorder="1" applyAlignment="1" applyProtection="1">
      <alignment horizontal="center" vertical="center"/>
      <protection locked="0"/>
    </xf>
    <xf numFmtId="3" fontId="0" fillId="20" borderId="23" xfId="0" applyNumberFormat="1" applyFill="1" applyBorder="1" applyAlignment="1" applyProtection="1">
      <alignment horizontal="center" vertical="center"/>
      <protection locked="0"/>
    </xf>
    <xf numFmtId="3" fontId="0" fillId="20" borderId="12" xfId="0" applyNumberFormat="1" applyFill="1" applyBorder="1" applyAlignment="1" applyProtection="1">
      <alignment horizontal="center" vertical="center"/>
      <protection locked="0"/>
    </xf>
    <xf numFmtId="3" fontId="0" fillId="20" borderId="11" xfId="0" applyNumberFormat="1" applyFill="1" applyBorder="1" applyAlignment="1" applyProtection="1">
      <alignment horizontal="center" vertical="center" wrapText="1"/>
      <protection locked="0"/>
    </xf>
    <xf numFmtId="3" fontId="0" fillId="20" borderId="23" xfId="0" applyNumberFormat="1" applyFill="1" applyBorder="1" applyAlignment="1" applyProtection="1">
      <alignment horizontal="center" vertical="center" wrapText="1"/>
      <protection locked="0"/>
    </xf>
    <xf numFmtId="0" fontId="0" fillId="0" borderId="23" xfId="0" applyBorder="1" applyAlignment="1" applyProtection="1">
      <alignment vertical="center" wrapText="1"/>
      <protection locked="0"/>
    </xf>
    <xf numFmtId="0" fontId="0" fillId="0" borderId="12" xfId="0" applyBorder="1" applyAlignment="1" applyProtection="1">
      <alignment vertical="center" wrapText="1"/>
      <protection locked="0"/>
    </xf>
    <xf numFmtId="0" fontId="16" fillId="6" borderId="0" xfId="0" applyFont="1" applyFill="1" applyAlignment="1">
      <alignment horizontal="center" vertical="top" wrapText="1"/>
    </xf>
    <xf numFmtId="0" fontId="40" fillId="6" borderId="0" xfId="0" applyFont="1" applyFill="1" applyAlignment="1">
      <alignment horizontal="left" vertical="top" wrapText="1"/>
    </xf>
    <xf numFmtId="0" fontId="0" fillId="6" borderId="0" xfId="0" applyFill="1" applyAlignment="1">
      <alignment horizontal="left" vertical="top" wrapText="1"/>
    </xf>
    <xf numFmtId="0" fontId="13" fillId="6" borderId="0" xfId="0" applyFont="1" applyFill="1" applyAlignment="1">
      <alignment horizontal="left" vertical="top" wrapText="1"/>
    </xf>
    <xf numFmtId="0" fontId="6" fillId="6" borderId="49" xfId="0" applyFont="1" applyFill="1" applyBorder="1" applyAlignment="1">
      <alignment horizontal="left"/>
    </xf>
    <xf numFmtId="0" fontId="36" fillId="6" borderId="49" xfId="0" applyFont="1" applyFill="1" applyBorder="1" applyAlignment="1">
      <alignment horizontal="left"/>
    </xf>
    <xf numFmtId="0" fontId="8" fillId="0" borderId="24"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wrapText="1"/>
    </xf>
    <xf numFmtId="0" fontId="13" fillId="0" borderId="0" xfId="0" applyFont="1" applyAlignment="1">
      <alignment wrapText="1"/>
    </xf>
    <xf numFmtId="0" fontId="0" fillId="0" borderId="0" xfId="0"/>
    <xf numFmtId="0" fontId="36" fillId="6" borderId="49" xfId="0" applyFont="1" applyFill="1" applyBorder="1" applyAlignment="1">
      <alignment horizontal="center"/>
    </xf>
    <xf numFmtId="0" fontId="34" fillId="6" borderId="0" xfId="0" applyFont="1" applyFill="1" applyAlignment="1">
      <alignment horizontal="center" vertical="center" wrapText="1"/>
    </xf>
    <xf numFmtId="0" fontId="0" fillId="8" borderId="0" xfId="0" applyFill="1" applyAlignment="1">
      <alignment horizontal="center"/>
    </xf>
    <xf numFmtId="0" fontId="0" fillId="59" borderId="0" xfId="0" applyFill="1" applyAlignment="1">
      <alignment horizontal="center"/>
    </xf>
    <xf numFmtId="0" fontId="0" fillId="60" borderId="0" xfId="0" applyFill="1" applyAlignment="1">
      <alignment horizontal="center"/>
    </xf>
    <xf numFmtId="0" fontId="11" fillId="6" borderId="0" xfId="0" applyFont="1" applyFill="1" applyAlignment="1">
      <alignment horizontal="center" vertical="center"/>
    </xf>
    <xf numFmtId="0" fontId="15" fillId="16" borderId="41" xfId="0" applyFont="1" applyFill="1" applyBorder="1" applyAlignment="1">
      <alignment horizontal="center" vertical="center" wrapText="1"/>
    </xf>
    <xf numFmtId="0" fontId="15" fillId="16" borderId="39" xfId="0" applyFont="1" applyFill="1" applyBorder="1" applyAlignment="1">
      <alignment horizontal="center" vertical="center" wrapText="1"/>
    </xf>
    <xf numFmtId="0" fontId="15" fillId="16" borderId="42" xfId="0" applyFont="1" applyFill="1" applyBorder="1" applyAlignment="1">
      <alignment horizontal="center" vertical="center" wrapText="1"/>
    </xf>
    <xf numFmtId="0" fontId="11" fillId="0" borderId="40" xfId="0" applyFont="1" applyBorder="1" applyAlignment="1">
      <alignment horizontal="center"/>
    </xf>
    <xf numFmtId="0" fontId="11" fillId="0" borderId="43" xfId="0" applyFont="1" applyBorder="1" applyAlignment="1">
      <alignment horizontal="center"/>
    </xf>
    <xf numFmtId="0" fontId="11" fillId="0" borderId="13" xfId="0" applyFont="1" applyBorder="1" applyAlignment="1">
      <alignment horizontal="center"/>
    </xf>
    <xf numFmtId="0" fontId="0" fillId="0" borderId="23" xfId="0" applyBorder="1" applyAlignment="1">
      <alignment horizontal="center" vertical="center"/>
    </xf>
    <xf numFmtId="0" fontId="33" fillId="6" borderId="0" xfId="0" applyFont="1" applyFill="1" applyAlignment="1">
      <alignment horizontal="center" vertical="top" wrapText="1"/>
    </xf>
    <xf numFmtId="3" fontId="0" fillId="6" borderId="79" xfId="0" applyNumberFormat="1" applyFill="1" applyBorder="1" applyAlignment="1">
      <alignment horizontal="left"/>
    </xf>
    <xf numFmtId="3" fontId="0" fillId="6" borderId="0" xfId="0" applyNumberFormat="1" applyFill="1" applyAlignment="1">
      <alignment horizontal="left"/>
    </xf>
    <xf numFmtId="0" fontId="51" fillId="0" borderId="23" xfId="0" applyFont="1" applyFill="1" applyBorder="1" applyAlignment="1">
      <alignment horizontal="center" vertical="center" wrapText="1"/>
    </xf>
    <xf numFmtId="171" fontId="51" fillId="0" borderId="23" xfId="1" applyNumberFormat="1" applyFont="1" applyFill="1" applyBorder="1" applyAlignment="1">
      <alignment horizontal="center" vertical="center" wrapText="1"/>
    </xf>
  </cellXfs>
  <cellStyles count="71">
    <cellStyle name="20 % - Accent1" xfId="25" builtinId="30" customBuiltin="1"/>
    <cellStyle name="20 % - Accent2" xfId="29" builtinId="34" customBuiltin="1"/>
    <cellStyle name="20 % - Accent3" xfId="33" builtinId="38" customBuiltin="1"/>
    <cellStyle name="20 % - Accent4" xfId="37" builtinId="42" customBuiltin="1"/>
    <cellStyle name="20 % - Accent5" xfId="41" builtinId="46" customBuiltin="1"/>
    <cellStyle name="20 % - Accent6" xfId="45" builtinId="50" customBuiltin="1"/>
    <cellStyle name="40 % - Accent1" xfId="26" builtinId="31" customBuiltin="1"/>
    <cellStyle name="40 % - Accent2" xfId="30" builtinId="35" customBuiltin="1"/>
    <cellStyle name="40 % - Accent3" xfId="34" builtinId="39" customBuiltin="1"/>
    <cellStyle name="40 % - Accent4" xfId="38" builtinId="43" customBuiltin="1"/>
    <cellStyle name="40 % - Accent5" xfId="42" builtinId="47" customBuiltin="1"/>
    <cellStyle name="40 % - Accent6" xfId="46" builtinId="51" customBuiltin="1"/>
    <cellStyle name="60 % - Accent1" xfId="27" builtinId="32" customBuiltin="1"/>
    <cellStyle name="60 % - Accent2" xfId="31" builtinId="36" customBuiltin="1"/>
    <cellStyle name="60 % - Accent3" xfId="35" builtinId="40" customBuiltin="1"/>
    <cellStyle name="60 % - Accent4" xfId="39" builtinId="44" customBuiltin="1"/>
    <cellStyle name="60 % - Accent5" xfId="43" builtinId="48" customBuiltin="1"/>
    <cellStyle name="60 %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Avertissement" xfId="20" builtinId="11" customBuiltin="1"/>
    <cellStyle name="Calcul" xfId="17" builtinId="22" customBuiltin="1"/>
    <cellStyle name="Cellule liée" xfId="18" builtinId="24" customBuiltin="1"/>
    <cellStyle name="Entrée" xfId="15" builtinId="20" customBuiltin="1"/>
    <cellStyle name="Insatisfaisant" xfId="13" builtinId="27" customBuiltin="1"/>
    <cellStyle name="Lien hypertexte" xfId="57" builtinId="8"/>
    <cellStyle name="Milliers" xfId="1" builtinId="3"/>
    <cellStyle name="Milliers 2" xfId="6" xr:uid="{00000000-0005-0000-0000-00001F000000}"/>
    <cellStyle name="Milliers 3" xfId="48" xr:uid="{00000000-0005-0000-0000-000020000000}"/>
    <cellStyle name="Milliers 3 2" xfId="54" xr:uid="{00000000-0005-0000-0000-000021000000}"/>
    <cellStyle name="Milliers 3 2 2" xfId="67" xr:uid="{00000000-0005-0000-0000-000022000000}"/>
    <cellStyle name="Milliers 3 3" xfId="61" xr:uid="{00000000-0005-0000-0000-000023000000}"/>
    <cellStyle name="Milliers 4" xfId="51" xr:uid="{00000000-0005-0000-0000-000024000000}"/>
    <cellStyle name="Milliers 4 2" xfId="64" xr:uid="{00000000-0005-0000-0000-000025000000}"/>
    <cellStyle name="Milliers 5" xfId="58" xr:uid="{00000000-0005-0000-0000-000026000000}"/>
    <cellStyle name="Monétaire" xfId="4" builtinId="4"/>
    <cellStyle name="Monétaire 2" xfId="5" xr:uid="{00000000-0005-0000-0000-000028000000}"/>
    <cellStyle name="Monétaire 2 2" xfId="50" xr:uid="{00000000-0005-0000-0000-000029000000}"/>
    <cellStyle name="Monétaire 2 2 2" xfId="56" xr:uid="{00000000-0005-0000-0000-00002A000000}"/>
    <cellStyle name="Monétaire 2 2 2 2" xfId="69" xr:uid="{00000000-0005-0000-0000-00002B000000}"/>
    <cellStyle name="Monétaire 2 2 3" xfId="63" xr:uid="{00000000-0005-0000-0000-00002C000000}"/>
    <cellStyle name="Monétaire 2 3" xfId="53" xr:uid="{00000000-0005-0000-0000-00002D000000}"/>
    <cellStyle name="Monétaire 2 3 2" xfId="66" xr:uid="{00000000-0005-0000-0000-00002E000000}"/>
    <cellStyle name="Monétaire 2 4" xfId="60" xr:uid="{00000000-0005-0000-0000-00002F000000}"/>
    <cellStyle name="Monétaire 3" xfId="49" xr:uid="{00000000-0005-0000-0000-000030000000}"/>
    <cellStyle name="Monétaire 3 2" xfId="55" xr:uid="{00000000-0005-0000-0000-000031000000}"/>
    <cellStyle name="Monétaire 3 2 2" xfId="68" xr:uid="{00000000-0005-0000-0000-000032000000}"/>
    <cellStyle name="Monétaire 3 3" xfId="62" xr:uid="{00000000-0005-0000-0000-000033000000}"/>
    <cellStyle name="Monétaire 4" xfId="52" xr:uid="{00000000-0005-0000-0000-000034000000}"/>
    <cellStyle name="Monétaire 4 2" xfId="65" xr:uid="{00000000-0005-0000-0000-000035000000}"/>
    <cellStyle name="Monétaire 5" xfId="59" xr:uid="{00000000-0005-0000-0000-000036000000}"/>
    <cellStyle name="Neutre" xfId="14" builtinId="28" customBuiltin="1"/>
    <cellStyle name="Normal" xfId="0" builtinId="0"/>
    <cellStyle name="Normal 2" xfId="3" xr:uid="{00000000-0005-0000-0000-000039000000}"/>
    <cellStyle name="Normal 3" xfId="70" xr:uid="{00000000-0005-0000-0000-00003A000000}"/>
    <cellStyle name="Note" xfId="21" builtinId="10" customBuiltin="1"/>
    <cellStyle name="Pourcentage" xfId="2" builtinId="5"/>
    <cellStyle name="Satisfaisant" xfId="12" builtinId="26" customBuiltin="1"/>
    <cellStyle name="Sortie" xfId="16" builtinId="21" customBuiltin="1"/>
    <cellStyle name="Texte explicatif" xfId="22" builtinId="53" customBuiltin="1"/>
    <cellStyle name="Titre" xfId="7" builtinId="15" customBuiltin="1"/>
    <cellStyle name="Titre 1" xfId="8" builtinId="16" customBuiltin="1"/>
    <cellStyle name="Titre 2" xfId="9" builtinId="17" customBuiltin="1"/>
    <cellStyle name="Titre 3" xfId="10" builtinId="18" customBuiltin="1"/>
    <cellStyle name="Titre 4" xfId="11" builtinId="19" customBuiltin="1"/>
    <cellStyle name="Total" xfId="23" builtinId="25" customBuiltin="1"/>
    <cellStyle name="Vérification" xfId="19" builtinId="23" customBuiltin="1"/>
  </cellStyles>
  <dxfs count="177">
    <dxf>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numFmt numFmtId="3" formatCode="#,##0"/>
      <fill>
        <patternFill patternType="solid">
          <fgColor indexed="64"/>
          <bgColor theme="0"/>
        </patternFill>
      </fill>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numFmt numFmtId="3" formatCode="#,##0"/>
      <fill>
        <patternFill patternType="solid">
          <fgColor indexed="64"/>
          <bgColor theme="0"/>
        </patternFill>
      </fill>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numFmt numFmtId="19" formatCode="dd/mm/yyyy"/>
      <fill>
        <patternFill patternType="solid">
          <fgColor indexed="64"/>
          <bgColor theme="0"/>
        </patternFill>
      </fill>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dxf>
    <dxf>
      <numFmt numFmtId="3" formatCode="#,##0"/>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3" formatCode="#,##0"/>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top/>
        <bottom style="thin">
          <color indexed="64"/>
        </bottom>
        <vertical/>
        <horizontal/>
      </border>
    </dxf>
    <dxf>
      <numFmt numFmtId="3" formatCode="#,##0"/>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3" formatCode="#,##0"/>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dd/mm/yyyy"/>
      <fill>
        <patternFill patternType="solid">
          <fgColor indexed="64"/>
          <bgColor theme="0" tint="-4.9989318521683403E-2"/>
        </patternFill>
      </fill>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protection locked="0" hidden="0"/>
    </dxf>
    <dxf>
      <border outline="0">
        <left style="thin">
          <color indexed="64"/>
        </left>
        <right style="thin">
          <color indexed="64"/>
        </right>
        <bottom style="thin">
          <color auto="1"/>
        </bottom>
      </border>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numFmt numFmtId="0" formatCode="General"/>
      <protection locked="0" hidden="0"/>
    </dxf>
    <dxf>
      <numFmt numFmtId="179"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protection locked="0" hidden="0"/>
    </dxf>
    <dxf>
      <numFmt numFmtId="0" formatCode="General"/>
    </dxf>
    <dxf>
      <numFmt numFmtId="171" formatCode="_-* #,##0_-;\-* #,##0_-;_-* &quot;-&quot;??_-;_-@_-"/>
    </dxf>
    <dxf>
      <protection locked="0" hidden="0"/>
    </dxf>
    <dxf>
      <numFmt numFmtId="19" formatCode="dd/mm/yyyy"/>
    </dxf>
    <dxf>
      <border outline="0">
        <top style="thin">
          <color rgb="FF9BC2E6"/>
        </top>
      </border>
    </dxf>
    <dxf>
      <border outline="0">
        <bottom style="thin">
          <color rgb="FF9BC2E6"/>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C00000"/>
      </font>
      <fill>
        <patternFill>
          <bgColor rgb="FFFF9999"/>
        </patternFill>
      </fill>
    </dxf>
    <dxf>
      <numFmt numFmtId="0" formatCode="General"/>
    </dxf>
    <dxf>
      <numFmt numFmtId="179" formatCode="_-* #,##0.0_-;\-* #,##0.0_-;_-* &quot;-&quot;??_-;_-@_-"/>
      <fill>
        <patternFill patternType="none">
          <fgColor indexed="64"/>
          <bgColor indexed="65"/>
        </patternFill>
      </fil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0" hidden="0"/>
    </dxf>
    <dxf>
      <numFmt numFmtId="0" formatCode="General"/>
      <protection locked="1" hidden="0"/>
    </dxf>
    <dxf>
      <protection locked="1" hidden="0"/>
    </dxf>
    <dxf>
      <protection locked="0" hidden="0"/>
    </dxf>
    <dxf>
      <numFmt numFmtId="19" formatCode="dd/mm/yyyy"/>
    </dxf>
    <dxf>
      <border outline="0">
        <top style="thin">
          <color rgb="FF9BC2E6"/>
        </top>
      </border>
    </dxf>
    <dxf>
      <border outline="0">
        <bottom style="thin">
          <color rgb="FF9BC2E6"/>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C00000"/>
      </font>
      <fill>
        <patternFill>
          <bgColor rgb="FFFF9999"/>
        </patternFill>
      </fill>
    </dxf>
    <dxf>
      <numFmt numFmtId="0" formatCode="General"/>
    </dxf>
    <dxf>
      <numFmt numFmtId="179" formatCode="_-* #,##0.0_-;\-* #,##0.0_-;_-* &quot;-&quot;??_-;_-@_-"/>
      <protection locked="1" hidden="0"/>
    </dxf>
    <dxf>
      <numFmt numFmtId="0" formatCode="General"/>
    </dxf>
    <dxf>
      <numFmt numFmtId="0" formatCode="General"/>
    </dxf>
    <dxf>
      <numFmt numFmtId="0" formatCode="General"/>
    </dxf>
    <dxf>
      <numFmt numFmtId="0" formatCode="General"/>
      <protection locked="0" hidden="0"/>
    </dxf>
    <dxf>
      <numFmt numFmtId="0" formatCode="General"/>
    </dxf>
    <dxf>
      <numFmt numFmtId="19" formatCode="dd/mm/yyyy"/>
      <protection locked="0" hidden="0"/>
    </dxf>
    <dxf>
      <numFmt numFmtId="19" formatCode="dd/mm/yyyy"/>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C00000"/>
      </font>
      <fill>
        <patternFill>
          <bgColor rgb="FFFF9999"/>
        </patternFill>
      </fill>
    </dxf>
    <dxf>
      <numFmt numFmtId="0" formatCode="General"/>
    </dxf>
    <dxf>
      <numFmt numFmtId="179"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protection locked="0" hidden="0"/>
    </dxf>
    <dxf>
      <numFmt numFmtId="35" formatCode="_-* #,##0.00_-;\-* #,##0.00_-;_-* &quot;-&quot;??_-;_-@_-"/>
    </dxf>
    <dxf>
      <numFmt numFmtId="35" formatCode="_-* #,##0.00_-;\-* #,##0.00_-;_-* &quot;-&quot;??_-;_-@_-"/>
    </dxf>
    <dxf>
      <numFmt numFmtId="19" formatCode="dd/mm/yyyy"/>
      <protection locked="0" hidden="0"/>
    </dxf>
    <dxf>
      <numFmt numFmtId="19" formatCode="dd/mm/yyyy"/>
    </dxf>
    <dxf>
      <font>
        <color rgb="FFC00000"/>
      </font>
      <fill>
        <patternFill>
          <bgColor rgb="FFFF9999"/>
        </patternFill>
      </fill>
    </dxf>
    <dxf>
      <numFmt numFmtId="0" formatCode="General"/>
    </dxf>
    <dxf>
      <numFmt numFmtId="179"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numFmt numFmtId="0" formatCode="General"/>
      <protection locked="0" hidden="0"/>
    </dxf>
    <dxf>
      <numFmt numFmtId="35" formatCode="_-* #,##0.00_-;\-* #,##0.00_-;_-* &quot;-&quot;??_-;_-@_-"/>
    </dxf>
    <dxf>
      <numFmt numFmtId="19" formatCode="dd/mm/yyyy"/>
      <protection locked="0" hidden="0"/>
    </dxf>
    <dxf>
      <numFmt numFmtId="19" formatCode="dd/mm/yyyy"/>
    </dxf>
    <dxf>
      <font>
        <color rgb="FFC00000"/>
      </font>
      <fill>
        <patternFill>
          <bgColor rgb="FFFF9999"/>
        </patternFill>
      </fill>
    </dxf>
    <dxf>
      <font>
        <color rgb="FFC00000"/>
      </font>
      <fill>
        <patternFill>
          <bgColor rgb="FFFF9999"/>
        </patternFill>
      </fill>
    </dxf>
    <dxf>
      <font>
        <color rgb="FFC00000"/>
      </font>
      <fill>
        <patternFill>
          <bgColor rgb="FFFF9999"/>
        </patternFill>
      </fill>
    </dxf>
    <dxf>
      <numFmt numFmtId="0" formatCode="General"/>
    </dxf>
    <dxf>
      <numFmt numFmtId="0" formatCode="General"/>
      <fill>
        <patternFill patternType="none">
          <fgColor indexed="64"/>
          <bgColor indexed="65"/>
        </patternFill>
      </fill>
      <protection locked="1" hidden="0"/>
    </dxf>
    <dxf>
      <numFmt numFmtId="0" formatCode="General"/>
    </dxf>
    <dxf>
      <numFmt numFmtId="0" formatCode="General"/>
    </dxf>
    <dxf>
      <numFmt numFmtId="0" formatCode="General"/>
    </dxf>
    <dxf>
      <font>
        <sz val="10"/>
        <color rgb="FF000000"/>
        <charset val="1"/>
      </font>
      <numFmt numFmtId="169" formatCode="_-* #,##0\ &quot;€&quot;_-;\-* #,##0\ &quot;€&quot;_-;_-* &quot;-&quot;??\ &quot;€&quot;_-;_-@_-"/>
      <fill>
        <patternFill patternType="none">
          <fgColor indexed="64"/>
          <bgColor auto="1"/>
        </patternFill>
      </fill>
      <protection locked="0" hidden="0"/>
    </dxf>
    <dxf>
      <numFmt numFmtId="169" formatCode="_-* #,##0\ &quot;€&quot;_-;\-* #,##0\ &quot;€&quot;_-;_-* &quot;-&quot;??\ &quot;€&quot;_-;_-@_-"/>
    </dxf>
    <dxf>
      <numFmt numFmtId="171" formatCode="_-* #,##0_-;\-* #,##0_-;_-* &quot;-&quot;??_-;_-@_-"/>
    </dxf>
    <dxf>
      <numFmt numFmtId="19" formatCode="dd/mm/yyyy"/>
      <protection locked="0" hidden="0"/>
    </dxf>
    <dxf>
      <numFmt numFmtId="19" formatCode="dd/mm/yyyy"/>
    </dxf>
    <dxf>
      <font>
        <color rgb="FFC00000"/>
      </font>
      <fill>
        <patternFill>
          <bgColor rgb="FFFF9999"/>
        </patternFill>
      </fill>
    </dxf>
    <dxf>
      <numFmt numFmtId="179"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font>
        <color auto="1"/>
      </font>
      <numFmt numFmtId="12" formatCode="#,##0.00\ &quot;€&quot;;[Red]\-#,##0.00\ &quot;€&quot;"/>
      <alignment horizontal="center" vertical="bottom" textRotation="0" wrapText="0" indent="0" justifyLastLine="0" shrinkToFit="0" readingOrder="0"/>
      <protection locked="0" hidden="0"/>
    </dxf>
    <dxf>
      <protection locked="0" hidden="0"/>
    </dxf>
    <dxf>
      <numFmt numFmtId="171" formatCode="_-* #,##0_-;\-* #,##0_-;_-* &quot;-&quot;??_-;_-@_-"/>
      <protection locked="0" hidden="0"/>
    </dxf>
    <dxf>
      <numFmt numFmtId="19" formatCode="dd/mm/yyyy"/>
      <protection locked="0" hidden="0"/>
    </dxf>
    <dxf>
      <numFmt numFmtId="19" formatCode="dd/mm/yyyy"/>
      <protection locked="0" hidden="0"/>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C00000"/>
      </font>
      <fill>
        <patternFill>
          <bgColor rgb="FFFF9999"/>
        </patternFill>
      </fill>
    </dxf>
    <dxf>
      <numFmt numFmtId="19" formatCode="dd/mm/yyyy"/>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protection locked="1" hidden="0"/>
    </dxf>
    <dxf>
      <font>
        <strike val="0"/>
        <outline val="0"/>
        <shadow val="0"/>
        <u val="none"/>
        <vertAlign val="baseline"/>
        <sz val="11"/>
        <color theme="1"/>
        <name val="Calibri"/>
        <scheme val="minor"/>
      </font>
      <numFmt numFmtId="179" formatCode="_-* #,##0.0_-;\-* #,##0.0_-;_-* &quot;-&quot;??_-;_-@_-"/>
      <fill>
        <patternFill patternType="none">
          <fgColor indexed="64"/>
          <bgColor indexed="65"/>
        </patternFill>
      </fill>
      <protection locked="1" hidden="0"/>
    </dxf>
    <dxf>
      <numFmt numFmtId="0" formatCode="General"/>
    </dxf>
    <dxf>
      <numFmt numFmtId="0" formatCode="General"/>
    </dxf>
    <dxf>
      <numFmt numFmtId="0" formatCode="General"/>
    </dxf>
    <dxf>
      <fill>
        <patternFill patternType="solid">
          <fgColor indexed="64"/>
          <bgColor theme="0"/>
        </patternFill>
      </fill>
    </dxf>
    <dxf>
      <fill>
        <patternFill patternType="solid">
          <fgColor indexed="64"/>
          <bgColor theme="0"/>
        </patternFill>
      </fill>
      <protection locked="0" hidden="0"/>
    </dxf>
    <dxf>
      <numFmt numFmtId="0" formatCode="General"/>
    </dxf>
    <dxf>
      <numFmt numFmtId="0" formatCode="General"/>
      <alignment horizontal="right" vertical="bottom" textRotation="0" wrapText="0" indent="0" justifyLastLine="0" shrinkToFit="0" readingOrder="0"/>
    </dxf>
    <dxf>
      <numFmt numFmtId="171" formatCode="_-* #,##0_-;\-* #,##0_-;_-* &quot;-&quot;??_-;_-@_-"/>
      <alignment horizontal="right" textRotation="0" wrapText="0" indent="0" justifyLastLine="0" shrinkToFit="0" readingOrder="0"/>
    </dxf>
    <dxf>
      <alignment horizontal="right" vertical="bottom" textRotation="0" wrapText="0" indent="0" justifyLastLine="0" shrinkToFit="0" readingOrder="0"/>
    </dxf>
    <dxf>
      <numFmt numFmtId="19" formatCode="dd/mm/yyyy"/>
      <alignment horizontal="right" vertical="bottom" textRotation="0" wrapText="0" indent="0" justifyLastLine="0" shrinkToFit="0" readingOrder="0"/>
      <protection locked="0" hidden="0"/>
    </dxf>
    <dxf>
      <numFmt numFmtId="19" formatCode="dd/mm/yyyy"/>
    </dxf>
    <dxf>
      <font>
        <b/>
        <i val="0"/>
        <strike val="0"/>
        <condense val="0"/>
        <extend val="0"/>
        <outline val="0"/>
        <shadow val="0"/>
        <u val="none"/>
        <vertAlign val="baseline"/>
        <sz val="11"/>
        <color theme="0"/>
        <name val="Calibri"/>
        <scheme val="minor"/>
      </font>
      <fill>
        <patternFill patternType="solid">
          <fgColor theme="4"/>
          <bgColor theme="4"/>
        </patternFill>
      </fill>
      <border diagonalUp="0" diagonalDown="0" outline="0">
        <left style="thin">
          <color theme="4" tint="0.39997558519241921"/>
        </left>
        <right style="thin">
          <color theme="4" tint="0.39997558519241921"/>
        </right>
        <top/>
        <bottom/>
      </border>
    </dxf>
    <dxf>
      <font>
        <color rgb="FFC00000"/>
      </font>
      <fill>
        <patternFill>
          <bgColor rgb="FFFF9999"/>
        </patternFill>
      </fill>
    </dxf>
    <dxf>
      <numFmt numFmtId="0" formatCode="General"/>
    </dxf>
    <dxf>
      <numFmt numFmtId="3" formatCode="#,##0"/>
    </dxf>
    <dxf>
      <numFmt numFmtId="3" formatCode="#,##0"/>
    </dxf>
    <dxf>
      <font>
        <b/>
        <i val="0"/>
        <strike val="0"/>
        <condense val="0"/>
        <extend val="0"/>
        <outline val="0"/>
        <shadow val="0"/>
        <u val="none"/>
        <vertAlign val="baseline"/>
        <sz val="10"/>
        <color theme="1"/>
        <name val="Calibri"/>
        <family val="2"/>
        <scheme val="minor"/>
      </font>
      <fill>
        <patternFill patternType="solid">
          <fgColor indexed="64"/>
          <bgColor theme="8" tint="0.39997558519241921"/>
        </patternFill>
      </fill>
      <alignment horizontal="center" vertical="center" textRotation="0" wrapText="0" indent="0" justifyLastLine="0" shrinkToFit="0" readingOrder="0"/>
    </dxf>
    <dxf>
      <numFmt numFmtId="4" formatCode="#,##0.00"/>
    </dxf>
    <dxf>
      <numFmt numFmtId="4" formatCode="#,##0.00"/>
    </dxf>
    <dxf>
      <numFmt numFmtId="4" formatCode="#,##0.00"/>
    </dxf>
    <dxf>
      <numFmt numFmtId="4" formatCode="#,##0.00"/>
    </dxf>
    <dxf>
      <numFmt numFmtId="4" formatCode="#,##0.00"/>
    </dxf>
    <dxf>
      <numFmt numFmtId="4" formatCode="#,##0.00"/>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protection locked="0" hidden="0"/>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protection locked="0" hidden="0"/>
    </dxf>
    <dxf>
      <font>
        <b val="0"/>
        <i val="0"/>
        <strike val="0"/>
        <condense val="0"/>
        <extend val="0"/>
        <outline val="0"/>
        <shadow val="0"/>
        <u val="none"/>
        <vertAlign val="baseline"/>
        <sz val="11"/>
        <color theme="1"/>
        <name val="Calibri"/>
        <scheme val="minor"/>
      </font>
      <protection locked="0" hidden="0"/>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protection locked="0" hidden="0"/>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protection locked="0" hidden="0"/>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protection locked="0" hidden="0"/>
    </dxf>
    <dxf>
      <border outline="0">
        <left style="thin">
          <color theme="4"/>
        </left>
        <right style="thin">
          <color theme="4"/>
        </right>
        <top style="thin">
          <color theme="4"/>
        </top>
      </border>
    </dxf>
    <dxf>
      <font>
        <b val="0"/>
        <i val="0"/>
        <strike val="0"/>
        <condense val="0"/>
        <extend val="0"/>
        <outline val="0"/>
        <shadow val="0"/>
        <u val="none"/>
        <vertAlign val="baseline"/>
        <sz val="11"/>
        <color theme="1"/>
        <name val="Calibri"/>
        <scheme val="minor"/>
      </font>
      <protection locked="0" hidden="0"/>
    </dxf>
    <dxf>
      <font>
        <b/>
        <i val="0"/>
        <strike val="0"/>
        <condense val="0"/>
        <extend val="0"/>
        <outline val="0"/>
        <shadow val="0"/>
        <u val="none"/>
        <vertAlign val="baseline"/>
        <sz val="11"/>
        <color theme="0"/>
        <name val="Calibri"/>
        <scheme val="minor"/>
      </font>
      <fill>
        <patternFill patternType="solid">
          <fgColor theme="4"/>
          <bgColor theme="4"/>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1" defaultTableStyle="TableStyleMedium2" defaultPivotStyle="PivotStyleLight16">
    <tableStyle name="Invisible" pivot="0" table="0" count="0" xr9:uid="{00000000-0011-0000-FFFF-FFFF00000000}"/>
  </tableStyles>
  <colors>
    <mruColors>
      <color rgb="FFFFFFFF"/>
      <color rgb="FFFF9999"/>
      <color rgb="FFFF9933"/>
      <color rgb="FFED7D31"/>
      <color rgb="FFEB701D"/>
      <color rgb="FFFFC7CE"/>
      <color rgb="FFFF7C80"/>
      <color rgb="FFFFDE75"/>
      <color rgb="FFD60093"/>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J22" s="39"/>
        <tr r="J22" s="39"/>
      </tp>
    </main>
  </volType>
</volTypes>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pivotCacheDefinition" Target="pivotCache/pivotCacheDefinition7.xml"/><Relationship Id="rId47" Type="http://schemas.openxmlformats.org/officeDocument/2006/relationships/pivotCacheDefinition" Target="pivotCache/pivotCacheDefinition12.xml"/><Relationship Id="rId63" Type="http://schemas.microsoft.com/office/2007/relationships/slicerCache" Target="slicerCaches/slicerCache7.xml"/><Relationship Id="rId68" Type="http://schemas.openxmlformats.org/officeDocument/2006/relationships/pivotCacheDefinition" Target="pivotCache/pivotCacheDefinition24.xml"/><Relationship Id="rId84" Type="http://schemas.openxmlformats.org/officeDocument/2006/relationships/customXml" Target="../customXml/item2.xml"/><Relationship Id="rId89" Type="http://schemas.openxmlformats.org/officeDocument/2006/relationships/customXml" Target="../customXml/item7.xml"/><Relationship Id="rId16" Type="http://schemas.openxmlformats.org/officeDocument/2006/relationships/worksheet" Target="worksheets/sheet16.xml"/><Relationship Id="rId107" Type="http://schemas.openxmlformats.org/officeDocument/2006/relationships/volatileDependencies" Target="volatileDependenci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pivotCacheDefinition" Target="pivotCache/pivotCacheDefinition2.xml"/><Relationship Id="rId53" Type="http://schemas.openxmlformats.org/officeDocument/2006/relationships/pivotCacheDefinition" Target="pivotCache/pivotCacheDefinition18.xml"/><Relationship Id="rId58" Type="http://schemas.microsoft.com/office/2007/relationships/slicerCache" Target="slicerCaches/slicerCache2.xml"/><Relationship Id="rId74" Type="http://schemas.microsoft.com/office/2011/relationships/timelineCache" Target="timelineCaches/timelineCache1.xml"/><Relationship Id="rId79" Type="http://schemas.openxmlformats.org/officeDocument/2006/relationships/sharedStrings" Target="sharedStrings.xml"/><Relationship Id="rId102" Type="http://schemas.openxmlformats.org/officeDocument/2006/relationships/customXml" Target="../customXml/item20.xml"/><Relationship Id="rId5" Type="http://schemas.openxmlformats.org/officeDocument/2006/relationships/worksheet" Target="worksheets/sheet5.xml"/><Relationship Id="rId90" Type="http://schemas.openxmlformats.org/officeDocument/2006/relationships/customXml" Target="../customXml/item8.xml"/><Relationship Id="rId95" Type="http://schemas.openxmlformats.org/officeDocument/2006/relationships/customXml" Target="../customXml/item1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pivotCacheDefinition" Target="pivotCache/pivotCacheDefinition8.xml"/><Relationship Id="rId48" Type="http://schemas.openxmlformats.org/officeDocument/2006/relationships/pivotCacheDefinition" Target="pivotCache/pivotCacheDefinition13.xml"/><Relationship Id="rId64" Type="http://schemas.microsoft.com/office/2007/relationships/slicerCache" Target="slicerCaches/slicerCache8.xml"/><Relationship Id="rId69" Type="http://schemas.openxmlformats.org/officeDocument/2006/relationships/pivotTable" Target="pivotTables/pivotTable1.xml"/><Relationship Id="rId80" Type="http://schemas.openxmlformats.org/officeDocument/2006/relationships/sheetMetadata" Target="metadata.xml"/><Relationship Id="rId85"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pivotCacheDefinition" Target="pivotCache/pivotCacheDefinition3.xml"/><Relationship Id="rId59" Type="http://schemas.microsoft.com/office/2007/relationships/slicerCache" Target="slicerCaches/slicerCache3.xml"/><Relationship Id="rId103" Type="http://schemas.openxmlformats.org/officeDocument/2006/relationships/customXml" Target="../customXml/item21.xml"/><Relationship Id="rId108"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pivotCacheDefinition" Target="pivotCache/pivotCacheDefinition6.xml"/><Relationship Id="rId54" Type="http://schemas.openxmlformats.org/officeDocument/2006/relationships/pivotCacheDefinition" Target="pivotCache/pivotCacheDefinition19.xml"/><Relationship Id="rId62" Type="http://schemas.microsoft.com/office/2007/relationships/slicerCache" Target="slicerCaches/slicerCache6.xml"/><Relationship Id="rId70" Type="http://schemas.openxmlformats.org/officeDocument/2006/relationships/pivotTable" Target="pivotTables/pivotTable2.xml"/><Relationship Id="rId75" Type="http://schemas.microsoft.com/office/2011/relationships/timelineCache" Target="timelineCaches/timelineCache2.xml"/><Relationship Id="rId83" Type="http://schemas.openxmlformats.org/officeDocument/2006/relationships/customXml" Target="../customXml/item1.xml"/><Relationship Id="rId88" Type="http://schemas.openxmlformats.org/officeDocument/2006/relationships/customXml" Target="../customXml/item6.xml"/><Relationship Id="rId91" Type="http://schemas.openxmlformats.org/officeDocument/2006/relationships/customXml" Target="../customXml/item9.xml"/><Relationship Id="rId96"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1.xml"/><Relationship Id="rId49" Type="http://schemas.openxmlformats.org/officeDocument/2006/relationships/pivotCacheDefinition" Target="pivotCache/pivotCacheDefinition14.xml"/><Relationship Id="rId57" Type="http://schemas.microsoft.com/office/2007/relationships/slicerCache" Target="slicerCaches/slicerCache1.xml"/><Relationship Id="rId106" Type="http://schemas.openxmlformats.org/officeDocument/2006/relationships/customXml" Target="../customXml/item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pivotCacheDefinition" Target="pivotCache/pivotCacheDefinition9.xml"/><Relationship Id="rId52" Type="http://schemas.openxmlformats.org/officeDocument/2006/relationships/pivotCacheDefinition" Target="pivotCache/pivotCacheDefinition17.xml"/><Relationship Id="rId60" Type="http://schemas.microsoft.com/office/2007/relationships/slicerCache" Target="slicerCaches/slicerCache4.xml"/><Relationship Id="rId65" Type="http://schemas.microsoft.com/office/2007/relationships/slicerCache" Target="slicerCaches/slicerCache9.xml"/><Relationship Id="rId73" Type="http://schemas.openxmlformats.org/officeDocument/2006/relationships/pivotCacheDefinition" Target="pivotCache/pivotCacheDefinition26.xml"/><Relationship Id="rId78" Type="http://schemas.openxmlformats.org/officeDocument/2006/relationships/styles" Target="styles.xml"/><Relationship Id="rId81" Type="http://schemas.openxmlformats.org/officeDocument/2006/relationships/powerPivotData" Target="model/item.data"/><Relationship Id="rId86" Type="http://schemas.openxmlformats.org/officeDocument/2006/relationships/customXml" Target="../customXml/item4.xml"/><Relationship Id="rId94" Type="http://schemas.openxmlformats.org/officeDocument/2006/relationships/customXml" Target="../customXml/item12.xml"/><Relationship Id="rId99" Type="http://schemas.openxmlformats.org/officeDocument/2006/relationships/customXml" Target="../customXml/item17.xml"/><Relationship Id="rId101" Type="http://schemas.openxmlformats.org/officeDocument/2006/relationships/customXml" Target="../customXml/item1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4.xml"/><Relationship Id="rId34" Type="http://schemas.openxmlformats.org/officeDocument/2006/relationships/worksheet" Target="worksheets/sheet34.xml"/><Relationship Id="rId50" Type="http://schemas.openxmlformats.org/officeDocument/2006/relationships/pivotCacheDefinition" Target="pivotCache/pivotCacheDefinition15.xml"/><Relationship Id="rId55" Type="http://schemas.openxmlformats.org/officeDocument/2006/relationships/pivotCacheDefinition" Target="pivotCache/pivotCacheDefinition20.xml"/><Relationship Id="rId76" Type="http://schemas.openxmlformats.org/officeDocument/2006/relationships/theme" Target="theme/theme1.xml"/><Relationship Id="rId97" Type="http://schemas.openxmlformats.org/officeDocument/2006/relationships/customXml" Target="../customXml/item15.xml"/><Relationship Id="rId104" Type="http://schemas.openxmlformats.org/officeDocument/2006/relationships/customXml" Target="../customXml/item22.xml"/><Relationship Id="rId7" Type="http://schemas.openxmlformats.org/officeDocument/2006/relationships/worksheet" Target="worksheets/sheet7.xml"/><Relationship Id="rId71" Type="http://schemas.openxmlformats.org/officeDocument/2006/relationships/pivotTable" Target="pivotTables/pivotTable3.xml"/><Relationship Id="rId92" Type="http://schemas.openxmlformats.org/officeDocument/2006/relationships/customXml" Target="../customXml/item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pivotCacheDefinition" Target="pivotCache/pivotCacheDefinition5.xml"/><Relationship Id="rId45" Type="http://schemas.openxmlformats.org/officeDocument/2006/relationships/pivotCacheDefinition" Target="pivotCache/pivotCacheDefinition10.xml"/><Relationship Id="rId66" Type="http://schemas.openxmlformats.org/officeDocument/2006/relationships/pivotCacheDefinition" Target="pivotCache/pivotCacheDefinition22.xml"/><Relationship Id="rId87" Type="http://schemas.openxmlformats.org/officeDocument/2006/relationships/customXml" Target="../customXml/item5.xml"/><Relationship Id="rId61" Type="http://schemas.microsoft.com/office/2007/relationships/slicerCache" Target="slicerCaches/slicerCache5.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pivotCacheDefinition" Target="pivotCache/pivotCacheDefinition21.xml"/><Relationship Id="rId77" Type="http://schemas.openxmlformats.org/officeDocument/2006/relationships/connections" Target="connections.xml"/><Relationship Id="rId100" Type="http://schemas.openxmlformats.org/officeDocument/2006/relationships/customXml" Target="../customXml/item18.xml"/><Relationship Id="rId105" Type="http://schemas.openxmlformats.org/officeDocument/2006/relationships/customXml" Target="../customXml/item23.xml"/><Relationship Id="rId8" Type="http://schemas.openxmlformats.org/officeDocument/2006/relationships/worksheet" Target="worksheets/sheet8.xml"/><Relationship Id="rId51" Type="http://schemas.openxmlformats.org/officeDocument/2006/relationships/pivotCacheDefinition" Target="pivotCache/pivotCacheDefinition16.xml"/><Relationship Id="rId72" Type="http://schemas.openxmlformats.org/officeDocument/2006/relationships/pivotCacheDefinition" Target="pivotCache/pivotCacheDefinition25.xml"/><Relationship Id="rId93" Type="http://schemas.openxmlformats.org/officeDocument/2006/relationships/customXml" Target="../customXml/item11.xml"/><Relationship Id="rId98" Type="http://schemas.openxmlformats.org/officeDocument/2006/relationships/customXml" Target="../customXml/item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pivotCacheDefinition" Target="pivotCache/pivotCacheDefinition11.xml"/><Relationship Id="rId67" Type="http://schemas.openxmlformats.org/officeDocument/2006/relationships/pivotCacheDefinition" Target="pivotCache/pivotCacheDefinition2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380169171393"/>
          <c:y val="6.033172936716244E-2"/>
          <c:w val="0.79016883415058137"/>
          <c:h val="1"/>
        </c:manualLayout>
      </c:layout>
      <c:doughnutChart>
        <c:varyColors val="1"/>
        <c:ser>
          <c:idx val="0"/>
          <c:order val="0"/>
          <c:tx>
            <c:v>Etiquettes</c:v>
          </c:tx>
          <c:spPr>
            <a:ln>
              <a:noFill/>
            </a:ln>
          </c:spPr>
          <c:dPt>
            <c:idx val="0"/>
            <c:bubble3D val="0"/>
            <c:spPr>
              <a:solidFill>
                <a:srgbClr val="009900"/>
              </a:solidFill>
              <a:ln w="19050">
                <a:noFill/>
              </a:ln>
              <a:effectLst/>
            </c:spPr>
            <c:extLst>
              <c:ext xmlns:c16="http://schemas.microsoft.com/office/drawing/2014/chart" uri="{C3380CC4-5D6E-409C-BE32-E72D297353CC}">
                <c16:uniqueId val="{00000001-7832-4EB5-A2AF-747EB7071E7F}"/>
              </c:ext>
            </c:extLst>
          </c:dPt>
          <c:dPt>
            <c:idx val="1"/>
            <c:bubble3D val="0"/>
            <c:spPr>
              <a:solidFill>
                <a:srgbClr val="33CC33"/>
              </a:solidFill>
              <a:ln w="19050">
                <a:noFill/>
              </a:ln>
              <a:effectLst/>
            </c:spPr>
            <c:extLst>
              <c:ext xmlns:c16="http://schemas.microsoft.com/office/drawing/2014/chart" uri="{C3380CC4-5D6E-409C-BE32-E72D297353CC}">
                <c16:uniqueId val="{00000003-7832-4EB5-A2AF-747EB7071E7F}"/>
              </c:ext>
            </c:extLst>
          </c:dPt>
          <c:dPt>
            <c:idx val="2"/>
            <c:bubble3D val="0"/>
            <c:spPr>
              <a:solidFill>
                <a:srgbClr val="92D050"/>
              </a:solidFill>
              <a:ln w="19050">
                <a:noFill/>
              </a:ln>
              <a:effectLst/>
            </c:spPr>
            <c:extLst>
              <c:ext xmlns:c16="http://schemas.microsoft.com/office/drawing/2014/chart" uri="{C3380CC4-5D6E-409C-BE32-E72D297353CC}">
                <c16:uniqueId val="{00000005-7832-4EB5-A2AF-747EB7071E7F}"/>
              </c:ext>
            </c:extLst>
          </c:dPt>
          <c:dPt>
            <c:idx val="3"/>
            <c:bubble3D val="0"/>
            <c:spPr>
              <a:solidFill>
                <a:schemeClr val="accent4"/>
              </a:solidFill>
              <a:ln w="19050">
                <a:noFill/>
              </a:ln>
              <a:effectLst/>
            </c:spPr>
            <c:extLst>
              <c:ext xmlns:c16="http://schemas.microsoft.com/office/drawing/2014/chart" uri="{C3380CC4-5D6E-409C-BE32-E72D297353CC}">
                <c16:uniqueId val="{00000007-7832-4EB5-A2AF-747EB7071E7F}"/>
              </c:ext>
            </c:extLst>
          </c:dPt>
          <c:dPt>
            <c:idx val="4"/>
            <c:bubble3D val="0"/>
            <c:spPr>
              <a:solidFill>
                <a:srgbClr val="FF9933"/>
              </a:solidFill>
              <a:ln w="19050">
                <a:noFill/>
              </a:ln>
              <a:effectLst/>
            </c:spPr>
            <c:extLst>
              <c:ext xmlns:c16="http://schemas.microsoft.com/office/drawing/2014/chart" uri="{C3380CC4-5D6E-409C-BE32-E72D297353CC}">
                <c16:uniqueId val="{00000009-7832-4EB5-A2AF-747EB7071E7F}"/>
              </c:ext>
            </c:extLst>
          </c:dPt>
          <c:dPt>
            <c:idx val="5"/>
            <c:bubble3D val="0"/>
            <c:spPr>
              <a:noFill/>
              <a:ln w="19050">
                <a:noFill/>
              </a:ln>
              <a:effectLst/>
            </c:spPr>
            <c:extLst>
              <c:ext xmlns:c16="http://schemas.microsoft.com/office/drawing/2014/chart" uri="{C3380CC4-5D6E-409C-BE32-E72D297353CC}">
                <c16:uniqueId val="{0000000B-7832-4EB5-A2AF-747EB7071E7F}"/>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Calcul_Bilan_Energie!$R$17:$R$21</c:f>
              <c:strCache>
                <c:ptCount val="5"/>
                <c:pt idx="0">
                  <c:v>A</c:v>
                </c:pt>
                <c:pt idx="1">
                  <c:v>B</c:v>
                </c:pt>
                <c:pt idx="2">
                  <c:v>C</c:v>
                </c:pt>
                <c:pt idx="3">
                  <c:v>D</c:v>
                </c:pt>
                <c:pt idx="4">
                  <c:v>E</c:v>
                </c:pt>
              </c:strCache>
            </c:strRef>
          </c:cat>
          <c:val>
            <c:numRef>
              <c:f>Calcul_Bilan_Energie!$T$17:$T$22</c:f>
              <c:numCache>
                <c:formatCode>General</c:formatCode>
                <c:ptCount val="6"/>
                <c:pt idx="0">
                  <c:v>50</c:v>
                </c:pt>
                <c:pt idx="1">
                  <c:v>60</c:v>
                </c:pt>
                <c:pt idx="2">
                  <c:v>100</c:v>
                </c:pt>
                <c:pt idx="3">
                  <c:v>140</c:v>
                </c:pt>
                <c:pt idx="4">
                  <c:v>190</c:v>
                </c:pt>
                <c:pt idx="5">
                  <c:v>540</c:v>
                </c:pt>
              </c:numCache>
            </c:numRef>
          </c:val>
          <c:extLst>
            <c:ext xmlns:c16="http://schemas.microsoft.com/office/drawing/2014/chart" uri="{C3380CC4-5D6E-409C-BE32-E72D297353CC}">
              <c16:uniqueId val="{0000000C-7832-4EB5-A2AF-747EB7071E7F}"/>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a:ln>
              <a:noFill/>
            </a:ln>
          </c:spPr>
          <c:dPt>
            <c:idx val="0"/>
            <c:bubble3D val="0"/>
            <c:spPr>
              <a:noFill/>
              <a:ln w="19050">
                <a:noFill/>
              </a:ln>
              <a:effectLst/>
            </c:spPr>
            <c:extLst>
              <c:ext xmlns:c16="http://schemas.microsoft.com/office/drawing/2014/chart" uri="{C3380CC4-5D6E-409C-BE32-E72D297353CC}">
                <c16:uniqueId val="{0000000E-7832-4EB5-A2AF-747EB7071E7F}"/>
              </c:ext>
            </c:extLst>
          </c:dPt>
          <c:dPt>
            <c:idx val="1"/>
            <c:bubble3D val="0"/>
            <c:spPr>
              <a:solidFill>
                <a:schemeClr val="tx1"/>
              </a:solidFill>
              <a:ln w="19050">
                <a:noFill/>
              </a:ln>
              <a:effectLst/>
            </c:spPr>
            <c:extLst>
              <c:ext xmlns:c16="http://schemas.microsoft.com/office/drawing/2014/chart" uri="{C3380CC4-5D6E-409C-BE32-E72D297353CC}">
                <c16:uniqueId val="{00000010-7832-4EB5-A2AF-747EB7071E7F}"/>
              </c:ext>
            </c:extLst>
          </c:dPt>
          <c:dPt>
            <c:idx val="2"/>
            <c:bubble3D val="0"/>
            <c:spPr>
              <a:noFill/>
              <a:ln w="19050">
                <a:noFill/>
              </a:ln>
              <a:effectLst/>
            </c:spPr>
            <c:extLst>
              <c:ext xmlns:c16="http://schemas.microsoft.com/office/drawing/2014/chart" uri="{C3380CC4-5D6E-409C-BE32-E72D297353CC}">
                <c16:uniqueId val="{00000012-7832-4EB5-A2AF-747EB7071E7F}"/>
              </c:ext>
            </c:extLst>
          </c:dPt>
          <c:val>
            <c:numRef>
              <c:f>Calcul_Bilan_Energie!$S$24:$S$26</c:f>
              <c:numCache>
                <c:formatCode>_-* #\ ##0_-;\-* #\ ##0_-;_-* "-"??_-;_-@_-</c:formatCode>
                <c:ptCount val="3"/>
                <c:pt idx="0">
                  <c:v>0</c:v>
                </c:pt>
                <c:pt idx="1">
                  <c:v>30</c:v>
                </c:pt>
                <c:pt idx="2">
                  <c:v>0</c:v>
                </c:pt>
              </c:numCache>
            </c:numRef>
          </c:val>
          <c:extLst>
            <c:ext xmlns:c16="http://schemas.microsoft.com/office/drawing/2014/chart" uri="{C3380CC4-5D6E-409C-BE32-E72D297353CC}">
              <c16:uniqueId val="{00000013-7832-4EB5-A2AF-747EB7071E7F}"/>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3088936312868"/>
          <c:y val="3.5938903863432167E-2"/>
          <c:w val="0.8549238354551475"/>
          <c:h val="0.75926108473082077"/>
        </c:manualLayout>
      </c:layout>
      <c:barChart>
        <c:barDir val="col"/>
        <c:grouping val="clustered"/>
        <c:varyColors val="0"/>
        <c:ser>
          <c:idx val="0"/>
          <c:order val="0"/>
          <c:tx>
            <c:strRef>
              <c:f>CalculSuiviMensuel!$C$1</c:f>
              <c:strCache>
                <c:ptCount val="1"/>
                <c:pt idx="0">
                  <c:v>2024</c:v>
                </c:pt>
              </c:strCache>
            </c:strRef>
          </c:tx>
          <c:spPr>
            <a:solidFill>
              <a:schemeClr val="accent2"/>
            </a:solidFill>
            <a:ln>
              <a:noFill/>
            </a:ln>
            <a:effectLst/>
          </c:spPr>
          <c:invertIfNegative val="0"/>
          <c:dLbls>
            <c:delete val="1"/>
          </c:dLbls>
          <c:cat>
            <c:strRef>
              <c:f>CalculSuiviMensuel!$D$70:$D$93</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CalculSuiviMensuel!$E$70:$E$81</c:f>
              <c:numCache>
                <c:formatCode>_(* #,##0.00_);_(* \(#,##0.00\);_(* "-"??_);_(@_)</c:formatCode>
                <c:ptCount val="12"/>
                <c:pt idx="0">
                  <c:v>131.18722222222215</c:v>
                </c:pt>
                <c:pt idx="1">
                  <c:v>120.89913793103445</c:v>
                </c:pt>
                <c:pt idx="2">
                  <c:v>143.67871921182268</c:v>
                </c:pt>
                <c:pt idx="3">
                  <c:v>150.64036866359453</c:v>
                </c:pt>
                <c:pt idx="4">
                  <c:v>156.84000000000006</c:v>
                </c:pt>
                <c:pt idx="5">
                  <c:v>133.93963133640545</c:v>
                </c:pt>
                <c:pt idx="6">
                  <c:v>136.82689716818231</c:v>
                </c:pt>
                <c:pt idx="7">
                  <c:v>137.87345362652036</c:v>
                </c:pt>
                <c:pt idx="8">
                  <c:v>154.2585520094168</c:v>
                </c:pt>
                <c:pt idx="9">
                  <c:v>136.30701380778063</c:v>
                </c:pt>
                <c:pt idx="10">
                  <c:v>127.3893492543997</c:v>
                </c:pt>
                <c:pt idx="11">
                  <c:v>153.10414183202872</c:v>
                </c:pt>
              </c:numCache>
            </c:numRef>
          </c:val>
          <c:extLst>
            <c:ext xmlns:c16="http://schemas.microsoft.com/office/drawing/2014/chart" uri="{C3380CC4-5D6E-409C-BE32-E72D297353CC}">
              <c16:uniqueId val="{0000000C-1FD9-4614-94FE-7CCE5178A366}"/>
            </c:ext>
          </c:extLst>
        </c:ser>
        <c:ser>
          <c:idx val="1"/>
          <c:order val="1"/>
          <c:tx>
            <c:strRef>
              <c:f>CalculSuiviMensuel!$C$2</c:f>
              <c:strCache>
                <c:ptCount val="1"/>
                <c:pt idx="0">
                  <c:v>2025</c:v>
                </c:pt>
              </c:strCache>
            </c:strRef>
          </c:tx>
          <c:spPr>
            <a:solidFill>
              <a:schemeClr val="accent4"/>
            </a:solidFill>
            <a:ln>
              <a:noFill/>
            </a:ln>
            <a:effectLst/>
          </c:spPr>
          <c:invertIfNegative val="0"/>
          <c:dLbls>
            <c:dLbl>
              <c:idx val="0"/>
              <c:tx>
                <c:rich>
                  <a:bodyPr/>
                  <a:lstStyle/>
                  <a:p>
                    <a:fld id="{5A4CA6F8-6FA1-4D04-AEB1-C25E3A1132C0}"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099-4744-9224-A3BE4B52D976}"/>
                </c:ext>
              </c:extLst>
            </c:dLbl>
            <c:dLbl>
              <c:idx val="1"/>
              <c:tx>
                <c:rich>
                  <a:bodyPr/>
                  <a:lstStyle/>
                  <a:p>
                    <a:fld id="{93334A3E-5DB0-492B-B3D7-67D38F30BA4E}"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099-4744-9224-A3BE4B52D976}"/>
                </c:ext>
              </c:extLst>
            </c:dLbl>
            <c:dLbl>
              <c:idx val="2"/>
              <c:tx>
                <c:rich>
                  <a:bodyPr/>
                  <a:lstStyle/>
                  <a:p>
                    <a:fld id="{46F095A8-C7F9-48D8-9DEB-1EFBDB8A2E5B}"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099-4744-9224-A3BE4B52D976}"/>
                </c:ext>
              </c:extLst>
            </c:dLbl>
            <c:dLbl>
              <c:idx val="3"/>
              <c:tx>
                <c:rich>
                  <a:bodyPr/>
                  <a:lstStyle/>
                  <a:p>
                    <a:fld id="{BD3C9109-7A09-4831-8963-5D0EDDDA058A}"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099-4744-9224-A3BE4B52D976}"/>
                </c:ext>
              </c:extLst>
            </c:dLbl>
            <c:dLbl>
              <c:idx val="4"/>
              <c:tx>
                <c:rich>
                  <a:bodyPr/>
                  <a:lstStyle/>
                  <a:p>
                    <a:fld id="{A5BA6B7B-AB98-427C-9FA9-CD71E6B12598}"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099-4744-9224-A3BE4B52D976}"/>
                </c:ext>
              </c:extLst>
            </c:dLbl>
            <c:dLbl>
              <c:idx val="5"/>
              <c:tx>
                <c:rich>
                  <a:bodyPr/>
                  <a:lstStyle/>
                  <a:p>
                    <a:fld id="{F4755879-BBF3-4E10-80F9-E8E619DFB3E0}"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099-4744-9224-A3BE4B52D976}"/>
                </c:ext>
              </c:extLst>
            </c:dLbl>
            <c:dLbl>
              <c:idx val="6"/>
              <c:tx>
                <c:rich>
                  <a:bodyPr/>
                  <a:lstStyle/>
                  <a:p>
                    <a:fld id="{A7EFB991-5B45-4FF2-9A3C-82EF554D5C1B}"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099-4744-9224-A3BE4B52D976}"/>
                </c:ext>
              </c:extLst>
            </c:dLbl>
            <c:dLbl>
              <c:idx val="7"/>
              <c:tx>
                <c:rich>
                  <a:bodyPr/>
                  <a:lstStyle/>
                  <a:p>
                    <a:fld id="{FCA717CE-D6CE-4C31-B84B-E2B30C8FDD48}"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099-4744-9224-A3BE4B52D976}"/>
                </c:ext>
              </c:extLst>
            </c:dLbl>
            <c:dLbl>
              <c:idx val="8"/>
              <c:tx>
                <c:rich>
                  <a:bodyPr/>
                  <a:lstStyle/>
                  <a:p>
                    <a:fld id="{DEA7D439-86BD-41E2-AE20-85FD93F1308D}"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099-4744-9224-A3BE4B52D976}"/>
                </c:ext>
              </c:extLst>
            </c:dLbl>
            <c:dLbl>
              <c:idx val="9"/>
              <c:tx>
                <c:rich>
                  <a:bodyPr/>
                  <a:lstStyle/>
                  <a:p>
                    <a:fld id="{4C527608-74B5-4FD5-85C9-4C5938EB283C}"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099-4744-9224-A3BE4B52D976}"/>
                </c:ext>
              </c:extLst>
            </c:dLbl>
            <c:dLbl>
              <c:idx val="10"/>
              <c:tx>
                <c:rich>
                  <a:bodyPr/>
                  <a:lstStyle/>
                  <a:p>
                    <a:fld id="{48647993-29DC-4FB7-A4ED-03CE5661B8BD}"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099-4744-9224-A3BE4B52D976}"/>
                </c:ext>
              </c:extLst>
            </c:dLbl>
            <c:dLbl>
              <c:idx val="11"/>
              <c:tx>
                <c:rich>
                  <a:bodyPr/>
                  <a:lstStyle/>
                  <a:p>
                    <a:fld id="{EDDA51A7-EBE5-437D-B86C-E88ADC3AA710}"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099-4744-9224-A3BE4B52D9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CalculSuiviMensuel!$D$70:$D$93</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CalculSuiviMensuel!$E$82:$E$93</c:f>
              <c:numCache>
                <c:formatCode>_(* #,##0.00_);_(* \(#,##0.00\);_(* "-"??_);_(@_)</c:formatCode>
                <c:ptCount val="12"/>
                <c:pt idx="0">
                  <c:v>149.24911685863538</c:v>
                </c:pt>
                <c:pt idx="1">
                  <c:v>127.03269328554011</c:v>
                </c:pt>
                <c:pt idx="2">
                  <c:v>187.93322635432619</c:v>
                </c:pt>
                <c:pt idx="3">
                  <c:v>148.91271347248576</c:v>
                </c:pt>
                <c:pt idx="4">
                  <c:v>167.76470588235298</c:v>
                </c:pt>
                <c:pt idx="5">
                  <c:v>162.14285714285717</c:v>
                </c:pt>
                <c:pt idx="6">
                  <c:v>176.29616724738671</c:v>
                </c:pt>
                <c:pt idx="7">
                  <c:v>172.78546540567439</c:v>
                </c:pt>
                <c:pt idx="8">
                  <c:v>150.61224489795913</c:v>
                </c:pt>
                <c:pt idx="9">
                  <c:v>164.68050668543279</c:v>
                </c:pt>
                <c:pt idx="10">
                  <c:v>174.98275862068965</c:v>
                </c:pt>
                <c:pt idx="11">
                  <c:v>154.83333333333334</c:v>
                </c:pt>
              </c:numCache>
            </c:numRef>
          </c:val>
          <c:extLst>
            <c:ext xmlns:c15="http://schemas.microsoft.com/office/drawing/2012/chart" uri="{02D57815-91ED-43cb-92C2-25804820EDAC}">
              <c15:datalabelsRange>
                <c15:f>CalculSuiviMensuel!$F$82:$F$93</c15:f>
                <c15:dlblRangeCache>
                  <c:ptCount val="12"/>
                  <c:pt idx="0">
                    <c:v>13,8%</c:v>
                  </c:pt>
                  <c:pt idx="1">
                    <c:v>5,1%</c:v>
                  </c:pt>
                  <c:pt idx="2">
                    <c:v>30,8%</c:v>
                  </c:pt>
                  <c:pt idx="3">
                    <c:v>-1,1%</c:v>
                  </c:pt>
                  <c:pt idx="4">
                    <c:v>7,0%</c:v>
                  </c:pt>
                  <c:pt idx="5">
                    <c:v>21,1%</c:v>
                  </c:pt>
                  <c:pt idx="6">
                    <c:v>28,8%</c:v>
                  </c:pt>
                  <c:pt idx="7">
                    <c:v>25,3%</c:v>
                  </c:pt>
                  <c:pt idx="8">
                    <c:v>-2,4%</c:v>
                  </c:pt>
                  <c:pt idx="9">
                    <c:v>20,8%</c:v>
                  </c:pt>
                  <c:pt idx="10">
                    <c:v>37,4%</c:v>
                  </c:pt>
                  <c:pt idx="11">
                    <c:v>1,1%</c:v>
                  </c:pt>
                </c15:dlblRangeCache>
              </c15:datalabelsRange>
            </c:ext>
            <c:ext xmlns:c16="http://schemas.microsoft.com/office/drawing/2014/chart" uri="{C3380CC4-5D6E-409C-BE32-E72D297353CC}">
              <c16:uniqueId val="{0000000D-1FD9-4614-94FE-7CCE5178A366}"/>
            </c:ext>
          </c:extLst>
        </c:ser>
        <c:dLbls>
          <c:dLblPos val="outEnd"/>
          <c:showLegendKey val="0"/>
          <c:showVal val="1"/>
          <c:showCatName val="0"/>
          <c:showSerName val="0"/>
          <c:showPercent val="0"/>
          <c:showBubbleSize val="0"/>
        </c:dLbls>
        <c:gapWidth val="72"/>
        <c:overlap val="67"/>
        <c:axId val="33517640"/>
        <c:axId val="33512064"/>
      </c:barChart>
      <c:catAx>
        <c:axId val="3351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2064"/>
        <c:crosses val="autoZero"/>
        <c:auto val="1"/>
        <c:lblAlgn val="ctr"/>
        <c:lblOffset val="100"/>
        <c:noMultiLvlLbl val="0"/>
      </c:catAx>
      <c:valAx>
        <c:axId val="335120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Conso.mensuelle EF PCI (MWh)</a:t>
                </a:r>
              </a:p>
            </c:rich>
          </c:tx>
          <c:layout>
            <c:manualLayout>
              <c:xMode val="edge"/>
              <c:yMode val="edge"/>
              <c:x val="1.3666141732283464E-2"/>
              <c:y val="0.152146821341988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3088936312868"/>
          <c:y val="3.5938903863432167E-2"/>
          <c:w val="0.8549238354551475"/>
          <c:h val="0.75926108473082077"/>
        </c:manualLayout>
      </c:layout>
      <c:barChart>
        <c:barDir val="col"/>
        <c:grouping val="clustered"/>
        <c:varyColors val="0"/>
        <c:ser>
          <c:idx val="0"/>
          <c:order val="0"/>
          <c:tx>
            <c:strRef>
              <c:f>CalculSuiviMensuel!$C$1</c:f>
              <c:strCache>
                <c:ptCount val="1"/>
                <c:pt idx="0">
                  <c:v>2024</c:v>
                </c:pt>
              </c:strCache>
            </c:strRef>
          </c:tx>
          <c:spPr>
            <a:solidFill>
              <a:schemeClr val="accent2"/>
            </a:solidFill>
            <a:ln>
              <a:noFill/>
            </a:ln>
            <a:effectLst/>
          </c:spPr>
          <c:invertIfNegative val="0"/>
          <c:dLbls>
            <c:dLbl>
              <c:idx val="0"/>
              <c:tx>
                <c:rich>
                  <a:bodyPr/>
                  <a:lstStyle/>
                  <a:p>
                    <a:fld id="{27E25B7C-B4D8-4F35-938A-12671D306C5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37C-4831-B761-7DF0E263F3E1}"/>
                </c:ext>
              </c:extLst>
            </c:dLbl>
            <c:dLbl>
              <c:idx val="1"/>
              <c:tx>
                <c:rich>
                  <a:bodyPr/>
                  <a:lstStyle/>
                  <a:p>
                    <a:fld id="{D94A190C-E304-4813-BBE1-636125887F6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37C-4831-B761-7DF0E263F3E1}"/>
                </c:ext>
              </c:extLst>
            </c:dLbl>
            <c:dLbl>
              <c:idx val="2"/>
              <c:tx>
                <c:rich>
                  <a:bodyPr/>
                  <a:lstStyle/>
                  <a:p>
                    <a:fld id="{404E0857-46C3-40AB-BF79-409A16AF52F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37C-4831-B761-7DF0E263F3E1}"/>
                </c:ext>
              </c:extLst>
            </c:dLbl>
            <c:dLbl>
              <c:idx val="3"/>
              <c:tx>
                <c:rich>
                  <a:bodyPr/>
                  <a:lstStyle/>
                  <a:p>
                    <a:fld id="{863AF708-34BB-4E8E-9558-AD03D350232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37C-4831-B761-7DF0E263F3E1}"/>
                </c:ext>
              </c:extLst>
            </c:dLbl>
            <c:dLbl>
              <c:idx val="4"/>
              <c:tx>
                <c:rich>
                  <a:bodyPr/>
                  <a:lstStyle/>
                  <a:p>
                    <a:fld id="{3CFD178D-487E-43A1-87F5-416D7353EE6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37C-4831-B761-7DF0E263F3E1}"/>
                </c:ext>
              </c:extLst>
            </c:dLbl>
            <c:dLbl>
              <c:idx val="5"/>
              <c:tx>
                <c:rich>
                  <a:bodyPr/>
                  <a:lstStyle/>
                  <a:p>
                    <a:fld id="{FF54DC5D-AA93-416E-94BE-ECA9859DD8D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37C-4831-B761-7DF0E263F3E1}"/>
                </c:ext>
              </c:extLst>
            </c:dLbl>
            <c:dLbl>
              <c:idx val="6"/>
              <c:tx>
                <c:rich>
                  <a:bodyPr/>
                  <a:lstStyle/>
                  <a:p>
                    <a:fld id="{651E3DF1-1647-4D1E-AEB7-92F05C26077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37C-4831-B761-7DF0E263F3E1}"/>
                </c:ext>
              </c:extLst>
            </c:dLbl>
            <c:dLbl>
              <c:idx val="7"/>
              <c:tx>
                <c:rich>
                  <a:bodyPr/>
                  <a:lstStyle/>
                  <a:p>
                    <a:fld id="{243AD8D0-6E3D-4E2B-86B2-3E2D7E50666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37C-4831-B761-7DF0E263F3E1}"/>
                </c:ext>
              </c:extLst>
            </c:dLbl>
            <c:dLbl>
              <c:idx val="8"/>
              <c:tx>
                <c:rich>
                  <a:bodyPr/>
                  <a:lstStyle/>
                  <a:p>
                    <a:fld id="{E6EDF227-1646-409A-A3C2-993FA67718A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37C-4831-B761-7DF0E263F3E1}"/>
                </c:ext>
              </c:extLst>
            </c:dLbl>
            <c:dLbl>
              <c:idx val="9"/>
              <c:tx>
                <c:rich>
                  <a:bodyPr/>
                  <a:lstStyle/>
                  <a:p>
                    <a:fld id="{1A204CFC-E8AE-4919-BF3F-97E0485214C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37C-4831-B761-7DF0E263F3E1}"/>
                </c:ext>
              </c:extLst>
            </c:dLbl>
            <c:dLbl>
              <c:idx val="10"/>
              <c:tx>
                <c:rich>
                  <a:bodyPr/>
                  <a:lstStyle/>
                  <a:p>
                    <a:fld id="{ECAA9183-698B-4195-B3EB-523BCC2F236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37C-4831-B761-7DF0E263F3E1}"/>
                </c:ext>
              </c:extLst>
            </c:dLbl>
            <c:dLbl>
              <c:idx val="11"/>
              <c:tx>
                <c:rich>
                  <a:bodyPr/>
                  <a:lstStyle/>
                  <a:p>
                    <a:fld id="{8CEA9F89-676A-477D-9298-0F9C1C770FD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37C-4831-B761-7DF0E263F3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CalculSuiviMensuel!$D$38:$D$61</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CalculSuiviMensuel!$H$38:$H$49</c:f>
              <c:numCache>
                <c:formatCode>0</c:formatCode>
                <c:ptCount val="12"/>
                <c:pt idx="0">
                  <c:v>48.749364616019967</c:v>
                </c:pt>
                <c:pt idx="1">
                  <c:v>42.726957664771035</c:v>
                </c:pt>
                <c:pt idx="2">
                  <c:v>31.825897302280126</c:v>
                </c:pt>
                <c:pt idx="3">
                  <c:v>20.70063253555324</c:v>
                </c:pt>
                <c:pt idx="4">
                  <c:v>15.059347959724429</c:v>
                </c:pt>
                <c:pt idx="5">
                  <c:v>5.0777717485227178</c:v>
                </c:pt>
                <c:pt idx="6">
                  <c:v>5.8043824995502451</c:v>
                </c:pt>
                <c:pt idx="7">
                  <c:v>6.5630888030888075</c:v>
                </c:pt>
                <c:pt idx="8">
                  <c:v>6.302128780890075</c:v>
                </c:pt>
                <c:pt idx="9">
                  <c:v>22.170294415423839</c:v>
                </c:pt>
                <c:pt idx="10">
                  <c:v>34.800214843414828</c:v>
                </c:pt>
                <c:pt idx="11">
                  <c:v>46.217256782794358</c:v>
                </c:pt>
              </c:numCache>
            </c:numRef>
          </c:val>
          <c:extLst>
            <c:ext xmlns:c15="http://schemas.microsoft.com/office/drawing/2012/chart" uri="{02D57815-91ED-43cb-92C2-25804820EDAC}">
              <c15:datalabelsRange>
                <c15:f>CalculSuiviMensuel!$I$50:$I$61</c15:f>
                <c15:dlblRangeCache>
                  <c:ptCount val="12"/>
                  <c:pt idx="0">
                    <c:v>-1,4%</c:v>
                  </c:pt>
                  <c:pt idx="1">
                    <c:v>-2,7%</c:v>
                  </c:pt>
                  <c:pt idx="2">
                    <c:v>18,8%</c:v>
                  </c:pt>
                  <c:pt idx="3">
                    <c:v>22,0%</c:v>
                  </c:pt>
                  <c:pt idx="4">
                    <c:v>-17,8%</c:v>
                  </c:pt>
                  <c:pt idx="5">
                    <c:v>73,2%</c:v>
                  </c:pt>
                  <c:pt idx="6">
                    <c:v>29,5%</c:v>
                  </c:pt>
                  <c:pt idx="7">
                    <c:v>17,3%</c:v>
                  </c:pt>
                  <c:pt idx="8">
                    <c:v>-7,5%</c:v>
                  </c:pt>
                  <c:pt idx="9">
                    <c:v>-10,3%</c:v>
                  </c:pt>
                  <c:pt idx="10">
                    <c:v>-0,9%</c:v>
                  </c:pt>
                  <c:pt idx="11">
                    <c:v>4,7%</c:v>
                  </c:pt>
                </c15:dlblRangeCache>
              </c15:datalabelsRange>
            </c:ext>
            <c:ext xmlns:c16="http://schemas.microsoft.com/office/drawing/2014/chart" uri="{C3380CC4-5D6E-409C-BE32-E72D297353CC}">
              <c16:uniqueId val="{0000000C-837C-4831-B761-7DF0E263F3E1}"/>
            </c:ext>
          </c:extLst>
        </c:ser>
        <c:ser>
          <c:idx val="1"/>
          <c:order val="1"/>
          <c:tx>
            <c:strRef>
              <c:f>CalculSuiviMensuel!$C$2</c:f>
              <c:strCache>
                <c:ptCount val="1"/>
                <c:pt idx="0">
                  <c:v>2025</c:v>
                </c:pt>
              </c:strCache>
            </c:strRef>
          </c:tx>
          <c:spPr>
            <a:solidFill>
              <a:schemeClr val="accent4"/>
            </a:solidFill>
            <a:ln>
              <a:noFill/>
            </a:ln>
            <a:effectLst/>
          </c:spPr>
          <c:invertIfNegative val="0"/>
          <c:dLbls>
            <c:delete val="1"/>
          </c:dLbls>
          <c:cat>
            <c:strRef>
              <c:f>CalculSuiviMensuel!$D$38:$D$61</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CalculSuiviMensuel!$H$50:$H$61</c:f>
              <c:numCache>
                <c:formatCode>0</c:formatCode>
                <c:ptCount val="12"/>
                <c:pt idx="0">
                  <c:v>48.078547865574897</c:v>
                </c:pt>
                <c:pt idx="1">
                  <c:v>41.585785262466111</c:v>
                </c:pt>
                <c:pt idx="2">
                  <c:v>37.804817740817732</c:v>
                </c:pt>
                <c:pt idx="3">
                  <c:v>25.244468214693562</c:v>
                </c:pt>
                <c:pt idx="4">
                  <c:v>12.37952361152362</c:v>
                </c:pt>
                <c:pt idx="5">
                  <c:v>8.7929189189189234</c:v>
                </c:pt>
                <c:pt idx="6">
                  <c:v>7.5144071708071705</c:v>
                </c:pt>
                <c:pt idx="7">
                  <c:v>7.6988849676122406</c:v>
                </c:pt>
                <c:pt idx="8">
                  <c:v>5.8267683573984987</c:v>
                </c:pt>
                <c:pt idx="9">
                  <c:v>19.885539510939513</c:v>
                </c:pt>
                <c:pt idx="10">
                  <c:v>34.496919776919796</c:v>
                </c:pt>
                <c:pt idx="11">
                  <c:v>48.39123764541241</c:v>
                </c:pt>
              </c:numCache>
            </c:numRef>
          </c:val>
          <c:extLst>
            <c:ext xmlns:c16="http://schemas.microsoft.com/office/drawing/2014/chart" uri="{C3380CC4-5D6E-409C-BE32-E72D297353CC}">
              <c16:uniqueId val="{0000000D-837C-4831-B761-7DF0E263F3E1}"/>
            </c:ext>
          </c:extLst>
        </c:ser>
        <c:dLbls>
          <c:showLegendKey val="0"/>
          <c:showVal val="1"/>
          <c:showCatName val="0"/>
          <c:showSerName val="0"/>
          <c:showPercent val="0"/>
          <c:showBubbleSize val="0"/>
        </c:dLbls>
        <c:gapWidth val="72"/>
        <c:overlap val="67"/>
        <c:axId val="33517640"/>
        <c:axId val="33512064"/>
      </c:barChart>
      <c:catAx>
        <c:axId val="3351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2064"/>
        <c:crosses val="autoZero"/>
        <c:auto val="1"/>
        <c:lblAlgn val="ctr"/>
        <c:lblOffset val="100"/>
        <c:noMultiLvlLbl val="0"/>
      </c:catAx>
      <c:valAx>
        <c:axId val="33512064"/>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Conso.mensuelle EF PCI (MWh)</a:t>
                </a:r>
              </a:p>
            </c:rich>
          </c:tx>
          <c:layout>
            <c:manualLayout>
              <c:xMode val="edge"/>
              <c:yMode val="edge"/>
              <c:x val="1.3666141732283464E-2"/>
              <c:y val="0.152146821341988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rgbClr val="FF9933"/>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Electricité (kWh)</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9"/>
              <c:pt idx="0">
                <c:v>2017</c:v>
              </c:pt>
              <c:pt idx="1">
                <c:v>2018</c:v>
              </c:pt>
              <c:pt idx="2">
                <c:v>2019</c:v>
              </c:pt>
              <c:pt idx="3">
                <c:v>2020</c:v>
              </c:pt>
              <c:pt idx="4">
                <c:v>2021</c:v>
              </c:pt>
              <c:pt idx="5">
                <c:v>2022</c:v>
              </c:pt>
              <c:pt idx="6">
                <c:v>2023</c:v>
              </c:pt>
              <c:pt idx="7">
                <c:v>2024</c:v>
              </c:pt>
              <c:pt idx="8">
                <c:v>2025</c:v>
              </c:pt>
            </c:strLit>
          </c:cat>
          <c:val>
            <c:numLit>
              <c:formatCode>General</c:formatCode>
              <c:ptCount val="9"/>
              <c:pt idx="0">
                <c:v>0.11778480235098127</c:v>
              </c:pt>
              <c:pt idx="1">
                <c:v>#N/A</c:v>
              </c:pt>
              <c:pt idx="2">
                <c:v>0.13549093229965847</c:v>
              </c:pt>
              <c:pt idx="3">
                <c:v>0.14296120562668566</c:v>
              </c:pt>
              <c:pt idx="4">
                <c:v>0.14284948721995785</c:v>
              </c:pt>
              <c:pt idx="5">
                <c:v>#N/A</c:v>
              </c:pt>
              <c:pt idx="6">
                <c:v>0.21213749229538598</c:v>
              </c:pt>
              <c:pt idx="7">
                <c:v>0.24206513113360767</c:v>
              </c:pt>
              <c:pt idx="8">
                <c:v>0.18815257497297458</c:v>
              </c:pt>
            </c:numLit>
          </c:val>
          <c:smooth val="0"/>
          <c:extLst>
            <c:ext xmlns:c16="http://schemas.microsoft.com/office/drawing/2014/chart" uri="{C3380CC4-5D6E-409C-BE32-E72D297353CC}">
              <c16:uniqueId val="{00000001-B64D-42C3-8C38-7E1F1FC14C4D}"/>
            </c:ext>
          </c:extLst>
        </c:ser>
        <c:ser>
          <c:idx val="1"/>
          <c:order val="1"/>
          <c:tx>
            <c:v>Gaz naturel (kWh)</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9"/>
              <c:pt idx="0">
                <c:v>2017</c:v>
              </c:pt>
              <c:pt idx="1">
                <c:v>2018</c:v>
              </c:pt>
              <c:pt idx="2">
                <c:v>2019</c:v>
              </c:pt>
              <c:pt idx="3">
                <c:v>2020</c:v>
              </c:pt>
              <c:pt idx="4">
                <c:v>2021</c:v>
              </c:pt>
              <c:pt idx="5">
                <c:v>2022</c:v>
              </c:pt>
              <c:pt idx="6">
                <c:v>2023</c:v>
              </c:pt>
              <c:pt idx="7">
                <c:v>2024</c:v>
              </c:pt>
              <c:pt idx="8">
                <c:v>2025</c:v>
              </c:pt>
            </c:strLit>
          </c:cat>
          <c:val>
            <c:numLit>
              <c:formatCode>General</c:formatCode>
              <c:ptCount val="9"/>
              <c:pt idx="0">
                <c:v>#N/A</c:v>
              </c:pt>
              <c:pt idx="1">
                <c:v>#N/A</c:v>
              </c:pt>
              <c:pt idx="2">
                <c:v>5.4342915386628887E-2</c:v>
              </c:pt>
              <c:pt idx="3">
                <c:v>5.391320031920814E-2</c:v>
              </c:pt>
              <c:pt idx="4">
                <c:v>4.9204089741327638E-2</c:v>
              </c:pt>
              <c:pt idx="5">
                <c:v>#N/A</c:v>
              </c:pt>
              <c:pt idx="6">
                <c:v>0.1058464941248894</c:v>
              </c:pt>
              <c:pt idx="7">
                <c:v>0.10615491893719323</c:v>
              </c:pt>
              <c:pt idx="8">
                <c:v>0.14839124666615364</c:v>
              </c:pt>
            </c:numLit>
          </c:val>
          <c:smooth val="0"/>
          <c:extLst>
            <c:ext xmlns:c16="http://schemas.microsoft.com/office/drawing/2014/chart" uri="{C3380CC4-5D6E-409C-BE32-E72D297353CC}">
              <c16:uniqueId val="{00000001-DB6D-46BD-8FDC-D443FF393869}"/>
            </c:ext>
          </c:extLst>
        </c:ser>
        <c:ser>
          <c:idx val="2"/>
          <c:order val="2"/>
          <c:tx>
            <c:v>Réseau de chaleur (kWh)</c:v>
          </c:tx>
          <c:spPr>
            <a:ln w="28575" cap="rnd">
              <a:solidFill>
                <a:schemeClr val="accent3"/>
              </a:solidFill>
              <a:round/>
            </a:ln>
            <a:effectLst/>
          </c:spPr>
          <c:marker>
            <c:symbol val="none"/>
          </c:marker>
          <c:cat>
            <c:strLit>
              <c:ptCount val="9"/>
              <c:pt idx="0">
                <c:v>2017</c:v>
              </c:pt>
              <c:pt idx="1">
                <c:v>2018</c:v>
              </c:pt>
              <c:pt idx="2">
                <c:v>2019</c:v>
              </c:pt>
              <c:pt idx="3">
                <c:v>2020</c:v>
              </c:pt>
              <c:pt idx="4">
                <c:v>2021</c:v>
              </c:pt>
              <c:pt idx="5">
                <c:v>2022</c:v>
              </c:pt>
              <c:pt idx="6">
                <c:v>2023</c:v>
              </c:pt>
              <c:pt idx="7">
                <c:v>2024</c:v>
              </c:pt>
              <c:pt idx="8">
                <c:v>2025</c:v>
              </c:pt>
            </c:strLit>
          </c:cat>
          <c:val>
            <c:numLit>
              <c:formatCode>General</c:formatCode>
              <c:ptCount val="9"/>
              <c:pt idx="8">
                <c:v>0</c:v>
              </c:pt>
            </c:numLit>
          </c:val>
          <c:smooth val="0"/>
          <c:extLst>
            <c:ext xmlns:c16="http://schemas.microsoft.com/office/drawing/2014/chart" uri="{C3380CC4-5D6E-409C-BE32-E72D297353CC}">
              <c16:uniqueId val="{00000001-DB23-4C0F-8A37-8A808FAD7DCB}"/>
            </c:ext>
          </c:extLst>
        </c:ser>
        <c:dLbls>
          <c:showLegendKey val="0"/>
          <c:showVal val="0"/>
          <c:showCatName val="0"/>
          <c:showSerName val="0"/>
          <c:showPercent val="0"/>
          <c:showBubbleSize val="0"/>
        </c:dLbls>
        <c:marker val="1"/>
        <c:smooth val="0"/>
        <c:axId val="1105401160"/>
        <c:axId val="1105399192"/>
      </c:lineChart>
      <c:catAx>
        <c:axId val="1105401160"/>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05399192"/>
        <c:crosses val="autoZero"/>
        <c:auto val="1"/>
        <c:lblAlgn val="ctr"/>
        <c:lblOffset val="100"/>
        <c:noMultiLvlLbl val="0"/>
        <c:extLst>
          <c:ext xmlns:c15="http://schemas.microsoft.com/office/drawing/2012/chart" uri="{F40574EE-89B7-4290-83BB-5DA773EAF853}">
            <c15:numFmt c:formatCode="General" c:sourceLinked="1"/>
          </c:ext>
        </c:extLst>
      </c:catAx>
      <c:valAx>
        <c:axId val="1105399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Coût</a:t>
                </a:r>
                <a:r>
                  <a:rPr lang="fr-FR" baseline="0"/>
                  <a:t> Unitaire  (€        / kWh PCI)</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05401160"/>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extLst>
    <c:ext xmlns:c15="http://schemas.microsoft.com/office/drawing/2012/chart" uri="{723BEF56-08C2-4564-9609-F4CBC75E7E54}">
      <c15:pivotSource>
        <c15:name>[TB_Energie_Eau_1.99_Vierge.xlsx]PivotChartTable1</c15:name>
        <c15:fmtId val="0"/>
      </c15:pivotSource>
      <c15:pivotOptions>
        <c15:dropZoneFilter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993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FF9933"/>
          </a:solidFill>
          <a:ln>
            <a:noFill/>
          </a:ln>
          <a:effectLst/>
        </c:spPr>
      </c:pivotFmt>
    </c:pivotFmts>
    <c:plotArea>
      <c:layout/>
      <c:barChart>
        <c:barDir val="col"/>
        <c:grouping val="stacked"/>
        <c:varyColors val="0"/>
        <c:ser>
          <c:idx val="0"/>
          <c:order val="0"/>
          <c:tx>
            <c:v>Eau (m3)</c:v>
          </c:tx>
          <c:spPr>
            <a:solidFill>
              <a:schemeClr val="bg1">
                <a:lumMod val="50000"/>
              </a:schemeClr>
            </a:solidFill>
            <a:ln>
              <a:noFill/>
            </a:ln>
            <a:effectLst/>
          </c:spPr>
          <c:invertIfNegative val="0"/>
          <c:cat>
            <c:strLit>
              <c:ptCount val="10"/>
              <c:pt idx="0">
                <c:v>2017</c:v>
              </c:pt>
              <c:pt idx="1">
                <c:v>2018</c:v>
              </c:pt>
              <c:pt idx="2">
                <c:v>2019</c:v>
              </c:pt>
              <c:pt idx="3">
                <c:v>2020</c:v>
              </c:pt>
              <c:pt idx="4">
                <c:v>2021</c:v>
              </c:pt>
              <c:pt idx="5">
                <c:v>2022</c:v>
              </c:pt>
              <c:pt idx="6">
                <c:v>2023</c:v>
              </c:pt>
              <c:pt idx="7">
                <c:v>2024</c:v>
              </c:pt>
              <c:pt idx="8">
                <c:v>2025</c:v>
              </c:pt>
              <c:pt idx="9">
                <c:v>2026</c:v>
              </c:pt>
            </c:strLit>
          </c:cat>
          <c:val>
            <c:numLit>
              <c:formatCode>General</c:formatCode>
              <c:ptCount val="10"/>
              <c:pt idx="0">
                <c:v>5106.1000000000004</c:v>
              </c:pt>
              <c:pt idx="1">
                <c:v>2890</c:v>
              </c:pt>
              <c:pt idx="2">
                <c:v>2465.34</c:v>
              </c:pt>
              <c:pt idx="3">
                <c:v>2633.46</c:v>
              </c:pt>
              <c:pt idx="4">
                <c:v>0</c:v>
              </c:pt>
              <c:pt idx="5">
                <c:v>0</c:v>
              </c:pt>
              <c:pt idx="6">
                <c:v>0</c:v>
              </c:pt>
              <c:pt idx="7">
                <c:v>0</c:v>
              </c:pt>
              <c:pt idx="8">
                <c:v>0</c:v>
              </c:pt>
              <c:pt idx="9">
                <c:v>0</c:v>
              </c:pt>
            </c:numLit>
          </c:val>
          <c:extLst>
            <c:ext xmlns:c16="http://schemas.microsoft.com/office/drawing/2014/chart" uri="{C3380CC4-5D6E-409C-BE32-E72D297353CC}">
              <c16:uniqueId val="{00000001-6B76-4D5B-A70B-AFB1238816BE}"/>
            </c:ext>
          </c:extLst>
        </c:ser>
        <c:ser>
          <c:idx val="1"/>
          <c:order val="1"/>
          <c:tx>
            <c:v>Electricité (kWh)</c:v>
          </c:tx>
          <c:spPr>
            <a:solidFill>
              <a:schemeClr val="accent1">
                <a:lumMod val="75000"/>
              </a:schemeClr>
            </a:solidFill>
            <a:ln>
              <a:noFill/>
            </a:ln>
            <a:effectLst/>
          </c:spPr>
          <c:invertIfNegative val="0"/>
          <c:cat>
            <c:strLit>
              <c:ptCount val="10"/>
              <c:pt idx="0">
                <c:v>2017</c:v>
              </c:pt>
              <c:pt idx="1">
                <c:v>2018</c:v>
              </c:pt>
              <c:pt idx="2">
                <c:v>2019</c:v>
              </c:pt>
              <c:pt idx="3">
                <c:v>2020</c:v>
              </c:pt>
              <c:pt idx="4">
                <c:v>2021</c:v>
              </c:pt>
              <c:pt idx="5">
                <c:v>2022</c:v>
              </c:pt>
              <c:pt idx="6">
                <c:v>2023</c:v>
              </c:pt>
              <c:pt idx="7">
                <c:v>2024</c:v>
              </c:pt>
              <c:pt idx="8">
                <c:v>2025</c:v>
              </c:pt>
              <c:pt idx="9">
                <c:v>2026</c:v>
              </c:pt>
            </c:strLit>
          </c:cat>
          <c:val>
            <c:numLit>
              <c:formatCode>General</c:formatCode>
              <c:ptCount val="10"/>
              <c:pt idx="0">
                <c:v>15138.929999999968</c:v>
              </c:pt>
              <c:pt idx="1">
                <c:v>13164.459999999992</c:v>
              </c:pt>
              <c:pt idx="2">
                <c:v>14589.520000000022</c:v>
              </c:pt>
              <c:pt idx="3">
                <c:v>16502.759999999991</c:v>
              </c:pt>
              <c:pt idx="4">
                <c:v>17501.820000000007</c:v>
              </c:pt>
              <c:pt idx="5">
                <c:v>15016.490000000005</c:v>
              </c:pt>
              <c:pt idx="6">
                <c:v>26148.860000000008</c:v>
              </c:pt>
              <c:pt idx="7">
                <c:v>29846.47870967734</c:v>
              </c:pt>
              <c:pt idx="8">
                <c:v>23621.281290322615</c:v>
              </c:pt>
            </c:numLit>
          </c:val>
          <c:extLst>
            <c:ext xmlns:c16="http://schemas.microsoft.com/office/drawing/2014/chart" uri="{C3380CC4-5D6E-409C-BE32-E72D297353CC}">
              <c16:uniqueId val="{00000001-4E93-49D0-9AF3-CB0CCEE3F863}"/>
            </c:ext>
          </c:extLst>
        </c:ser>
        <c:ser>
          <c:idx val="2"/>
          <c:order val="2"/>
          <c:tx>
            <c:v>Gaz naturel (kWh)</c:v>
          </c:tx>
          <c:spPr>
            <a:solidFill>
              <a:srgbClr val="FF9933"/>
            </a:solidFill>
            <a:ln>
              <a:noFill/>
            </a:ln>
            <a:effectLst/>
          </c:spPr>
          <c:invertIfNegative val="0"/>
          <c:cat>
            <c:strLit>
              <c:ptCount val="10"/>
              <c:pt idx="0">
                <c:v>2017</c:v>
              </c:pt>
              <c:pt idx="1">
                <c:v>2018</c:v>
              </c:pt>
              <c:pt idx="2">
                <c:v>2019</c:v>
              </c:pt>
              <c:pt idx="3">
                <c:v>2020</c:v>
              </c:pt>
              <c:pt idx="4">
                <c:v>2021</c:v>
              </c:pt>
              <c:pt idx="5">
                <c:v>2022</c:v>
              </c:pt>
              <c:pt idx="6">
                <c:v>2023</c:v>
              </c:pt>
              <c:pt idx="7">
                <c:v>2024</c:v>
              </c:pt>
              <c:pt idx="8">
                <c:v>2025</c:v>
              </c:pt>
              <c:pt idx="9">
                <c:v>2026</c:v>
              </c:pt>
            </c:strLit>
          </c:cat>
          <c:val>
            <c:numLit>
              <c:formatCode>General</c:formatCode>
              <c:ptCount val="10"/>
              <c:pt idx="0">
                <c:v>23016.900000000049</c:v>
              </c:pt>
              <c:pt idx="1">
                <c:v>19568.22000000003</c:v>
              </c:pt>
              <c:pt idx="2">
                <c:v>20910.010000000035</c:v>
              </c:pt>
              <c:pt idx="3">
                <c:v>20448.329999999965</c:v>
              </c:pt>
              <c:pt idx="4">
                <c:v>21244.659999999967</c:v>
              </c:pt>
              <c:pt idx="5">
                <c:v>50289.647741935485</c:v>
              </c:pt>
              <c:pt idx="6">
                <c:v>35862.698709677381</c:v>
              </c:pt>
              <c:pt idx="7">
                <c:v>34891.253548387002</c:v>
              </c:pt>
              <c:pt idx="8">
                <c:v>33198.830000000038</c:v>
              </c:pt>
            </c:numLit>
          </c:val>
          <c:extLst>
            <c:ext xmlns:c16="http://schemas.microsoft.com/office/drawing/2014/chart" uri="{C3380CC4-5D6E-409C-BE32-E72D297353CC}">
              <c16:uniqueId val="{00000001-8599-4499-B446-D783BF13F4D3}"/>
            </c:ext>
          </c:extLst>
        </c:ser>
        <c:dLbls>
          <c:showLegendKey val="0"/>
          <c:showVal val="0"/>
          <c:showCatName val="0"/>
          <c:showSerName val="0"/>
          <c:showPercent val="0"/>
          <c:showBubbleSize val="0"/>
        </c:dLbls>
        <c:gapWidth val="219"/>
        <c:overlap val="100"/>
        <c:axId val="215807943"/>
        <c:axId val="215797775"/>
      </c:barChart>
      <c:catAx>
        <c:axId val="215807943"/>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5797775"/>
        <c:crosses val="autoZero"/>
        <c:auto val="1"/>
        <c:lblAlgn val="ctr"/>
        <c:lblOffset val="100"/>
        <c:noMultiLvlLbl val="0"/>
        <c:extLst>
          <c:ext xmlns:c15="http://schemas.microsoft.com/office/drawing/2012/chart" uri="{F40574EE-89B7-4290-83BB-5DA773EAF853}">
            <c15:numFmt c:formatCode="General" c:sourceLinked="1"/>
          </c:ext>
        </c:extLst>
      </c:catAx>
      <c:valAx>
        <c:axId val="2157977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Dépense (€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5807943"/>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extLst>
    <c:ext xmlns:c15="http://schemas.microsoft.com/office/drawing/2012/chart" uri="{723BEF56-08C2-4564-9609-F4CBC75E7E54}">
      <c15:pivotSource>
        <c15:name>[TB_Energie_Eau_1.99_Vierge.xlsx]PivotChartTable2</c15:name>
        <c15:fmtId val="0"/>
      </c15:pivotSource>
      <c15:pivotOptions>
        <c15:dropZoneFilter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dLbls>
          <c:showLegendKey val="0"/>
          <c:showVal val="0"/>
          <c:showCatName val="0"/>
          <c:showSerName val="0"/>
          <c:showPercent val="0"/>
          <c:showBubbleSize val="0"/>
        </c:dLbls>
        <c:marker val="1"/>
        <c:smooth val="0"/>
        <c:axId val="552420800"/>
        <c:axId val="552421456"/>
      </c:lineChart>
      <c:catAx>
        <c:axId val="55242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2421456"/>
        <c:crosses val="autoZero"/>
        <c:auto val="1"/>
        <c:lblAlgn val="ctr"/>
        <c:lblOffset val="100"/>
        <c:noMultiLvlLbl val="0"/>
      </c:catAx>
      <c:valAx>
        <c:axId val="552421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Conso (U)</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2420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[TB_Energie_Eau_1.99_Vierge.xlsx]Suivi Compteur!Tableau croisé dynamique1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'Suivi Compteur'!$N$5</c:f>
              <c:strCache>
                <c:ptCount val="1"/>
                <c:pt idx="0">
                  <c:v>Total</c:v>
                </c:pt>
              </c:strCache>
            </c:strRef>
          </c:tx>
          <c:spPr>
            <a:solidFill>
              <a:schemeClr val="accent1"/>
            </a:solidFill>
            <a:ln>
              <a:noFill/>
            </a:ln>
            <a:effectLst/>
          </c:spPr>
          <c:invertIfNegative val="0"/>
          <c:cat>
            <c:strRef>
              <c:f>'Suivi Compteur'!$M$6:$M$11</c:f>
              <c:strCache>
                <c:ptCount val="5"/>
                <c:pt idx="0">
                  <c:v>2021</c:v>
                </c:pt>
                <c:pt idx="1">
                  <c:v>2022</c:v>
                </c:pt>
                <c:pt idx="2">
                  <c:v>2023</c:v>
                </c:pt>
                <c:pt idx="3">
                  <c:v>2024</c:v>
                </c:pt>
                <c:pt idx="4">
                  <c:v>2025</c:v>
                </c:pt>
              </c:strCache>
            </c:strRef>
          </c:cat>
          <c:val>
            <c:numRef>
              <c:f>'Suivi Compteur'!$N$6:$N$11</c:f>
              <c:numCache>
                <c:formatCode>0.00</c:formatCode>
                <c:ptCount val="5"/>
                <c:pt idx="0">
                  <c:v>81.307282913165395</c:v>
                </c:pt>
                <c:pt idx="1">
                  <c:v>57.03157163902636</c:v>
                </c:pt>
                <c:pt idx="2">
                  <c:v>41.725814998090662</c:v>
                </c:pt>
                <c:pt idx="3">
                  <c:v>39.871278131836682</c:v>
                </c:pt>
                <c:pt idx="4">
                  <c:v>40.856919569638507</c:v>
                </c:pt>
              </c:numCache>
            </c:numRef>
          </c:val>
          <c:extLst>
            <c:ext xmlns:c16="http://schemas.microsoft.com/office/drawing/2014/chart" uri="{C3380CC4-5D6E-409C-BE32-E72D297353CC}">
              <c16:uniqueId val="{00000000-E44F-4771-964F-16546996299B}"/>
            </c:ext>
          </c:extLst>
        </c:ser>
        <c:dLbls>
          <c:showLegendKey val="0"/>
          <c:showVal val="0"/>
          <c:showCatName val="0"/>
          <c:showSerName val="0"/>
          <c:showPercent val="0"/>
          <c:showBubbleSize val="0"/>
        </c:dLbls>
        <c:gapWidth val="219"/>
        <c:overlap val="-27"/>
        <c:axId val="1256688232"/>
        <c:axId val="1256686920"/>
      </c:barChart>
      <c:catAx>
        <c:axId val="1256688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56686920"/>
        <c:crosses val="autoZero"/>
        <c:auto val="1"/>
        <c:lblAlgn val="ctr"/>
        <c:lblOffset val="100"/>
        <c:noMultiLvlLbl val="0"/>
      </c:catAx>
      <c:valAx>
        <c:axId val="1256686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56688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5"/>
              <c:pt idx="0">
                <c:v>2021</c:v>
              </c:pt>
              <c:pt idx="1">
                <c:v>2022</c:v>
              </c:pt>
              <c:pt idx="2">
                <c:v>2023</c:v>
              </c:pt>
              <c:pt idx="3">
                <c:v>2024</c:v>
              </c:pt>
              <c:pt idx="4">
                <c:v>2025</c:v>
              </c:pt>
            </c:strLit>
          </c:cat>
          <c:val>
            <c:numLit>
              <c:formatCode>General</c:formatCode>
              <c:ptCount val="5"/>
              <c:pt idx="0">
                <c:v>120936.00000000015</c:v>
              </c:pt>
              <c:pt idx="1">
                <c:v>125358.99999999997</c:v>
              </c:pt>
              <c:pt idx="2">
                <c:v>123982.99999999985</c:v>
              </c:pt>
              <c:pt idx="3">
                <c:v>122740.38709677407</c:v>
              </c:pt>
              <c:pt idx="4">
                <c:v>127658.61290322569</c:v>
              </c:pt>
            </c:numLit>
          </c:val>
          <c:smooth val="0"/>
          <c:extLst>
            <c:ext xmlns:c16="http://schemas.microsoft.com/office/drawing/2014/chart" uri="{C3380CC4-5D6E-409C-BE32-E72D297353CC}">
              <c16:uniqueId val="{00000002-54A2-41A1-B1F8-32D62D58D690}"/>
            </c:ext>
          </c:extLst>
        </c:ser>
        <c:dLbls>
          <c:showLegendKey val="0"/>
          <c:showVal val="0"/>
          <c:showCatName val="0"/>
          <c:showSerName val="0"/>
          <c:showPercent val="0"/>
          <c:showBubbleSize val="0"/>
        </c:dLbls>
        <c:marker val="1"/>
        <c:smooth val="0"/>
        <c:axId val="1269468824"/>
        <c:axId val="1269470464"/>
      </c:lineChart>
      <c:catAx>
        <c:axId val="126946882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9470464"/>
        <c:crosses val="autoZero"/>
        <c:auto val="1"/>
        <c:lblAlgn val="ctr"/>
        <c:lblOffset val="100"/>
        <c:noMultiLvlLbl val="0"/>
        <c:extLst>
          <c:ext xmlns:c15="http://schemas.microsoft.com/office/drawing/2012/chart" uri="{F40574EE-89B7-4290-83BB-5DA773EAF853}">
            <c15:numFmt c:formatCode="General" c:sourceLinked="1"/>
          </c:ext>
        </c:extLst>
      </c:catAx>
      <c:valAx>
        <c:axId val="1269470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9468824"/>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5="http://schemas.microsoft.com/office/drawing/2012/chart" uri="{723BEF56-08C2-4564-9609-F4CBC75E7E54}">
      <c15:pivotSource>
        <c15:name>[TB_Energie_Eau_1.99_Vierge.xlsx]PivotChartTable3</c15:name>
        <c15:fmtId val="0"/>
      </c15:pivotSource>
      <c15:pivotOptions>
        <c15:dropZoneFilter val="1"/>
        <c15:dropZonesVisible val="1"/>
      </c15: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49439064460556E-2"/>
          <c:y val="0.13229042895902302"/>
          <c:w val="0.567718541167617"/>
          <c:h val="0.6493435251608092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3AC-4558-B173-1149448E6C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AC-4558-B173-1149448E6C94}"/>
              </c:ext>
            </c:extLst>
          </c:dPt>
          <c:dPt>
            <c:idx val="2"/>
            <c:bubble3D val="0"/>
            <c:spPr>
              <a:solidFill>
                <a:srgbClr val="FF9933"/>
              </a:solidFill>
              <a:ln w="19050">
                <a:solidFill>
                  <a:schemeClr val="lt1"/>
                </a:solidFill>
              </a:ln>
              <a:effectLst/>
            </c:spPr>
            <c:extLst>
              <c:ext xmlns:c16="http://schemas.microsoft.com/office/drawing/2014/chart" uri="{C3380CC4-5D6E-409C-BE32-E72D297353CC}">
                <c16:uniqueId val="{00000005-C3AC-4558-B173-1149448E6C94}"/>
              </c:ext>
            </c:extLst>
          </c:dPt>
          <c:dPt>
            <c:idx val="3"/>
            <c:bubble3D val="0"/>
            <c:spPr>
              <a:solidFill>
                <a:srgbClr val="CC99FF"/>
              </a:solidFill>
              <a:ln w="19050">
                <a:solidFill>
                  <a:schemeClr val="lt1"/>
                </a:solidFill>
              </a:ln>
              <a:effectLst/>
            </c:spPr>
            <c:extLst>
              <c:ext xmlns:c16="http://schemas.microsoft.com/office/drawing/2014/chart" uri="{C3380CC4-5D6E-409C-BE32-E72D297353CC}">
                <c16:uniqueId val="{00000007-C3AC-4558-B173-1149448E6C94}"/>
              </c:ext>
            </c:extLst>
          </c:dPt>
          <c:dPt>
            <c:idx val="4"/>
            <c:bubble3D val="0"/>
            <c:spPr>
              <a:solidFill>
                <a:srgbClr val="D60093"/>
              </a:solidFill>
              <a:ln w="19050">
                <a:solidFill>
                  <a:schemeClr val="lt1"/>
                </a:solidFill>
              </a:ln>
              <a:effectLst/>
            </c:spPr>
            <c:extLst>
              <c:ext xmlns:c16="http://schemas.microsoft.com/office/drawing/2014/chart" uri="{C3380CC4-5D6E-409C-BE32-E72D297353CC}">
                <c16:uniqueId val="{00000009-C3AC-4558-B173-1149448E6C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Calcul_Bilan_Energie!$W$23:$W$27</c:f>
              <c:strCache>
                <c:ptCount val="4"/>
                <c:pt idx="0">
                  <c:v>Electricité </c:v>
                </c:pt>
                <c:pt idx="1">
                  <c:v>Bornes IRVE</c:v>
                </c:pt>
                <c:pt idx="2">
                  <c:v>Chauffage seul</c:v>
                </c:pt>
                <c:pt idx="3">
                  <c:v>ECS+Cuisson estimées</c:v>
                </c:pt>
              </c:strCache>
            </c:strRef>
          </c:cat>
          <c:val>
            <c:numRef>
              <c:f>Calcul_Bilan_Energie!$X$23:$X$27</c:f>
              <c:numCache>
                <c:formatCode>_-* #\ ##0_-;\-* #\ ##0_-;_-* "-"??_-;_-@_-</c:formatCode>
                <c:ptCount val="5"/>
                <c:pt idx="0">
                  <c:v>127658.61290322569</c:v>
                </c:pt>
                <c:pt idx="1">
                  <c:v>0</c:v>
                </c:pt>
                <c:pt idx="2">
                  <c:v>203557.65765765792</c:v>
                </c:pt>
                <c:pt idx="3">
                  <c:v>60870.270270270288</c:v>
                </c:pt>
                <c:pt idx="4">
                  <c:v>0</c:v>
                </c:pt>
              </c:numCache>
            </c:numRef>
          </c:val>
          <c:extLst>
            <c:ext xmlns:c16="http://schemas.microsoft.com/office/drawing/2014/chart" uri="{C3380CC4-5D6E-409C-BE32-E72D297353CC}">
              <c16:uniqueId val="{0000000A-C3AC-4558-B173-1149448E6C9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[TB_Energie_Eau_1.99_Vierge.xlsx]Calcul_Bilan_Energie!TCD_Conso_annuel</c:name>
    <c:fmtId val="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lumMod val="75000"/>
            </a:schemeClr>
          </a:solidFill>
          <a:ln w="19050">
            <a:solidFill>
              <a:schemeClr val="lt1"/>
            </a:solidFill>
          </a:ln>
          <a:effectLst/>
        </c:spPr>
      </c:pivotFmt>
      <c:pivotFmt>
        <c:idx val="10"/>
        <c:spPr>
          <a:solidFill>
            <a:srgbClr val="FF9933"/>
          </a:solidFill>
          <a:ln w="19050">
            <a:solidFill>
              <a:schemeClr val="lt1"/>
            </a:solidFill>
          </a:ln>
          <a:effectLst/>
        </c:spPr>
      </c:pivotFmt>
      <c:pivotFmt>
        <c:idx val="11"/>
        <c:spPr>
          <a:solidFill>
            <a:schemeClr val="accent1"/>
          </a:solidFill>
          <a:ln w="19050">
            <a:solidFill>
              <a:schemeClr val="lt1"/>
            </a:solidFill>
          </a:ln>
          <a:effectLst/>
        </c:spPr>
      </c:pivotFmt>
    </c:pivotFmts>
    <c:plotArea>
      <c:layout/>
      <c:pieChart>
        <c:varyColors val="1"/>
        <c:ser>
          <c:idx val="0"/>
          <c:order val="0"/>
          <c:tx>
            <c:strRef>
              <c:f>Calcul_Bilan_Energie!$D$5</c:f>
              <c:strCache>
                <c:ptCount val="1"/>
                <c:pt idx="0">
                  <c:v>Total</c:v>
                </c:pt>
              </c:strCache>
            </c:strRef>
          </c:tx>
          <c:dPt>
            <c:idx val="0"/>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1-F727-4083-9350-E16451417820}"/>
              </c:ext>
            </c:extLst>
          </c:dPt>
          <c:dPt>
            <c:idx val="1"/>
            <c:bubble3D val="0"/>
            <c:spPr>
              <a:solidFill>
                <a:srgbClr val="FF9933"/>
              </a:solidFill>
              <a:ln w="19050">
                <a:solidFill>
                  <a:schemeClr val="lt1"/>
                </a:solidFill>
              </a:ln>
              <a:effectLst/>
            </c:spPr>
            <c:extLst>
              <c:ext xmlns:c16="http://schemas.microsoft.com/office/drawing/2014/chart" uri="{C3380CC4-5D6E-409C-BE32-E72D297353CC}">
                <c16:uniqueId val="{00000003-F727-4083-9350-E1645141782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Calcul_Bilan_Energie!$C$6:$C$8</c:f>
              <c:strCache>
                <c:ptCount val="2"/>
                <c:pt idx="0">
                  <c:v>Electricité (kWh)</c:v>
                </c:pt>
                <c:pt idx="1">
                  <c:v>Gaz naturel (kWh)</c:v>
                </c:pt>
              </c:strCache>
            </c:strRef>
          </c:cat>
          <c:val>
            <c:numRef>
              <c:f>Calcul_Bilan_Energie!$D$6:$D$8</c:f>
              <c:numCache>
                <c:formatCode>General</c:formatCode>
                <c:ptCount val="2"/>
                <c:pt idx="0">
                  <c:v>127658.61290322595</c:v>
                </c:pt>
                <c:pt idx="1">
                  <c:v>264427.92792792839</c:v>
                </c:pt>
              </c:numCache>
            </c:numRef>
          </c:val>
          <c:extLst>
            <c:ext xmlns:c16="http://schemas.microsoft.com/office/drawing/2014/chart" uri="{C3380CC4-5D6E-409C-BE32-E72D297353CC}">
              <c16:uniqueId val="{00000007-7DC1-42BD-B609-B35F7A8FA1EC}"/>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[TB_Energie_Eau_1.99_Vierge.xlsx]Calcul_Bilan_Energie!TCD_Cout_annuel</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lumMod val="75000"/>
            </a:schemeClr>
          </a:solidFill>
          <a:ln w="19050">
            <a:solidFill>
              <a:schemeClr val="lt1"/>
            </a:solidFill>
          </a:ln>
          <a:effectLst/>
        </c:spPr>
      </c:pivotFmt>
      <c:pivotFmt>
        <c:idx val="10"/>
        <c:spPr>
          <a:solidFill>
            <a:srgbClr val="FF9933"/>
          </a:solidFill>
          <a:ln w="19050">
            <a:solidFill>
              <a:schemeClr val="lt1"/>
            </a:solidFill>
          </a:ln>
          <a:effectLst/>
        </c:spPr>
      </c:pivotFmt>
      <c:pivotFmt>
        <c:idx val="11"/>
        <c:spPr>
          <a:solidFill>
            <a:schemeClr val="bg1">
              <a:lumMod val="65000"/>
            </a:schemeClr>
          </a:solidFill>
          <a:ln w="19050">
            <a:solidFill>
              <a:schemeClr val="lt1"/>
            </a:solidFill>
          </a:ln>
          <a:effectLst/>
        </c:spPr>
      </c:pivotFmt>
    </c:pivotFmts>
    <c:plotArea>
      <c:layout/>
      <c:pieChart>
        <c:varyColors val="1"/>
        <c:ser>
          <c:idx val="0"/>
          <c:order val="0"/>
          <c:tx>
            <c:strRef>
              <c:f>Calcul_Bilan_Energie!$I$5</c:f>
              <c:strCache>
                <c:ptCount val="1"/>
                <c:pt idx="0">
                  <c:v>Total</c:v>
                </c:pt>
              </c:strCache>
            </c:strRef>
          </c:tx>
          <c:dPt>
            <c:idx val="0"/>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1-FD46-4C44-BEF7-1DCF78C6B23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D46-4C44-BEF7-1DCF78C6B23E}"/>
              </c:ext>
            </c:extLst>
          </c:dPt>
          <c:dPt>
            <c:idx val="2"/>
            <c:bubble3D val="0"/>
            <c:spPr>
              <a:solidFill>
                <a:srgbClr val="FF9933"/>
              </a:solidFill>
              <a:ln w="19050">
                <a:solidFill>
                  <a:schemeClr val="lt1"/>
                </a:solidFill>
              </a:ln>
              <a:effectLst/>
            </c:spPr>
            <c:extLst>
              <c:ext xmlns:c16="http://schemas.microsoft.com/office/drawing/2014/chart" uri="{C3380CC4-5D6E-409C-BE32-E72D297353CC}">
                <c16:uniqueId val="{00000005-CD63-44A2-919F-AE1D731014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Calcul_Bilan_Energie!$H$6:$H$9</c:f>
              <c:strCache>
                <c:ptCount val="3"/>
                <c:pt idx="0">
                  <c:v>Eau (m3)</c:v>
                </c:pt>
                <c:pt idx="1">
                  <c:v>Electricité (kWh)</c:v>
                </c:pt>
                <c:pt idx="2">
                  <c:v>Gaz naturel (kWh)</c:v>
                </c:pt>
              </c:strCache>
            </c:strRef>
          </c:cat>
          <c:val>
            <c:numRef>
              <c:f>Calcul_Bilan_Energie!$I$6:$I$9</c:f>
              <c:numCache>
                <c:formatCode>General</c:formatCode>
                <c:ptCount val="3"/>
                <c:pt idx="0">
                  <c:v>0</c:v>
                </c:pt>
                <c:pt idx="1">
                  <c:v>23621.281290322582</c:v>
                </c:pt>
                <c:pt idx="2">
                  <c:v>33198.830000000031</c:v>
                </c:pt>
              </c:numCache>
            </c:numRef>
          </c:val>
          <c:extLst>
            <c:ext xmlns:c16="http://schemas.microsoft.com/office/drawing/2014/chart" uri="{C3380CC4-5D6E-409C-BE32-E72D297353CC}">
              <c16:uniqueId val="{00000004-FD46-4C44-BEF7-1DCF78C6B23E}"/>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920384951881E-2"/>
          <c:y val="6.5466061074859333E-2"/>
          <c:w val="0.89019685039370078"/>
          <c:h val="0.79687918864510865"/>
        </c:manualLayout>
      </c:layout>
      <c:barChart>
        <c:barDir val="col"/>
        <c:grouping val="stacked"/>
        <c:varyColors val="0"/>
        <c:ser>
          <c:idx val="6"/>
          <c:order val="0"/>
          <c:tx>
            <c:strRef>
              <c:f>'CALCUL DEET'!$C$76</c:f>
              <c:strCache>
                <c:ptCount val="1"/>
                <c:pt idx="0">
                  <c:v>Electricité</c:v>
                </c:pt>
              </c:strCache>
            </c:strRef>
          </c:tx>
          <c:spPr>
            <a:solidFill>
              <a:schemeClr val="accent1"/>
            </a:solidFill>
            <a:ln>
              <a:noFill/>
            </a:ln>
            <a:effectLst/>
          </c:spPr>
          <c:invertIfNegative val="0"/>
          <c:cat>
            <c:numRef>
              <c:f>'CALCUL DEET'!$D$54:$M$54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DEET'!$D$76:$P$76</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CE1-4F4D-9705-7373DBEFF7EA}"/>
            </c:ext>
          </c:extLst>
        </c:ser>
        <c:ser>
          <c:idx val="3"/>
          <c:order val="1"/>
          <c:tx>
            <c:strRef>
              <c:f>'CALCUL DEET'!$C$78</c:f>
              <c:strCache>
                <c:ptCount val="1"/>
                <c:pt idx="0">
                  <c:v>ECS+Cuisson estimées</c:v>
                </c:pt>
              </c:strCache>
            </c:strRef>
          </c:tx>
          <c:spPr>
            <a:solidFill>
              <a:srgbClr val="CC99FF"/>
            </a:solidFill>
            <a:ln>
              <a:noFill/>
            </a:ln>
            <a:effectLst/>
          </c:spPr>
          <c:invertIfNegative val="0"/>
          <c:val>
            <c:numRef>
              <c:f>'CALCUL DEET'!$D$78:$P$78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5F1-4206-84CF-F55AD35C7E50}"/>
            </c:ext>
          </c:extLst>
        </c:ser>
        <c:ser>
          <c:idx val="7"/>
          <c:order val="2"/>
          <c:tx>
            <c:strRef>
              <c:f>'CALCUL DEET'!$C$79</c:f>
              <c:strCache>
                <c:ptCount val="1"/>
                <c:pt idx="0">
                  <c:v>Chauffage</c:v>
                </c:pt>
              </c:strCache>
            </c:strRef>
          </c:tx>
          <c:spPr>
            <a:solidFill>
              <a:schemeClr val="accent4"/>
            </a:solidFill>
            <a:ln>
              <a:noFill/>
            </a:ln>
            <a:effectLst/>
          </c:spPr>
          <c:invertIfNegative val="0"/>
          <c:cat>
            <c:numRef>
              <c:f>'CALCUL DEET'!$D$54:$M$54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DEET'!$D$79:$P$79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CE1-4F4D-9705-7373DBEFF7EA}"/>
            </c:ext>
          </c:extLst>
        </c:ser>
        <c:ser>
          <c:idx val="0"/>
          <c:order val="3"/>
          <c:tx>
            <c:strRef>
              <c:f>'CALCUL DEET'!$C$80</c:f>
              <c:strCache>
                <c:ptCount val="1"/>
                <c:pt idx="0">
                  <c:v>Ajust. Chauffage</c:v>
                </c:pt>
              </c:strCache>
            </c:strRef>
          </c:tx>
          <c:spPr>
            <a:solidFill>
              <a:srgbClr val="FF0000"/>
            </a:solidFill>
            <a:ln>
              <a:noFill/>
            </a:ln>
            <a:effectLst/>
          </c:spPr>
          <c:invertIfNegative val="0"/>
          <c:val>
            <c:numRef>
              <c:f>'CALCUL DEET'!$D$80:$P$80</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5B2-44EB-8B9F-BC307877722C}"/>
            </c:ext>
          </c:extLst>
        </c:ser>
        <c:ser>
          <c:idx val="1"/>
          <c:order val="4"/>
          <c:tx>
            <c:strRef>
              <c:f>'CALCUL DEET'!$C$81</c:f>
              <c:strCache>
                <c:ptCount val="1"/>
                <c:pt idx="0">
                  <c:v>Ajust. Refroidissement</c:v>
                </c:pt>
              </c:strCache>
            </c:strRef>
          </c:tx>
          <c:spPr>
            <a:solidFill>
              <a:schemeClr val="accent1">
                <a:lumMod val="40000"/>
                <a:lumOff val="60000"/>
              </a:schemeClr>
            </a:solidFill>
            <a:ln>
              <a:noFill/>
            </a:ln>
            <a:effectLst/>
          </c:spPr>
          <c:invertIfNegative val="0"/>
          <c:val>
            <c:numRef>
              <c:f>'CALCUL DEET'!$D$81:$P$81</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5B2-44EB-8B9F-BC307877722C}"/>
            </c:ext>
          </c:extLst>
        </c:ser>
        <c:dLbls>
          <c:showLegendKey val="0"/>
          <c:showVal val="0"/>
          <c:showCatName val="0"/>
          <c:showSerName val="0"/>
          <c:showPercent val="0"/>
          <c:showBubbleSize val="0"/>
        </c:dLbls>
        <c:gapWidth val="150"/>
        <c:overlap val="100"/>
        <c:axId val="983358736"/>
        <c:axId val="983362344"/>
      </c:barChart>
      <c:lineChart>
        <c:grouping val="standard"/>
        <c:varyColors val="0"/>
        <c:ser>
          <c:idx val="2"/>
          <c:order val="5"/>
          <c:tx>
            <c:strRef>
              <c:f>'CALCUL DEET'!$C$82</c:f>
              <c:strCache>
                <c:ptCount val="1"/>
                <c:pt idx="0">
                  <c:v>Intensité totale ajustée</c:v>
                </c:pt>
              </c:strCache>
            </c:strRef>
          </c:tx>
          <c:spPr>
            <a:ln w="28575" cap="rnd">
              <a:solidFill>
                <a:schemeClr val="tx1">
                  <a:lumMod val="65000"/>
                  <a:lumOff val="35000"/>
                </a:schemeClr>
              </a:solidFill>
              <a:round/>
            </a:ln>
            <a:effectLst/>
          </c:spPr>
          <c:marker>
            <c:symbol val="circle"/>
            <c:size val="5"/>
            <c:spPr>
              <a:solidFill>
                <a:schemeClr val="tx1">
                  <a:lumMod val="65000"/>
                  <a:lumOff val="35000"/>
                </a:schemeClr>
              </a:solidFill>
              <a:ln w="9525">
                <a:solidFill>
                  <a:schemeClr val="accent3"/>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'CALCUL DEET'!$D$54:$P$54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DEET'!$D$82:$P$82</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5B2-44EB-8B9F-BC307877722C}"/>
            </c:ext>
          </c:extLst>
        </c:ser>
        <c:dLbls>
          <c:showLegendKey val="0"/>
          <c:showVal val="0"/>
          <c:showCatName val="0"/>
          <c:showSerName val="0"/>
          <c:showPercent val="0"/>
          <c:showBubbleSize val="0"/>
        </c:dLbls>
        <c:marker val="1"/>
        <c:smooth val="0"/>
        <c:axId val="983358736"/>
        <c:axId val="983362344"/>
      </c:lineChart>
      <c:catAx>
        <c:axId val="9833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62344"/>
        <c:crosses val="autoZero"/>
        <c:auto val="1"/>
        <c:lblAlgn val="ctr"/>
        <c:lblOffset val="100"/>
        <c:noMultiLvlLbl val="0"/>
      </c:catAx>
      <c:valAx>
        <c:axId val="983362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Intensité énergétique</a:t>
                </a:r>
                <a:r>
                  <a:rPr lang="fr-FR" b="1" baseline="0"/>
                  <a:t> (kWh [EF PCI]/m².an)</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58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cat>
            <c:numRef>
              <c:f>'CALCUL DEET'!$D$54:$P$54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DEET'!$D$87:$P$87</c:f>
              <c:numCache>
                <c:formatCode>0%</c:formatCode>
                <c:ptCount val="13"/>
                <c:pt idx="0">
                  <c:v>0.18427000150670492</c:v>
                </c:pt>
                <c:pt idx="1">
                  <c:v>0</c:v>
                </c:pt>
                <c:pt idx="2">
                  <c:v>5.8567769431111388E-2</c:v>
                </c:pt>
                <c:pt idx="3">
                  <c:v>0.10893475968057865</c:v>
                </c:pt>
                <c:pt idx="4">
                  <c:v>0</c:v>
                </c:pt>
                <c:pt idx="5">
                  <c:v>0</c:v>
                </c:pt>
                <c:pt idx="6">
                  <c:v>4.2209259777438252E-2</c:v>
                </c:pt>
                <c:pt idx="7">
                  <c:v>0</c:v>
                </c:pt>
                <c:pt idx="8">
                  <c:v>0</c:v>
                </c:pt>
                <c:pt idx="9">
                  <c:v>0</c:v>
                </c:pt>
                <c:pt idx="10">
                  <c:v>0</c:v>
                </c:pt>
                <c:pt idx="11">
                  <c:v>2.4559288835317241E-2</c:v>
                </c:pt>
                <c:pt idx="12">
                  <c:v>0</c:v>
                </c:pt>
              </c:numCache>
            </c:numRef>
          </c:val>
          <c:extLst>
            <c:ext xmlns:c16="http://schemas.microsoft.com/office/drawing/2014/chart" uri="{C3380CC4-5D6E-409C-BE32-E72D297353CC}">
              <c16:uniqueId val="{00000000-E1DC-4205-828F-059D750E0A01}"/>
            </c:ext>
          </c:extLst>
        </c:ser>
        <c:ser>
          <c:idx val="1"/>
          <c:order val="1"/>
          <c:tx>
            <c:v>DJU négatif</c:v>
          </c:tx>
          <c:spPr>
            <a:solidFill>
              <a:srgbClr val="FF0000"/>
            </a:solidFill>
            <a:ln>
              <a:noFill/>
            </a:ln>
            <a:effectLst/>
          </c:spPr>
          <c:invertIfNegative val="0"/>
          <c:cat>
            <c:numRef>
              <c:f>'CALCUL DEET'!$D$54:$P$54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'CALCUL DEET'!$D$88:$P$88</c:f>
              <c:numCache>
                <c:formatCode>0%</c:formatCode>
                <c:ptCount val="13"/>
                <c:pt idx="0">
                  <c:v>0</c:v>
                </c:pt>
                <c:pt idx="1">
                  <c:v>-0.12438924643233812</c:v>
                </c:pt>
                <c:pt idx="2">
                  <c:v>0</c:v>
                </c:pt>
                <c:pt idx="3">
                  <c:v>0</c:v>
                </c:pt>
                <c:pt idx="4">
                  <c:v>-0.11147463354785933</c:v>
                </c:pt>
                <c:pt idx="5">
                  <c:v>-6.024666910609347E-2</c:v>
                </c:pt>
                <c:pt idx="6">
                  <c:v>0</c:v>
                </c:pt>
                <c:pt idx="7">
                  <c:v>-3.6569878817882359E-2</c:v>
                </c:pt>
                <c:pt idx="8">
                  <c:v>-7.5744204567468013E-2</c:v>
                </c:pt>
                <c:pt idx="9">
                  <c:v>-4.7332056221614682E-2</c:v>
                </c:pt>
                <c:pt idx="10">
                  <c:v>-0.15150993348974359</c:v>
                </c:pt>
                <c:pt idx="11">
                  <c:v>0</c:v>
                </c:pt>
                <c:pt idx="12">
                  <c:v>-0.13299898835532398</c:v>
                </c:pt>
              </c:numCache>
            </c:numRef>
          </c:val>
          <c:extLst>
            <c:ext xmlns:c16="http://schemas.microsoft.com/office/drawing/2014/chart" uri="{C3380CC4-5D6E-409C-BE32-E72D297353CC}">
              <c16:uniqueId val="{00000001-E1DC-4205-828F-059D750E0A01}"/>
            </c:ext>
          </c:extLst>
        </c:ser>
        <c:dLbls>
          <c:showLegendKey val="0"/>
          <c:showVal val="0"/>
          <c:showCatName val="0"/>
          <c:showSerName val="0"/>
          <c:showPercent val="0"/>
          <c:showBubbleSize val="0"/>
        </c:dLbls>
        <c:gapWidth val="219"/>
        <c:overlap val="100"/>
        <c:axId val="1053368136"/>
        <c:axId val="1053368464"/>
      </c:barChart>
      <c:scatterChart>
        <c:scatterStyle val="lineMarker"/>
        <c:varyColors val="0"/>
        <c:ser>
          <c:idx val="2"/>
          <c:order val="2"/>
          <c:tx>
            <c:v>evenements</c:v>
          </c:tx>
          <c:spPr>
            <a:ln w="25400" cap="rnd">
              <a:noFill/>
              <a:round/>
            </a:ln>
            <a:effectLst/>
          </c:spPr>
          <c:marker>
            <c:symbol val="circle"/>
            <c:size val="5"/>
            <c:spPr>
              <a:solidFill>
                <a:schemeClr val="bg1">
                  <a:alpha val="0"/>
                </a:schemeClr>
              </a:solidFill>
              <a:ln w="9525">
                <a:solidFill>
                  <a:schemeClr val="accent1">
                    <a:alpha val="0"/>
                  </a:schemeClr>
                </a:solidFill>
              </a:ln>
              <a:effectLst/>
            </c:spPr>
          </c:marker>
          <c:dLbls>
            <c:dLbl>
              <c:idx val="0"/>
              <c:tx>
                <c:rich>
                  <a:bodyPr/>
                  <a:lstStyle/>
                  <a:p>
                    <a:fld id="{66107015-35CD-4631-A9D1-0154E4159E5F}"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B0B-43E6-9645-E3C95267BB19}"/>
                </c:ext>
              </c:extLst>
            </c:dLbl>
            <c:dLbl>
              <c:idx val="1"/>
              <c:layout>
                <c:manualLayout>
                  <c:x val="-5.8779696905340795E-2"/>
                  <c:y val="3.1913544364001477E-2"/>
                </c:manualLayout>
              </c:layout>
              <c:tx>
                <c:rich>
                  <a:bodyPr/>
                  <a:lstStyle/>
                  <a:p>
                    <a:fld id="{A54562EB-B39C-4A3B-9942-E0DEB695696E}"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B0B-43E6-9645-E3C95267BB19}"/>
                </c:ext>
              </c:extLst>
            </c:dLbl>
            <c:dLbl>
              <c:idx val="2"/>
              <c:tx>
                <c:rich>
                  <a:bodyPr/>
                  <a:lstStyle/>
                  <a:p>
                    <a:fld id="{DED97FE3-29EC-4565-9207-0165B08CF47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B0B-43E6-9645-E3C95267BB19}"/>
                </c:ext>
              </c:extLst>
            </c:dLbl>
            <c:dLbl>
              <c:idx val="3"/>
              <c:layout>
                <c:manualLayout>
                  <c:x val="-6.0389946715946226E-2"/>
                  <c:y val="5.2047772551920946E-2"/>
                </c:manualLayout>
              </c:layout>
              <c:tx>
                <c:rich>
                  <a:bodyPr/>
                  <a:lstStyle/>
                  <a:p>
                    <a:fld id="{691A98F6-CE8C-4313-90F8-07732E82646A}"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B0B-43E6-9645-E3C95267BB19}"/>
                </c:ext>
              </c:extLst>
            </c:dLbl>
            <c:dLbl>
              <c:idx val="4"/>
              <c:tx>
                <c:rich>
                  <a:bodyPr/>
                  <a:lstStyle/>
                  <a:p>
                    <a:fld id="{D21D6F29-E207-4E06-BE0B-C2A585679FD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B0B-43E6-9645-E3C95267BB19}"/>
                </c:ext>
              </c:extLst>
            </c:dLbl>
            <c:dLbl>
              <c:idx val="5"/>
              <c:layout>
                <c:manualLayout>
                  <c:x val="-5.5559197284129849E-2"/>
                  <c:y val="3.8624953759974635E-2"/>
                </c:manualLayout>
              </c:layout>
              <c:tx>
                <c:rich>
                  <a:bodyPr/>
                  <a:lstStyle/>
                  <a:p>
                    <a:fld id="{71A169F1-6B11-4017-8A9E-19CC8C7B81C8}"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B0B-43E6-9645-E3C95267BB19}"/>
                </c:ext>
              </c:extLst>
            </c:dLbl>
            <c:dLbl>
              <c:idx val="6"/>
              <c:tx>
                <c:rich>
                  <a:bodyPr/>
                  <a:lstStyle/>
                  <a:p>
                    <a:fld id="{A646DBCB-DD06-4174-915A-82CAEBC16F6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B0B-43E6-9645-E3C95267BB19}"/>
                </c:ext>
              </c:extLst>
            </c:dLbl>
            <c:dLbl>
              <c:idx val="7"/>
              <c:layout>
                <c:manualLayout>
                  <c:x val="-6.0389946715946344E-2"/>
                  <c:y val="4.5336363155947787E-2"/>
                </c:manualLayout>
              </c:layout>
              <c:tx>
                <c:rich>
                  <a:bodyPr/>
                  <a:lstStyle/>
                  <a:p>
                    <a:fld id="{31830662-17F6-4DAB-B2F4-135B5B2EC436}"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B0B-43E6-9645-E3C95267BB19}"/>
                </c:ext>
              </c:extLst>
            </c:dLbl>
            <c:dLbl>
              <c:idx val="8"/>
              <c:tx>
                <c:rich>
                  <a:bodyPr/>
                  <a:lstStyle/>
                  <a:p>
                    <a:fld id="{D3FBCBF3-25A7-4555-8796-A57457A23F5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B0B-43E6-9645-E3C95267BB19}"/>
                </c:ext>
              </c:extLst>
            </c:dLbl>
            <c:dLbl>
              <c:idx val="9"/>
              <c:layout>
                <c:manualLayout>
                  <c:x val="-6.0389946715946226E-2"/>
                  <c:y val="4.5336363155947787E-2"/>
                </c:manualLayout>
              </c:layout>
              <c:tx>
                <c:rich>
                  <a:bodyPr/>
                  <a:lstStyle/>
                  <a:p>
                    <a:fld id="{29769AA5-EE57-4FE5-AAC4-BF83D1E701BF}"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B0B-43E6-9645-E3C95267BB19}"/>
                </c:ext>
              </c:extLst>
            </c:dLbl>
            <c:dLbl>
              <c:idx val="10"/>
              <c:tx>
                <c:rich>
                  <a:bodyPr/>
                  <a:lstStyle/>
                  <a:p>
                    <a:fld id="{DE62AEBF-519B-4B33-ACCE-209FB93D4D0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1FC-4204-A8EC-9A61843D564D}"/>
                </c:ext>
              </c:extLst>
            </c:dLbl>
            <c:dLbl>
              <c:idx val="11"/>
              <c:layout>
                <c:manualLayout>
                  <c:x val="-6.2000196526551685E-2"/>
                  <c:y val="4.5336363155947787E-2"/>
                </c:manualLayout>
              </c:layout>
              <c:tx>
                <c:rich>
                  <a:bodyPr/>
                  <a:lstStyle/>
                  <a:p>
                    <a:fld id="{E7AD4B10-03C0-49A9-A9CC-ADF4BCFC28FF}"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1FC-4204-A8EC-9A61843D564D}"/>
                </c:ext>
              </c:extLst>
            </c:dLbl>
            <c:dLbl>
              <c:idx val="12"/>
              <c:tx>
                <c:rich>
                  <a:bodyPr/>
                  <a:lstStyle/>
                  <a:p>
                    <a:fld id="{B04ECF91-485B-4DE4-B0BE-2CD5937FDF4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1FC-4204-A8EC-9A61843D564D}"/>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DataLabelsRange val="1"/>
                <c15:showLeaderLines val="0"/>
              </c:ext>
            </c:extLst>
          </c:dLbls>
          <c:errBars>
            <c:errDir val="y"/>
            <c:errBarType val="minus"/>
            <c:errValType val="percentage"/>
            <c:noEndCap val="0"/>
            <c:val val="100"/>
            <c:spPr>
              <a:noFill/>
              <a:ln w="9525" cap="flat" cmpd="sng" algn="ctr">
                <a:solidFill>
                  <a:schemeClr val="tx1">
                    <a:lumMod val="65000"/>
                    <a:lumOff val="35000"/>
                  </a:schemeClr>
                </a:solidFill>
                <a:round/>
              </a:ln>
              <a:effectLst/>
            </c:spPr>
          </c:errBars>
          <c:yVal>
            <c:numRef>
              <c:f>'CALCUL DEET'!$D$90:$P$90</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5="http://schemas.microsoft.com/office/drawing/2012/chart" uri="{02D57815-91ED-43cb-92C2-25804820EDAC}">
              <c15:datalabelsRange>
                <c15:f>'CALCUL DEET'!$D$91:$P$91</c15:f>
                <c15:dlblRangeCache>
                  <c:ptCount val="13"/>
                </c15:dlblRangeCache>
              </c15:datalabelsRange>
            </c:ext>
            <c:ext xmlns:c16="http://schemas.microsoft.com/office/drawing/2014/chart" uri="{C3380CC4-5D6E-409C-BE32-E72D297353CC}">
              <c16:uniqueId val="{00000000-6B0B-43E6-9645-E3C95267BB19}"/>
            </c:ext>
          </c:extLst>
        </c:ser>
        <c:dLbls>
          <c:showLegendKey val="0"/>
          <c:showVal val="0"/>
          <c:showCatName val="0"/>
          <c:showSerName val="0"/>
          <c:showPercent val="0"/>
          <c:showBubbleSize val="0"/>
        </c:dLbls>
        <c:axId val="1053368136"/>
        <c:axId val="1053368464"/>
      </c:scatterChart>
      <c:catAx>
        <c:axId val="1053368136"/>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464"/>
        <c:crosses val="autoZero"/>
        <c:auto val="1"/>
        <c:lblAlgn val="ctr"/>
        <c:lblOffset val="100"/>
        <c:noMultiLvlLbl val="0"/>
      </c:catAx>
      <c:valAx>
        <c:axId val="10533684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Variation</a:t>
                </a:r>
                <a:r>
                  <a:rPr lang="fr-FR" b="1" baseline="0"/>
                  <a:t> des DJU (%) </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6044115803071"/>
          <c:y val="1.9540293960198924E-2"/>
          <c:w val="0.85851648397335578"/>
          <c:h val="0.76098725789373067"/>
        </c:manualLayout>
      </c:layout>
      <c:areaChart>
        <c:grouping val="standard"/>
        <c:varyColors val="0"/>
        <c:ser>
          <c:idx val="5"/>
          <c:order val="0"/>
          <c:tx>
            <c:strRef>
              <c:f>'CALCUL DEET'!$C$47</c:f>
              <c:strCache>
                <c:ptCount val="1"/>
                <c:pt idx="0">
                  <c:v>INF</c:v>
                </c:pt>
              </c:strCache>
            </c:strRef>
          </c:tx>
          <c:spPr>
            <a:solidFill>
              <a:schemeClr val="bg1">
                <a:lumMod val="85000"/>
              </a:schemeClr>
            </a:solidFill>
            <a:ln>
              <a:noFill/>
            </a:ln>
            <a:effectLst/>
          </c:spPr>
          <c:val>
            <c:numRef>
              <c:f>'CALCUL DEET'!$D$47:$O$47</c:f>
              <c:numCache>
                <c:formatCode>General</c:formatCode>
                <c:ptCount val="12"/>
                <c:pt idx="0">
                  <c:v>50</c:v>
                </c:pt>
                <c:pt idx="1">
                  <c:v>50</c:v>
                </c:pt>
                <c:pt idx="2">
                  <c:v>50</c:v>
                </c:pt>
                <c:pt idx="3">
                  <c:v>50</c:v>
                </c:pt>
                <c:pt idx="4">
                  <c:v>50</c:v>
                </c:pt>
                <c:pt idx="5">
                  <c:v>50</c:v>
                </c:pt>
                <c:pt idx="6">
                  <c:v>50</c:v>
                </c:pt>
                <c:pt idx="7">
                  <c:v>50</c:v>
                </c:pt>
                <c:pt idx="8">
                  <c:v>50</c:v>
                </c:pt>
                <c:pt idx="9">
                  <c:v>50</c:v>
                </c:pt>
                <c:pt idx="10">
                  <c:v>50</c:v>
                </c:pt>
                <c:pt idx="11">
                  <c:v>50</c:v>
                </c:pt>
              </c:numCache>
            </c:numRef>
          </c:val>
          <c:extLst>
            <c:ext xmlns:c16="http://schemas.microsoft.com/office/drawing/2014/chart" uri="{C3380CC4-5D6E-409C-BE32-E72D297353CC}">
              <c16:uniqueId val="{00000000-1F47-40A8-BBA1-F6EE8600AB07}"/>
            </c:ext>
          </c:extLst>
        </c:ser>
        <c:ser>
          <c:idx val="4"/>
          <c:order val="1"/>
          <c:tx>
            <c:strRef>
              <c:f>'CALCUL DEET'!$C$46</c:f>
              <c:strCache>
                <c:ptCount val="1"/>
                <c:pt idx="0">
                  <c:v>Valeur référence</c:v>
                </c:pt>
              </c:strCache>
            </c:strRef>
          </c:tx>
          <c:spPr>
            <a:solidFill>
              <a:schemeClr val="accent2">
                <a:lumMod val="40000"/>
                <a:lumOff val="60000"/>
              </a:schemeClr>
            </a:solidFill>
            <a:ln>
              <a:no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DEET'!$D$46:$O$46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F47-40A8-BBA1-F6EE8600AB07}"/>
            </c:ext>
          </c:extLst>
        </c:ser>
        <c:ser>
          <c:idx val="3"/>
          <c:order val="2"/>
          <c:tx>
            <c:strRef>
              <c:f>'CALCUL DEET'!$C$45</c:f>
              <c:strCache>
                <c:ptCount val="1"/>
                <c:pt idx="0">
                  <c:v>rampe limite haute</c:v>
                </c:pt>
              </c:strCache>
            </c:strRef>
          </c:tx>
          <c:spPr>
            <a:solidFill>
              <a:schemeClr val="accent6">
                <a:lumMod val="40000"/>
                <a:lumOff val="60000"/>
              </a:schemeClr>
            </a:solidFill>
            <a:ln>
              <a:no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DEET'!$D$45:$O$45</c:f>
              <c:numCache>
                <c:formatCode>_-* #\ ##0.0\ _€_-;\-* #\ ##0.0\ _€_-;_-* \-?\ 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F47-40A8-BBA1-F6EE8600AB07}"/>
            </c:ext>
          </c:extLst>
        </c:ser>
        <c:ser>
          <c:idx val="2"/>
          <c:order val="3"/>
          <c:tx>
            <c:strRef>
              <c:f>'CALCUL DEET'!$C$44</c:f>
              <c:strCache>
                <c:ptCount val="1"/>
                <c:pt idx="0">
                  <c:v>objectif anuel</c:v>
                </c:pt>
              </c:strCache>
            </c:strRef>
          </c:tx>
          <c:spPr>
            <a:solidFill>
              <a:schemeClr val="accent6">
                <a:lumMod val="40000"/>
                <a:lumOff val="60000"/>
              </a:schemeClr>
            </a:solidFill>
            <a:ln>
              <a:solidFill>
                <a:schemeClr val="tx1"/>
              </a:solidFill>
              <a:prstDash val="dash"/>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DEET'!$D$44:$O$44</c:f>
              <c:numCache>
                <c:formatCode>General</c:formatCode>
                <c:ptCount val="12"/>
                <c:pt idx="0">
                  <c:v>0</c:v>
                </c:pt>
                <c:pt idx="1">
                  <c:v>0</c:v>
                </c:pt>
                <c:pt idx="2" formatCode="_-* #\ ##0.0\ _€_-;\-* #\ ##0.0\ _€_-;_-* \-??\ _€_-;_-@_-">
                  <c:v>0</c:v>
                </c:pt>
                <c:pt idx="3" formatCode="_-* #\ ##0.0\ _€_-;\-* #\ ##0.0\ _€_-;_-* \-??\ _€_-;_-@_-">
                  <c:v>0</c:v>
                </c:pt>
                <c:pt idx="4" formatCode="_-* #\ ##0.0\ _€_-;\-* #\ ##0.0\ _€_-;_-* \-??\ _€_-;_-@_-">
                  <c:v>0</c:v>
                </c:pt>
                <c:pt idx="5" formatCode="_-* #\ ##0.0\ _€_-;\-* #\ ##0.0\ _€_-;_-* \-??\ _€_-;_-@_-">
                  <c:v>0</c:v>
                </c:pt>
                <c:pt idx="6" formatCode="_-* #\ ##0.0\ _€_-;\-* #\ ##0.0\ _€_-;_-* \-??\ _€_-;_-@_-">
                  <c:v>0</c:v>
                </c:pt>
                <c:pt idx="7" formatCode="_-* #\ ##0.0\ _€_-;\-* #\ ##0.0\ _€_-;_-* \-??\ _€_-;_-@_-">
                  <c:v>0</c:v>
                </c:pt>
                <c:pt idx="8" formatCode="_-* #\ ##0.0\ _€_-;\-* #\ ##0.0\ _€_-;_-* \-??\ _€_-;_-@_-">
                  <c:v>0</c:v>
                </c:pt>
                <c:pt idx="9" formatCode="_-* #\ ##0.0\ _€_-;\-* #\ ##0.0\ _€_-;_-* \-??\ _€_-;_-@_-">
                  <c:v>0</c:v>
                </c:pt>
                <c:pt idx="10" formatCode="_-* #\ ##0.0\ _€_-;\-* #\ ##0.0\ _€_-;_-* \-??\ _€_-;_-@_-">
                  <c:v>0</c:v>
                </c:pt>
                <c:pt idx="11" formatCode="_-* #\ ##0.0\ _€_-;\-* #\ ##0.0\ _€_-;_-* \-??\ _€_-;_-@_-">
                  <c:v>0</c:v>
                </c:pt>
              </c:numCache>
            </c:numRef>
          </c:val>
          <c:extLst>
            <c:ext xmlns:c16="http://schemas.microsoft.com/office/drawing/2014/chart" uri="{C3380CC4-5D6E-409C-BE32-E72D297353CC}">
              <c16:uniqueId val="{00000003-1F47-40A8-BBA1-F6EE8600AB07}"/>
            </c:ext>
          </c:extLst>
        </c:ser>
        <c:ser>
          <c:idx val="1"/>
          <c:order val="4"/>
          <c:tx>
            <c:strRef>
              <c:f>'CALCUL DEET'!$C$43</c:f>
              <c:strCache>
                <c:ptCount val="1"/>
                <c:pt idx="0">
                  <c:v>rampe limite basse</c:v>
                </c:pt>
              </c:strCache>
            </c:strRef>
          </c:tx>
          <c:spPr>
            <a:solidFill>
              <a:schemeClr val="accent6">
                <a:lumMod val="60000"/>
                <a:lumOff val="40000"/>
              </a:schemeClr>
            </a:solidFill>
            <a:ln>
              <a:no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DEET'!$D$43:$O$43</c:f>
              <c:numCache>
                <c:formatCode>_-* #\ ##0.0\ _€_-;\-* #\ ##0.0\ _€_-;_-* \-?\ 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F47-40A8-BBA1-F6EE8600AB07}"/>
            </c:ext>
          </c:extLst>
        </c:ser>
        <c:ser>
          <c:idx val="0"/>
          <c:order val="5"/>
          <c:tx>
            <c:strRef>
              <c:f>'CALCUL DEET'!$C$42:$C$43</c:f>
              <c:strCache>
                <c:ptCount val="1"/>
                <c:pt idx="0">
                  <c:v>objectif -40 rampe limite basse</c:v>
                </c:pt>
              </c:strCache>
            </c:strRef>
          </c:tx>
          <c:spPr>
            <a:solidFill>
              <a:schemeClr val="accent6">
                <a:lumMod val="75000"/>
              </a:schemeClr>
            </a:solidFill>
            <a:ln>
              <a:solidFill>
                <a:schemeClr val="tx1"/>
              </a:solid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DEET'!$D$42:$O$42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F47-40A8-BBA1-F6EE8600AB07}"/>
            </c:ext>
          </c:extLst>
        </c:ser>
        <c:dLbls>
          <c:showLegendKey val="0"/>
          <c:showVal val="0"/>
          <c:showCatName val="0"/>
          <c:showSerName val="0"/>
          <c:showPercent val="0"/>
          <c:showBubbleSize val="0"/>
        </c:dLbls>
        <c:axId val="983358736"/>
        <c:axId val="983362344"/>
      </c:areaChart>
      <c:barChart>
        <c:barDir val="col"/>
        <c:grouping val="stacked"/>
        <c:varyColors val="0"/>
        <c:ser>
          <c:idx val="6"/>
          <c:order val="7"/>
          <c:tx>
            <c:strRef>
              <c:f>'CALCUL DEET'!$C$33</c:f>
              <c:strCache>
                <c:ptCount val="1"/>
                <c:pt idx="0">
                  <c:v>Electricité</c:v>
                </c:pt>
              </c:strCache>
            </c:strRef>
          </c:tx>
          <c:spPr>
            <a:solidFill>
              <a:schemeClr val="accent1"/>
            </a:solidFill>
            <a:ln w="25400">
              <a:noFill/>
            </a:ln>
            <a:effectLst/>
          </c:spPr>
          <c:invertIfNegative val="0"/>
          <c:val>
            <c:numRef>
              <c:f>'CALCUL DEET'!$D$33:$O$33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F47-40A8-BBA1-F6EE8600AB07}"/>
            </c:ext>
          </c:extLst>
        </c:ser>
        <c:ser>
          <c:idx val="12"/>
          <c:order val="8"/>
          <c:tx>
            <c:strRef>
              <c:f>'CALCUL DEET'!$C$35</c:f>
              <c:strCache>
                <c:ptCount val="1"/>
                <c:pt idx="0">
                  <c:v>ECS+Cuisson estimées</c:v>
                </c:pt>
              </c:strCache>
            </c:strRef>
          </c:tx>
          <c:spPr>
            <a:solidFill>
              <a:srgbClr val="CC99FF"/>
            </a:solidFill>
            <a:ln>
              <a:noFill/>
            </a:ln>
            <a:effectLst/>
          </c:spPr>
          <c:invertIfNegative val="0"/>
          <c:val>
            <c:numRef>
              <c:f>'CALCUL DEET'!$D$35:$O$35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55-4D09-89E4-C79568CC4EB8}"/>
            </c:ext>
          </c:extLst>
        </c:ser>
        <c:ser>
          <c:idx val="7"/>
          <c:order val="9"/>
          <c:tx>
            <c:strRef>
              <c:f>'CALCUL DEET'!$C$36</c:f>
              <c:strCache>
                <c:ptCount val="1"/>
                <c:pt idx="0">
                  <c:v>Chauffage</c:v>
                </c:pt>
              </c:strCache>
            </c:strRef>
          </c:tx>
          <c:spPr>
            <a:solidFill>
              <a:schemeClr val="accent4"/>
            </a:solidFill>
            <a:ln>
              <a:noFill/>
            </a:ln>
            <a:effectLst/>
          </c:spPr>
          <c:invertIfNegative val="0"/>
          <c:val>
            <c:numRef>
              <c:f>'CALCUL DEET'!$D$36:$O$36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F47-40A8-BBA1-F6EE8600AB07}"/>
            </c:ext>
          </c:extLst>
        </c:ser>
        <c:ser>
          <c:idx val="8"/>
          <c:order val="10"/>
          <c:tx>
            <c:strRef>
              <c:f>'CALCUL DEET'!$C$37</c:f>
              <c:strCache>
                <c:ptCount val="1"/>
                <c:pt idx="0">
                  <c:v>Ajust. Chauffage</c:v>
                </c:pt>
              </c:strCache>
            </c:strRef>
          </c:tx>
          <c:spPr>
            <a:solidFill>
              <a:srgbClr val="FF0000"/>
            </a:solidFill>
            <a:ln>
              <a:noFill/>
            </a:ln>
            <a:effectLst/>
          </c:spPr>
          <c:invertIfNegative val="0"/>
          <c:val>
            <c:numRef>
              <c:f>'CALCUL DEET'!$D$37:$O$37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A6-4B3C-B4D9-103133D1EC98}"/>
            </c:ext>
          </c:extLst>
        </c:ser>
        <c:ser>
          <c:idx val="9"/>
          <c:order val="11"/>
          <c:tx>
            <c:strRef>
              <c:f>'CALCUL DEET'!$C$38</c:f>
              <c:strCache>
                <c:ptCount val="1"/>
                <c:pt idx="0">
                  <c:v>Ajust. Refroidissement</c:v>
                </c:pt>
              </c:strCache>
            </c:strRef>
          </c:tx>
          <c:spPr>
            <a:solidFill>
              <a:schemeClr val="accent1">
                <a:lumMod val="40000"/>
                <a:lumOff val="60000"/>
              </a:schemeClr>
            </a:solidFill>
            <a:ln>
              <a:noFill/>
            </a:ln>
            <a:effectLst/>
          </c:spPr>
          <c:invertIfNegative val="0"/>
          <c:val>
            <c:numRef>
              <c:f>'CALCUL DEET'!$D$38:$O$38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DA6-4B3C-B4D9-103133D1EC98}"/>
            </c:ext>
          </c:extLst>
        </c:ser>
        <c:dLbls>
          <c:showLegendKey val="0"/>
          <c:showVal val="0"/>
          <c:showCatName val="0"/>
          <c:showSerName val="0"/>
          <c:showPercent val="0"/>
          <c:showBubbleSize val="0"/>
        </c:dLbls>
        <c:gapWidth val="150"/>
        <c:overlap val="100"/>
        <c:axId val="983358736"/>
        <c:axId val="983362344"/>
      </c:barChart>
      <c:lineChart>
        <c:grouping val="standard"/>
        <c:varyColors val="0"/>
        <c:ser>
          <c:idx val="11"/>
          <c:order val="6"/>
          <c:tx>
            <c:v>Cabs</c:v>
          </c:tx>
          <c:spPr>
            <a:ln w="12700" cap="rnd">
              <a:solidFill>
                <a:srgbClr val="FF0000"/>
              </a:solidFill>
              <a:round/>
            </a:ln>
            <a:effectLst/>
          </c:spPr>
          <c:marker>
            <c:symbol val="none"/>
          </c:marker>
          <c:val>
            <c:numRef>
              <c:f>'CALCUL DEET'!$D$48:$O$48</c:f>
              <c:numCache>
                <c:formatCode>General</c:formatCode>
                <c:ptCount val="12"/>
                <c:pt idx="0">
                  <c:v>#N/A</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3CF-4EB9-81B2-3880E5299E23}"/>
            </c:ext>
          </c:extLst>
        </c:ser>
        <c:ser>
          <c:idx val="10"/>
          <c:order val="12"/>
          <c:tx>
            <c:strRef>
              <c:f>'CALCUL DEET'!$C$39</c:f>
              <c:strCache>
                <c:ptCount val="1"/>
                <c:pt idx="0">
                  <c:v>Intensité totale ajustée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'CALCUL DEET'!$D$39:$O$39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DA6-4B3C-B4D9-103133D1EC98}"/>
            </c:ext>
          </c:extLst>
        </c:ser>
        <c:dLbls>
          <c:showLegendKey val="0"/>
          <c:showVal val="0"/>
          <c:showCatName val="0"/>
          <c:showSerName val="0"/>
          <c:showPercent val="0"/>
          <c:showBubbleSize val="0"/>
        </c:dLbls>
        <c:marker val="1"/>
        <c:smooth val="0"/>
        <c:axId val="983358736"/>
        <c:axId val="983362344"/>
      </c:lineChart>
      <c:catAx>
        <c:axId val="9833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62344"/>
        <c:crosses val="autoZero"/>
        <c:auto val="1"/>
        <c:lblAlgn val="ctr"/>
        <c:lblOffset val="100"/>
        <c:noMultiLvlLbl val="0"/>
      </c:catAx>
      <c:valAx>
        <c:axId val="983362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Intensité énergétique</a:t>
                </a:r>
                <a:r>
                  <a:rPr lang="fr-FR" b="1" baseline="0"/>
                  <a:t> (kWh [EF PCI]/m².an)</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5873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spPr>
            <a:solidFill>
              <a:schemeClr val="accent1"/>
            </a:solidFill>
            <a:ln>
              <a:noFill/>
            </a:ln>
            <a:effectLst/>
          </c:spPr>
          <c:invertIfNegative val="0"/>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DEET'!$D$51:$O$51</c:f>
              <c:numCache>
                <c:formatCode>0%</c:formatCode>
                <c:ptCount val="12"/>
                <c:pt idx="0">
                  <c:v>0</c:v>
                </c:pt>
                <c:pt idx="1">
                  <c:v>0</c:v>
                </c:pt>
                <c:pt idx="2">
                  <c:v>2.4559288835317241E-2</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9CB-41E7-8B01-7A3E594CE61C}"/>
            </c:ext>
          </c:extLst>
        </c:ser>
        <c:ser>
          <c:idx val="1"/>
          <c:order val="2"/>
          <c:tx>
            <c:v>DJU négatif</c:v>
          </c:tx>
          <c:spPr>
            <a:solidFill>
              <a:srgbClr val="FF0000"/>
            </a:solidFill>
            <a:ln>
              <a:noFill/>
            </a:ln>
            <a:effectLst/>
          </c:spPr>
          <c:invertIfNegative val="0"/>
          <c:val>
            <c:numRef>
              <c:f>'CALCUL DEET'!$D$52:$O$52</c:f>
              <c:numCache>
                <c:formatCode>0%</c:formatCode>
                <c:ptCount val="12"/>
                <c:pt idx="0">
                  <c:v>0</c:v>
                </c:pt>
                <c:pt idx="1">
                  <c:v>-0.15150993348974359</c:v>
                </c:pt>
                <c:pt idx="2">
                  <c:v>0</c:v>
                </c:pt>
                <c:pt idx="3">
                  <c:v>-0.13299898835532398</c:v>
                </c:pt>
                <c:pt idx="4">
                  <c:v>-0.1566757786435351</c:v>
                </c:pt>
                <c:pt idx="5">
                  <c:v>-0.10028196904797772</c:v>
                </c:pt>
                <c:pt idx="6">
                  <c:v>-0.11922340127854661</c:v>
                </c:pt>
                <c:pt idx="7">
                  <c:v>0</c:v>
                </c:pt>
                <c:pt idx="8">
                  <c:v>0</c:v>
                </c:pt>
                <c:pt idx="9">
                  <c:v>0</c:v>
                </c:pt>
                <c:pt idx="10">
                  <c:v>0</c:v>
                </c:pt>
                <c:pt idx="11">
                  <c:v>0</c:v>
                </c:pt>
              </c:numCache>
            </c:numRef>
          </c:val>
          <c:extLst>
            <c:ext xmlns:c16="http://schemas.microsoft.com/office/drawing/2014/chart" uri="{C3380CC4-5D6E-409C-BE32-E72D297353CC}">
              <c16:uniqueId val="{00000001-19CB-41E7-8B01-7A3E594CE61C}"/>
            </c:ext>
          </c:extLst>
        </c:ser>
        <c:dLbls>
          <c:showLegendKey val="0"/>
          <c:showVal val="0"/>
          <c:showCatName val="0"/>
          <c:showSerName val="0"/>
          <c:showPercent val="0"/>
          <c:showBubbleSize val="0"/>
        </c:dLbls>
        <c:gapWidth val="219"/>
        <c:overlap val="-27"/>
        <c:axId val="1053368136"/>
        <c:axId val="1053368464"/>
      </c:barChart>
      <c:scatterChart>
        <c:scatterStyle val="lineMarker"/>
        <c:varyColors val="0"/>
        <c:ser>
          <c:idx val="2"/>
          <c:order val="0"/>
          <c:tx>
            <c:v>evenements</c:v>
          </c:tx>
          <c:spPr>
            <a:ln w="25400" cap="rnd">
              <a:noFill/>
              <a:round/>
            </a:ln>
            <a:effectLst/>
          </c:spPr>
          <c:marker>
            <c:symbol val="circle"/>
            <c:size val="5"/>
            <c:spPr>
              <a:solidFill>
                <a:schemeClr val="accent1">
                  <a:alpha val="0"/>
                </a:schemeClr>
              </a:solidFill>
              <a:ln w="9525">
                <a:solidFill>
                  <a:schemeClr val="accent1">
                    <a:shade val="50000"/>
                    <a:alpha val="2000"/>
                  </a:schemeClr>
                </a:solidFill>
              </a:ln>
              <a:effectLst/>
            </c:spPr>
          </c:marker>
          <c:dLbls>
            <c:dLbl>
              <c:idx val="0"/>
              <c:tx>
                <c:rich>
                  <a:bodyPr/>
                  <a:lstStyle/>
                  <a:p>
                    <a:fld id="{32C8A23E-634C-4ED6-A910-D4DFA234459B}" type="CELLRANGE">
                      <a:rPr lang="en-US"/>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CDD-44A1-A2A4-CEDBABA35829}"/>
                </c:ext>
              </c:extLst>
            </c:dLbl>
            <c:dLbl>
              <c:idx val="1"/>
              <c:tx>
                <c:rich>
                  <a:bodyPr/>
                  <a:lstStyle/>
                  <a:p>
                    <a:fld id="{BC5523A3-0D4D-4FBC-8438-186C0D831854}"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CDD-44A1-A2A4-CEDBABA35829}"/>
                </c:ext>
              </c:extLst>
            </c:dLbl>
            <c:dLbl>
              <c:idx val="2"/>
              <c:tx>
                <c:rich>
                  <a:bodyPr/>
                  <a:lstStyle/>
                  <a:p>
                    <a:fld id="{00B86B26-B7C4-4130-8CC1-6C240A35D2BD}"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CDD-44A1-A2A4-CEDBABA35829}"/>
                </c:ext>
              </c:extLst>
            </c:dLbl>
            <c:dLbl>
              <c:idx val="3"/>
              <c:tx>
                <c:rich>
                  <a:bodyPr/>
                  <a:lstStyle/>
                  <a:p>
                    <a:fld id="{4A939D93-0DBF-4E25-B485-6D64AEFA8158}"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CDD-44A1-A2A4-CEDBABA35829}"/>
                </c:ext>
              </c:extLst>
            </c:dLbl>
            <c:dLbl>
              <c:idx val="4"/>
              <c:tx>
                <c:rich>
                  <a:bodyPr/>
                  <a:lstStyle/>
                  <a:p>
                    <a:fld id="{74DC894E-BF9F-4B9B-B239-A88550FD2CEA}"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CDD-44A1-A2A4-CEDBABA35829}"/>
                </c:ext>
              </c:extLst>
            </c:dLbl>
            <c:dLbl>
              <c:idx val="5"/>
              <c:tx>
                <c:rich>
                  <a:bodyPr/>
                  <a:lstStyle/>
                  <a:p>
                    <a:fld id="{F907D39D-E2C5-4C88-8E1D-046E643775E7}"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CDD-44A1-A2A4-CEDBABA35829}"/>
                </c:ext>
              </c:extLst>
            </c:dLbl>
            <c:dLbl>
              <c:idx val="6"/>
              <c:tx>
                <c:rich>
                  <a:bodyPr/>
                  <a:lstStyle/>
                  <a:p>
                    <a:fld id="{14E5DB8A-8F3C-4D48-81D3-ECD481F061D5}"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CDD-44A1-A2A4-CEDBABA35829}"/>
                </c:ext>
              </c:extLst>
            </c:dLbl>
            <c:dLbl>
              <c:idx val="7"/>
              <c:tx>
                <c:rich>
                  <a:bodyPr/>
                  <a:lstStyle/>
                  <a:p>
                    <a:fld id="{60866988-9960-4778-B690-8813737DCA97}"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CDD-44A1-A2A4-CEDBABA35829}"/>
                </c:ext>
              </c:extLst>
            </c:dLbl>
            <c:dLbl>
              <c:idx val="8"/>
              <c:tx>
                <c:rich>
                  <a:bodyPr/>
                  <a:lstStyle/>
                  <a:p>
                    <a:fld id="{D9F48C85-00EB-4AAE-A022-6F2AE2CF0C6B}"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CDD-44A1-A2A4-CEDBABA35829}"/>
                </c:ext>
              </c:extLst>
            </c:dLbl>
            <c:dLbl>
              <c:idx val="9"/>
              <c:tx>
                <c:rich>
                  <a:bodyPr/>
                  <a:lstStyle/>
                  <a:p>
                    <a:fld id="{0CA065D6-7047-4ED3-9934-0D47DB97DA78}"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CDD-44A1-A2A4-CEDBABA35829}"/>
                </c:ext>
              </c:extLst>
            </c:dLbl>
            <c:dLbl>
              <c:idx val="10"/>
              <c:tx>
                <c:rich>
                  <a:bodyPr/>
                  <a:lstStyle/>
                  <a:p>
                    <a:fld id="{E11EDD88-8DA3-453F-B6E2-11116CCFC86A}"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CDD-44A1-A2A4-CEDBABA35829}"/>
                </c:ext>
              </c:extLst>
            </c:dLbl>
            <c:dLbl>
              <c:idx val="11"/>
              <c:tx>
                <c:rich>
                  <a:bodyPr/>
                  <a:lstStyle/>
                  <a:p>
                    <a:fld id="{9F4B734A-2989-4176-8095-81983896F8FF}"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CDD-44A1-A2A4-CEDBABA35829}"/>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9525" cap="flat" cmpd="sng" algn="ctr">
                <a:solidFill>
                  <a:schemeClr val="tx1">
                    <a:lumMod val="65000"/>
                    <a:lumOff val="35000"/>
                  </a:schemeClr>
                </a:solidFill>
                <a:round/>
              </a:ln>
              <a:effectLst/>
            </c:spPr>
          </c:errBars>
          <c:yVal>
            <c:numRef>
              <c:f>'CALCUL DEET'!$D$9:$O$9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5="http://schemas.microsoft.com/office/drawing/2012/chart" uri="{02D57815-91ED-43cb-92C2-25804820EDAC}">
              <c15:datalabelsRange>
                <c15:f>'CALCUL DEET'!$D$10:$O$10</c15:f>
                <c15:dlblRangeCache>
                  <c:ptCount val="12"/>
                </c15:dlblRangeCache>
              </c15:datalabelsRange>
            </c:ext>
            <c:ext xmlns:c16="http://schemas.microsoft.com/office/drawing/2014/chart" uri="{C3380CC4-5D6E-409C-BE32-E72D297353CC}">
              <c16:uniqueId val="{00000000-CCDD-44A1-A2A4-CEDBABA35829}"/>
            </c:ext>
          </c:extLst>
        </c:ser>
        <c:dLbls>
          <c:showLegendKey val="0"/>
          <c:showVal val="0"/>
          <c:showCatName val="0"/>
          <c:showSerName val="0"/>
          <c:showPercent val="0"/>
          <c:showBubbleSize val="0"/>
        </c:dLbls>
        <c:axId val="1053368136"/>
        <c:axId val="1053368464"/>
      </c:scatterChart>
      <c:catAx>
        <c:axId val="1053368136"/>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464"/>
        <c:crosses val="autoZero"/>
        <c:auto val="1"/>
        <c:lblAlgn val="ctr"/>
        <c:lblOffset val="100"/>
        <c:noMultiLvlLbl val="0"/>
      </c:catAx>
      <c:valAx>
        <c:axId val="10533684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Variation des DJU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CalculSuiviMensuel!$C$1</c:f>
              <c:strCache>
                <c:ptCount val="1"/>
                <c:pt idx="0">
                  <c:v>2024</c:v>
                </c:pt>
              </c:strCache>
            </c:strRef>
          </c:tx>
          <c:spPr>
            <a:solidFill>
              <a:schemeClr val="accent2"/>
            </a:solidFill>
            <a:ln>
              <a:noFill/>
            </a:ln>
            <a:effectLst/>
          </c:spPr>
          <c:invertIfNegative val="0"/>
          <c:dLbls>
            <c:dLbl>
              <c:idx val="0"/>
              <c:tx>
                <c:rich>
                  <a:bodyPr/>
                  <a:lstStyle/>
                  <a:p>
                    <a:fld id="{7A6F64DE-137D-413A-8765-D9E20861805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734-46BF-B62A-F36DB3276C1B}"/>
                </c:ext>
              </c:extLst>
            </c:dLbl>
            <c:dLbl>
              <c:idx val="1"/>
              <c:tx>
                <c:rich>
                  <a:bodyPr/>
                  <a:lstStyle/>
                  <a:p>
                    <a:fld id="{17807940-BB4C-4F69-B7A3-D775069A0F1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734-46BF-B62A-F36DB3276C1B}"/>
                </c:ext>
              </c:extLst>
            </c:dLbl>
            <c:dLbl>
              <c:idx val="2"/>
              <c:tx>
                <c:rich>
                  <a:bodyPr/>
                  <a:lstStyle/>
                  <a:p>
                    <a:fld id="{6296C1C2-DB87-4A7E-8E71-C1645D06D8D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734-46BF-B62A-F36DB3276C1B}"/>
                </c:ext>
              </c:extLst>
            </c:dLbl>
            <c:dLbl>
              <c:idx val="3"/>
              <c:tx>
                <c:rich>
                  <a:bodyPr/>
                  <a:lstStyle/>
                  <a:p>
                    <a:fld id="{BB657917-91BD-45FF-8AFC-F679358B26E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734-46BF-B62A-F36DB3276C1B}"/>
                </c:ext>
              </c:extLst>
            </c:dLbl>
            <c:dLbl>
              <c:idx val="4"/>
              <c:tx>
                <c:rich>
                  <a:bodyPr/>
                  <a:lstStyle/>
                  <a:p>
                    <a:fld id="{64FB6728-E198-4474-BD30-3A5B24F9290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734-46BF-B62A-F36DB3276C1B}"/>
                </c:ext>
              </c:extLst>
            </c:dLbl>
            <c:dLbl>
              <c:idx val="5"/>
              <c:tx>
                <c:rich>
                  <a:bodyPr/>
                  <a:lstStyle/>
                  <a:p>
                    <a:fld id="{52EE8B75-5315-4198-9C33-1614856AA41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734-46BF-B62A-F36DB3276C1B}"/>
                </c:ext>
              </c:extLst>
            </c:dLbl>
            <c:dLbl>
              <c:idx val="6"/>
              <c:tx>
                <c:rich>
                  <a:bodyPr/>
                  <a:lstStyle/>
                  <a:p>
                    <a:fld id="{8A790EFD-D877-4890-A58F-2B3A6D7C006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734-46BF-B62A-F36DB3276C1B}"/>
                </c:ext>
              </c:extLst>
            </c:dLbl>
            <c:dLbl>
              <c:idx val="7"/>
              <c:tx>
                <c:rich>
                  <a:bodyPr/>
                  <a:lstStyle/>
                  <a:p>
                    <a:fld id="{A8171C56-220A-488F-8F2C-0B5845EE0A7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734-46BF-B62A-F36DB3276C1B}"/>
                </c:ext>
              </c:extLst>
            </c:dLbl>
            <c:dLbl>
              <c:idx val="8"/>
              <c:tx>
                <c:rich>
                  <a:bodyPr/>
                  <a:lstStyle/>
                  <a:p>
                    <a:fld id="{5AF4ED28-360F-4643-BFA5-865164CE288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734-46BF-B62A-F36DB3276C1B}"/>
                </c:ext>
              </c:extLst>
            </c:dLbl>
            <c:dLbl>
              <c:idx val="9"/>
              <c:tx>
                <c:rich>
                  <a:bodyPr/>
                  <a:lstStyle/>
                  <a:p>
                    <a:fld id="{4EC2CCDE-18EE-4554-8959-6B6C250A112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734-46BF-B62A-F36DB3276C1B}"/>
                </c:ext>
              </c:extLst>
            </c:dLbl>
            <c:dLbl>
              <c:idx val="10"/>
              <c:tx>
                <c:rich>
                  <a:bodyPr/>
                  <a:lstStyle/>
                  <a:p>
                    <a:fld id="{4891F7ED-E181-440F-B956-D0F3ABA660D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734-46BF-B62A-F36DB3276C1B}"/>
                </c:ext>
              </c:extLst>
            </c:dLbl>
            <c:dLbl>
              <c:idx val="11"/>
              <c:tx>
                <c:rich>
                  <a:bodyPr/>
                  <a:lstStyle/>
                  <a:p>
                    <a:fld id="{237867B8-0383-4243-850E-56DD77EF5C4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734-46BF-B62A-F36DB3276C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CalculSuiviMensuel!$D$4:$D$27</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CalculSuiviMensuel!$H$4:$H$15</c:f>
              <c:numCache>
                <c:formatCode>0</c:formatCode>
                <c:ptCount val="12"/>
                <c:pt idx="0">
                  <c:v>11.203137931034478</c:v>
                </c:pt>
                <c:pt idx="1">
                  <c:v>9.7414749721913232</c:v>
                </c:pt>
                <c:pt idx="2">
                  <c:v>10.081987096774194</c:v>
                </c:pt>
                <c:pt idx="3">
                  <c:v>9.6309483870967707</c:v>
                </c:pt>
                <c:pt idx="4">
                  <c:v>9.6033182795698924</c:v>
                </c:pt>
                <c:pt idx="5">
                  <c:v>9.2743268817204338</c:v>
                </c:pt>
                <c:pt idx="6">
                  <c:v>12.161193548387102</c:v>
                </c:pt>
                <c:pt idx="7">
                  <c:v>11.960612903225812</c:v>
                </c:pt>
                <c:pt idx="8">
                  <c:v>8.6197241379310334</c:v>
                </c:pt>
                <c:pt idx="9">
                  <c:v>9.8971425287356318</c:v>
                </c:pt>
                <c:pt idx="10">
                  <c:v>9.9885849462365641</c:v>
                </c:pt>
                <c:pt idx="11">
                  <c:v>10.577935483870974</c:v>
                </c:pt>
              </c:numCache>
            </c:numRef>
          </c:val>
          <c:extLst>
            <c:ext xmlns:c15="http://schemas.microsoft.com/office/drawing/2012/chart" uri="{02D57815-91ED-43cb-92C2-25804820EDAC}">
              <c15:datalabelsRange>
                <c15:f>CalculSuiviMensuel!$I$16:$I$27</c15:f>
                <c15:dlblRangeCache>
                  <c:ptCount val="12"/>
                  <c:pt idx="0">
                    <c:v>-5,5%</c:v>
                  </c:pt>
                  <c:pt idx="1">
                    <c:v>-0,2%</c:v>
                  </c:pt>
                  <c:pt idx="2">
                    <c:v>3,1%</c:v>
                  </c:pt>
                  <c:pt idx="3">
                    <c:v>-5,5%</c:v>
                  </c:pt>
                  <c:pt idx="4">
                    <c:v>1,6%</c:v>
                  </c:pt>
                  <c:pt idx="5">
                    <c:v>18,1%</c:v>
                  </c:pt>
                  <c:pt idx="6">
                    <c:v>14,0%</c:v>
                  </c:pt>
                  <c:pt idx="7">
                    <c:v>-1,5%</c:v>
                  </c:pt>
                  <c:pt idx="8">
                    <c:v>12,6%</c:v>
                  </c:pt>
                  <c:pt idx="9">
                    <c:v>4,3%</c:v>
                  </c:pt>
                  <c:pt idx="10">
                    <c:v>-2,2%</c:v>
                  </c:pt>
                  <c:pt idx="11">
                    <c:v>10,9%</c:v>
                  </c:pt>
                </c15:dlblRangeCache>
              </c15:datalabelsRange>
            </c:ext>
            <c:ext xmlns:c16="http://schemas.microsoft.com/office/drawing/2014/chart" uri="{C3380CC4-5D6E-409C-BE32-E72D297353CC}">
              <c16:uniqueId val="{0000000C-D734-46BF-B62A-F36DB3276C1B}"/>
            </c:ext>
          </c:extLst>
        </c:ser>
        <c:ser>
          <c:idx val="1"/>
          <c:order val="1"/>
          <c:tx>
            <c:strRef>
              <c:f>CalculSuiviMensuel!$C$2</c:f>
              <c:strCache>
                <c:ptCount val="1"/>
                <c:pt idx="0">
                  <c:v>2025</c:v>
                </c:pt>
              </c:strCache>
            </c:strRef>
          </c:tx>
          <c:spPr>
            <a:solidFill>
              <a:schemeClr val="accent4"/>
            </a:solidFill>
            <a:ln>
              <a:noFill/>
            </a:ln>
            <a:effectLst/>
          </c:spPr>
          <c:invertIfNegative val="0"/>
          <c:dLbls>
            <c:delete val="1"/>
          </c:dLbls>
          <c:cat>
            <c:strRef>
              <c:f>CalculSuiviMensuel!$D$4:$D$27</c:f>
              <c:strCache>
                <c:ptCount val="24"/>
                <c:pt idx="0">
                  <c:v>janv</c:v>
                </c:pt>
                <c:pt idx="1">
                  <c:v>févr</c:v>
                </c:pt>
                <c:pt idx="2">
                  <c:v>mars</c:v>
                </c:pt>
                <c:pt idx="3">
                  <c:v>avr</c:v>
                </c:pt>
                <c:pt idx="4">
                  <c:v>mai</c:v>
                </c:pt>
                <c:pt idx="5">
                  <c:v>juin</c:v>
                </c:pt>
                <c:pt idx="6">
                  <c:v>juil</c:v>
                </c:pt>
                <c:pt idx="7">
                  <c:v>août</c:v>
                </c:pt>
                <c:pt idx="8">
                  <c:v>sept</c:v>
                </c:pt>
                <c:pt idx="9">
                  <c:v>oct</c:v>
                </c:pt>
                <c:pt idx="10">
                  <c:v>nov</c:v>
                </c:pt>
                <c:pt idx="11">
                  <c:v>déc</c:v>
                </c:pt>
                <c:pt idx="12">
                  <c:v>janv</c:v>
                </c:pt>
                <c:pt idx="13">
                  <c:v>févr</c:v>
                </c:pt>
                <c:pt idx="14">
                  <c:v>mars</c:v>
                </c:pt>
                <c:pt idx="15">
                  <c:v>avr</c:v>
                </c:pt>
                <c:pt idx="16">
                  <c:v>mai</c:v>
                </c:pt>
                <c:pt idx="17">
                  <c:v>juin</c:v>
                </c:pt>
                <c:pt idx="18">
                  <c:v>juil</c:v>
                </c:pt>
                <c:pt idx="19">
                  <c:v>août</c:v>
                </c:pt>
                <c:pt idx="20">
                  <c:v>sept</c:v>
                </c:pt>
                <c:pt idx="21">
                  <c:v>oct</c:v>
                </c:pt>
                <c:pt idx="22">
                  <c:v>nov</c:v>
                </c:pt>
                <c:pt idx="23">
                  <c:v>déc</c:v>
                </c:pt>
              </c:strCache>
            </c:strRef>
          </c:cat>
          <c:val>
            <c:numRef>
              <c:f>CalculSuiviMensuel!$H$16:$H$27</c:f>
              <c:numCache>
                <c:formatCode>0</c:formatCode>
                <c:ptCount val="12"/>
                <c:pt idx="0">
                  <c:v>10.588184331797244</c:v>
                </c:pt>
                <c:pt idx="1">
                  <c:v>9.7195898617511478</c:v>
                </c:pt>
                <c:pt idx="2">
                  <c:v>10.389870967741938</c:v>
                </c:pt>
                <c:pt idx="3">
                  <c:v>9.1012344086021475</c:v>
                </c:pt>
                <c:pt idx="4">
                  <c:v>9.7525075268817201</c:v>
                </c:pt>
                <c:pt idx="5">
                  <c:v>10.951025806451609</c:v>
                </c:pt>
                <c:pt idx="6">
                  <c:v>13.864393548387087</c:v>
                </c:pt>
                <c:pt idx="7">
                  <c:v>11.776258064516131</c:v>
                </c:pt>
                <c:pt idx="8">
                  <c:v>9.703815053763444</c:v>
                </c:pt>
                <c:pt idx="9">
                  <c:v>10.31942564102564</c:v>
                </c:pt>
                <c:pt idx="10">
                  <c:v>9.7638461538461527</c:v>
                </c:pt>
                <c:pt idx="11">
                  <c:v>11.72846153846154</c:v>
                </c:pt>
              </c:numCache>
            </c:numRef>
          </c:val>
          <c:extLst>
            <c:ext xmlns:c16="http://schemas.microsoft.com/office/drawing/2014/chart" uri="{C3380CC4-5D6E-409C-BE32-E72D297353CC}">
              <c16:uniqueId val="{0000000D-D734-46BF-B62A-F36DB3276C1B}"/>
            </c:ext>
          </c:extLst>
        </c:ser>
        <c:dLbls>
          <c:showLegendKey val="0"/>
          <c:showVal val="1"/>
          <c:showCatName val="0"/>
          <c:showSerName val="0"/>
          <c:showPercent val="0"/>
          <c:showBubbleSize val="0"/>
        </c:dLbls>
        <c:gapWidth val="72"/>
        <c:overlap val="67"/>
        <c:axId val="33517640"/>
        <c:axId val="33512064"/>
      </c:barChart>
      <c:catAx>
        <c:axId val="33517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2064"/>
        <c:crosses val="autoZero"/>
        <c:auto val="1"/>
        <c:lblAlgn val="ctr"/>
        <c:lblOffset val="100"/>
        <c:noMultiLvlLbl val="0"/>
      </c:catAx>
      <c:valAx>
        <c:axId val="335120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a:t>
                </a:r>
                <a:r>
                  <a:rPr lang="fr-FR" baseline="0"/>
                  <a:t> </a:t>
                </a:r>
                <a:r>
                  <a:rPr lang="fr-FR"/>
                  <a:t>mensuelle EF PCI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51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39" fmlaLink="'CALCUL DEET'!$D$7" fmlaRange="$B$7:$B$20" noThreeD="1" sel="1" val="0"/>
</file>

<file path=xl/ctrlProps/ctrlProp10.xml><?xml version="1.0" encoding="utf-8"?>
<formControlPr xmlns="http://schemas.microsoft.com/office/spreadsheetml/2009/9/main" objectType="Drop" dropStyle="combo" dx="39" fmlaLink="CalculSuiviMensuel!$B$2" fmlaRange="Site!$B$8:$B$28" noThreeD="1" sel="16" val="13"/>
</file>

<file path=xl/ctrlProps/ctrlProp11.xml><?xml version="1.0" encoding="utf-8"?>
<formControlPr xmlns="http://schemas.microsoft.com/office/spreadsheetml/2009/9/main" objectType="Drop" dropStyle="combo" dx="39" fmlaLink="CalculSuiviMensuel!$H$1" fmlaRange="Liste!$S$16:$S$17" noThreeD="1" sel="2" val="0"/>
</file>

<file path=xl/ctrlProps/ctrlProp12.xml><?xml version="1.0" encoding="utf-8"?>
<formControlPr xmlns="http://schemas.microsoft.com/office/spreadsheetml/2009/9/main" objectType="Drop" dropStyle="combo" dx="39" fmlaLink="CalculSuiviMensuel!$H$35" fmlaRange="Liste!$S$16:$S$17" noThreeD="1" sel="1" val="0"/>
</file>

<file path=xl/ctrlProps/ctrlProp2.xml><?xml version="1.0" encoding="utf-8"?>
<formControlPr xmlns="http://schemas.microsoft.com/office/spreadsheetml/2009/9/main" objectType="Drop" dropStyle="combo" dx="39" fmlaLink="Controle_des_données!$B$16" fmlaRange="Liste!$B$25:$B$33" noThreeD="1" sel="3" val="0"/>
</file>

<file path=xl/ctrlProps/ctrlProp3.xml><?xml version="1.0" encoding="utf-8"?>
<formControlPr xmlns="http://schemas.microsoft.com/office/spreadsheetml/2009/9/main" objectType="Drop" dropStyle="combo" dx="39" fmlaLink="'CALCUL DEET'!$R$13" fmlaRange="Site!$B$18:$B$23" noThreeD="1" sel="6" val="0"/>
</file>

<file path=xl/ctrlProps/ctrlProp4.xml><?xml version="1.0" encoding="utf-8"?>
<formControlPr xmlns="http://schemas.microsoft.com/office/spreadsheetml/2009/9/main" objectType="Drop" dropStyle="combo" dx="39" fmlaLink="Controle_des_données!$B$40" fmlaRange="Liste!$Q$15:$Q$17" noThreeD="1" sel="3" val="0"/>
</file>

<file path=xl/ctrlProps/ctrlProp5.xml><?xml version="1.0" encoding="utf-8"?>
<formControlPr xmlns="http://schemas.microsoft.com/office/spreadsheetml/2009/9/main" objectType="Drop" dropStyle="combo" dx="39" fmlaLink="Controle_des_données!$B$42" fmlaRange="Liste!$R$15:$R$18" noThreeD="1" sel="2" val="0"/>
</file>

<file path=xl/ctrlProps/ctrlProp6.xml><?xml version="1.0" encoding="utf-8"?>
<formControlPr xmlns="http://schemas.microsoft.com/office/spreadsheetml/2009/9/main" objectType="Drop" dropStyle="combo" dx="39" fmlaLink="Controle_des_données!$C$43" fmlaRange="Liste!$S$15:$S$18" noThreeD="1" sel="2" val="0"/>
</file>

<file path=xl/ctrlProps/ctrlProp7.xml><?xml version="1.0" encoding="utf-8"?>
<formControlPr xmlns="http://schemas.microsoft.com/office/spreadsheetml/2009/9/main" objectType="Drop" dropStyle="combo" dx="39" fmlaLink="Controle_des_données!$C$44" fmlaRange="Liste!$S$15:$S$17" noThreeD="1" sel="3" val="0"/>
</file>

<file path=xl/ctrlProps/ctrlProp8.xml><?xml version="1.0" encoding="utf-8"?>
<formControlPr xmlns="http://schemas.microsoft.com/office/spreadsheetml/2009/9/main" objectType="Drop" dropStyle="combo" dx="39" fmlaLink="Controle_des_données!$C$33" fmlaRange="Liste!$P$3:$P$7" noThreeD="1" sel="1" val="0"/>
</file>

<file path=xl/ctrlProps/ctrlProp9.xml><?xml version="1.0" encoding="utf-8"?>
<formControlPr xmlns="http://schemas.microsoft.com/office/spreadsheetml/2009/9/main" objectType="Drop" dropStyle="combo" dx="39" fmlaLink="CalculSuiviMensuel!$B$1" fmlaRange="Site!$B$8:$B$28" noThreeD="1" sel="15" val="11"/>
</file>

<file path=xl/drawings/_rels/drawing1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3.jpeg"/><Relationship Id="rId1" Type="http://schemas.openxmlformats.org/officeDocument/2006/relationships/image" Target="../media/image2.png"/><Relationship Id="rId5" Type="http://schemas.openxmlformats.org/officeDocument/2006/relationships/chart" Target="../charts/chart11.xml"/><Relationship Id="rId4"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chart" Target="../charts/chart12.xml"/><Relationship Id="rId4"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3.jpe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3.jpeg"/><Relationship Id="rId1" Type="http://schemas.openxmlformats.org/officeDocument/2006/relationships/image" Target="../media/image2.png"/><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hyperlink" Target="https://app-anap.shinyapps.io/optiturpe_1/" TargetMode="External"/><Relationship Id="rId1" Type="http://schemas.openxmlformats.org/officeDocument/2006/relationships/hyperlink" Target="#Site!A1"/></Relationships>
</file>

<file path=xl/drawings/_rels/drawing18.xml.rels><?xml version="1.0" encoding="UTF-8" standalone="yes"?>
<Relationships xmlns="http://schemas.openxmlformats.org/package/2006/relationships"><Relationship Id="rId1" Type="http://schemas.openxmlformats.org/officeDocument/2006/relationships/hyperlink" Target="#Site!A1"/></Relationships>
</file>

<file path=xl/drawings/_rels/drawing19.xml.rels><?xml version="1.0" encoding="UTF-8" standalone="yes"?>
<Relationships xmlns="http://schemas.openxmlformats.org/package/2006/relationships"><Relationship Id="rId1" Type="http://schemas.openxmlformats.org/officeDocument/2006/relationships/hyperlink" Target="#Site!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Site!A1"/></Relationships>
</file>

<file path=xl/drawings/_rels/drawing21.xml.rels><?xml version="1.0" encoding="UTF-8" standalone="yes"?>
<Relationships xmlns="http://schemas.openxmlformats.org/package/2006/relationships"><Relationship Id="rId1" Type="http://schemas.openxmlformats.org/officeDocument/2006/relationships/hyperlink" Target="#Site!A1"/></Relationships>
</file>

<file path=xl/drawings/_rels/drawing22.xml.rels><?xml version="1.0" encoding="UTF-8" standalone="yes"?>
<Relationships xmlns="http://schemas.openxmlformats.org/package/2006/relationships"><Relationship Id="rId1" Type="http://schemas.openxmlformats.org/officeDocument/2006/relationships/hyperlink" Target="#Site!A1"/></Relationships>
</file>

<file path=xl/drawings/_rels/drawing23.xml.rels><?xml version="1.0" encoding="UTF-8" standalone="yes"?>
<Relationships xmlns="http://schemas.openxmlformats.org/package/2006/relationships"><Relationship Id="rId1" Type="http://schemas.openxmlformats.org/officeDocument/2006/relationships/hyperlink" Target="#Site!A1"/></Relationships>
</file>

<file path=xl/drawings/_rels/drawing24.xml.rels><?xml version="1.0" encoding="UTF-8" standalone="yes"?>
<Relationships xmlns="http://schemas.openxmlformats.org/package/2006/relationships"><Relationship Id="rId1" Type="http://schemas.openxmlformats.org/officeDocument/2006/relationships/hyperlink" Target="#Site!A1"/></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hyperlink" Target="https://app-anap.shinyapps.io/shinydju/" TargetMode="External"/><Relationship Id="rId2" Type="http://schemas.openxmlformats.org/officeDocument/2006/relationships/hyperlink" Target="#Site!A1"/><Relationship Id="rId1" Type="http://schemas.openxmlformats.org/officeDocument/2006/relationships/hyperlink" Target="https://www.mapes-pdl.fr/outils-et-documentations/ete-suivi-energetique/"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Compteur_8!A1"/><Relationship Id="rId13" Type="http://schemas.openxmlformats.org/officeDocument/2006/relationships/hyperlink" Target="#DJU!A1"/><Relationship Id="rId3" Type="http://schemas.openxmlformats.org/officeDocument/2006/relationships/hyperlink" Target="#Compteur_3!A1"/><Relationship Id="rId7" Type="http://schemas.openxmlformats.org/officeDocument/2006/relationships/hyperlink" Target="#Compteur_7!A1"/><Relationship Id="rId12" Type="http://schemas.openxmlformats.org/officeDocument/2006/relationships/hyperlink" Target="https://www.mapes-pdl.fr/outils-et-documentations/conseiller-energie-partage/" TargetMode="External"/><Relationship Id="rId2" Type="http://schemas.openxmlformats.org/officeDocument/2006/relationships/hyperlink" Target="#Compteur_2!A1"/><Relationship Id="rId1" Type="http://schemas.openxmlformats.org/officeDocument/2006/relationships/hyperlink" Target="#Compteur_1!A1"/><Relationship Id="rId6" Type="http://schemas.openxmlformats.org/officeDocument/2006/relationships/hyperlink" Target="#Compteur_6!A1"/><Relationship Id="rId11" Type="http://schemas.openxmlformats.org/officeDocument/2006/relationships/hyperlink" Target="https://www.youtube.com/watch?v=XnnTb-vb2Dk" TargetMode="External"/><Relationship Id="rId5" Type="http://schemas.openxmlformats.org/officeDocument/2006/relationships/hyperlink" Target="#Compteur_5!A1"/><Relationship Id="rId10" Type="http://schemas.openxmlformats.org/officeDocument/2006/relationships/image" Target="../media/image3.jpeg"/><Relationship Id="rId4" Type="http://schemas.openxmlformats.org/officeDocument/2006/relationships/hyperlink" Target="#Compteur_4!A1"/><Relationship Id="rId9"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image" Target="../media/image6.jpeg"/><Relationship Id="rId7"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chart" Target="../charts/chart1.xml"/><Relationship Id="rId5" Type="http://schemas.openxmlformats.org/officeDocument/2006/relationships/image" Target="../media/image3.jpeg"/><Relationship Id="rId10" Type="http://schemas.openxmlformats.org/officeDocument/2006/relationships/chart" Target="../charts/chart4.xml"/><Relationship Id="rId4" Type="http://schemas.openxmlformats.org/officeDocument/2006/relationships/image" Target="../media/image2.png"/><Relationship Id="rId9"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chart" Target="../charts/chart5.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9.png"/><Relationship Id="rId7"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chart" Target="../charts/chart7.xml"/><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12</xdr:col>
      <xdr:colOff>171450</xdr:colOff>
      <xdr:row>25</xdr:row>
      <xdr:rowOff>123825</xdr:rowOff>
    </xdr:from>
    <xdr:to>
      <xdr:col>17</xdr:col>
      <xdr:colOff>180972</xdr:colOff>
      <xdr:row>38</xdr:row>
      <xdr:rowOff>114300</xdr:rowOff>
    </xdr:to>
    <mc:AlternateContent xmlns:mc="http://schemas.openxmlformats.org/markup-compatibility/2006" xmlns:a14="http://schemas.microsoft.com/office/drawing/2010/main">
      <mc:Choice Requires="a14">
        <xdr:graphicFrame macro="">
          <xdr:nvGraphicFramePr>
            <xdr:cNvPr id="4" name="Département">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Département"/>
            </a:graphicData>
          </a:graphic>
        </xdr:graphicFrame>
      </mc:Choice>
      <mc:Fallback xmlns="">
        <xdr:sp macro="" textlink="">
          <xdr:nvSpPr>
            <xdr:cNvPr id="0" name=""/>
            <xdr:cNvSpPr>
              <a:spLocks noTextEdit="1"/>
            </xdr:cNvSpPr>
          </xdr:nvSpPr>
          <xdr:spPr>
            <a:xfrm>
              <a:off x="9610725" y="5410200"/>
              <a:ext cx="1828800" cy="25241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6</xdr:col>
      <xdr:colOff>685800</xdr:colOff>
      <xdr:row>25</xdr:row>
      <xdr:rowOff>133350</xdr:rowOff>
    </xdr:from>
    <xdr:to>
      <xdr:col>9</xdr:col>
      <xdr:colOff>104772</xdr:colOff>
      <xdr:row>38</xdr:row>
      <xdr:rowOff>123825</xdr:rowOff>
    </xdr:to>
    <mc:AlternateContent xmlns:mc="http://schemas.openxmlformats.org/markup-compatibility/2006" xmlns:a14="http://schemas.microsoft.com/office/drawing/2010/main">
      <mc:Choice Requires="a14">
        <xdr:graphicFrame macro="">
          <xdr:nvGraphicFramePr>
            <xdr:cNvPr id="5" name="Region">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6858000" y="5419725"/>
              <a:ext cx="1828800" cy="25241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41413</xdr:colOff>
      <xdr:row>1</xdr:row>
      <xdr:rowOff>65942</xdr:rowOff>
    </xdr:to>
    <xdr:sp macro="" textlink="">
      <xdr:nvSpPr>
        <xdr:cNvPr id="2" name="ZoneTexte 1">
          <a:extLst>
            <a:ext uri="{FF2B5EF4-FFF2-40B4-BE49-F238E27FC236}">
              <a16:creationId xmlns:a16="http://schemas.microsoft.com/office/drawing/2014/main" id="{00000000-0008-0000-0D00-000002000000}"/>
            </a:ext>
          </a:extLst>
        </xdr:cNvPr>
        <xdr:cNvSpPr txBox="1"/>
      </xdr:nvSpPr>
      <xdr:spPr>
        <a:xfrm>
          <a:off x="0" y="0"/>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 mensuel énergétique</a:t>
          </a:r>
        </a:p>
      </xdr:txBody>
    </xdr:sp>
    <xdr:clientData/>
  </xdr:twoCellAnchor>
  <mc:AlternateContent xmlns:mc="http://schemas.openxmlformats.org/markup-compatibility/2006">
    <mc:Choice xmlns:a14="http://schemas.microsoft.com/office/drawing/2010/main" Requires="a14">
      <xdr:twoCellAnchor editAs="oneCell">
        <xdr:from>
          <xdr:col>1</xdr:col>
          <xdr:colOff>209550</xdr:colOff>
          <xdr:row>2</xdr:row>
          <xdr:rowOff>114300</xdr:rowOff>
        </xdr:from>
        <xdr:to>
          <xdr:col>2</xdr:col>
          <xdr:colOff>704850</xdr:colOff>
          <xdr:row>3</xdr:row>
          <xdr:rowOff>171450</xdr:rowOff>
        </xdr:to>
        <xdr:sp macro="" textlink="">
          <xdr:nvSpPr>
            <xdr:cNvPr id="76801" name="Drop Down 1" hidden="1">
              <a:extLst>
                <a:ext uri="{63B3BB69-23CF-44E3-9099-C40C66FF867C}">
                  <a14:compatExt spid="_x0000_s76801"/>
                </a:ext>
                <a:ext uri="{FF2B5EF4-FFF2-40B4-BE49-F238E27FC236}">
                  <a16:creationId xmlns:a16="http://schemas.microsoft.com/office/drawing/2014/main" id="{00000000-0008-0000-0D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xdr:row>
          <xdr:rowOff>114300</xdr:rowOff>
        </xdr:from>
        <xdr:to>
          <xdr:col>6</xdr:col>
          <xdr:colOff>304800</xdr:colOff>
          <xdr:row>3</xdr:row>
          <xdr:rowOff>171450</xdr:rowOff>
        </xdr:to>
        <xdr:sp macro="" textlink="">
          <xdr:nvSpPr>
            <xdr:cNvPr id="76802" name="Drop Down 2" hidden="1">
              <a:extLst>
                <a:ext uri="{63B3BB69-23CF-44E3-9099-C40C66FF867C}">
                  <a14:compatExt spid="_x0000_s76802"/>
                </a:ext>
                <a:ext uri="{FF2B5EF4-FFF2-40B4-BE49-F238E27FC236}">
                  <a16:creationId xmlns:a16="http://schemas.microsoft.com/office/drawing/2014/main" id="{00000000-0008-0000-0D00-00000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0</xdr:colOff>
      <xdr:row>0</xdr:row>
      <xdr:rowOff>11205</xdr:rowOff>
    </xdr:from>
    <xdr:to>
      <xdr:col>8</xdr:col>
      <xdr:colOff>753717</xdr:colOff>
      <xdr:row>1</xdr:row>
      <xdr:rowOff>156146</xdr:rowOff>
    </xdr:to>
    <xdr:pic>
      <xdr:nvPicPr>
        <xdr:cNvPr id="11" name="Imag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12" name="Imag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95250</xdr:colOff>
          <xdr:row>18</xdr:row>
          <xdr:rowOff>133350</xdr:rowOff>
        </xdr:from>
        <xdr:to>
          <xdr:col>9</xdr:col>
          <xdr:colOff>590550</xdr:colOff>
          <xdr:row>19</xdr:row>
          <xdr:rowOff>190500</xdr:rowOff>
        </xdr:to>
        <xdr:sp macro="" textlink="">
          <xdr:nvSpPr>
            <xdr:cNvPr id="76803" name="Drop Down 3" hidden="1">
              <a:extLst>
                <a:ext uri="{63B3BB69-23CF-44E3-9099-C40C66FF867C}">
                  <a14:compatExt spid="_x0000_s76803"/>
                </a:ext>
                <a:ext uri="{FF2B5EF4-FFF2-40B4-BE49-F238E27FC236}">
                  <a16:creationId xmlns:a16="http://schemas.microsoft.com/office/drawing/2014/main" id="{00000000-0008-0000-0D00-00000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642146</xdr:colOff>
      <xdr:row>4</xdr:row>
      <xdr:rowOff>179298</xdr:rowOff>
    </xdr:from>
    <xdr:to>
      <xdr:col>10</xdr:col>
      <xdr:colOff>739588</xdr:colOff>
      <xdr:row>6</xdr:row>
      <xdr:rowOff>981</xdr:rowOff>
    </xdr:to>
    <xdr:sp macro="" textlink="">
      <xdr:nvSpPr>
        <xdr:cNvPr id="6" name="ZoneTexte 5">
          <a:extLst>
            <a:ext uri="{FF2B5EF4-FFF2-40B4-BE49-F238E27FC236}">
              <a16:creationId xmlns:a16="http://schemas.microsoft.com/office/drawing/2014/main" id="{00000000-0008-0000-0D00-000006000000}"/>
            </a:ext>
          </a:extLst>
        </xdr:cNvPr>
        <xdr:cNvSpPr txBox="1"/>
      </xdr:nvSpPr>
      <xdr:spPr>
        <a:xfrm>
          <a:off x="5976146" y="941298"/>
          <a:ext cx="2383442" cy="2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vos compteurs d'électricité : </a:t>
          </a:r>
        </a:p>
      </xdr:txBody>
    </xdr:sp>
    <xdr:clientData/>
  </xdr:twoCellAnchor>
  <xdr:twoCellAnchor>
    <xdr:from>
      <xdr:col>0</xdr:col>
      <xdr:colOff>200025</xdr:colOff>
      <xdr:row>6</xdr:row>
      <xdr:rowOff>180419</xdr:rowOff>
    </xdr:from>
    <xdr:to>
      <xdr:col>7</xdr:col>
      <xdr:colOff>600075</xdr:colOff>
      <xdr:row>19</xdr:row>
      <xdr:rowOff>180418</xdr:rowOff>
    </xdr:to>
    <xdr:graphicFrame macro="">
      <xdr:nvGraphicFramePr>
        <xdr:cNvPr id="10" name="Graphique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95250</xdr:colOff>
      <xdr:row>17</xdr:row>
      <xdr:rowOff>94693</xdr:rowOff>
    </xdr:from>
    <xdr:to>
      <xdr:col>10</xdr:col>
      <xdr:colOff>114300</xdr:colOff>
      <xdr:row>18</xdr:row>
      <xdr:rowOff>94693</xdr:rowOff>
    </xdr:to>
    <xdr:sp macro="" textlink="">
      <xdr:nvSpPr>
        <xdr:cNvPr id="3" name="ZoneTexte 2">
          <a:extLst>
            <a:ext uri="{FF2B5EF4-FFF2-40B4-BE49-F238E27FC236}">
              <a16:creationId xmlns:a16="http://schemas.microsoft.com/office/drawing/2014/main" id="{00000000-0008-0000-0D00-000003000000}"/>
            </a:ext>
          </a:extLst>
        </xdr:cNvPr>
        <xdr:cNvSpPr txBox="1"/>
      </xdr:nvSpPr>
      <xdr:spPr>
        <a:xfrm>
          <a:off x="6191250" y="3333193"/>
          <a:ext cx="15430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Correction du DJU ?</a:t>
          </a:r>
        </a:p>
      </xdr:txBody>
    </xdr:sp>
    <xdr:clientData/>
  </xdr:twoCellAnchor>
  <xdr:twoCellAnchor>
    <xdr:from>
      <xdr:col>0</xdr:col>
      <xdr:colOff>219075</xdr:colOff>
      <xdr:row>2</xdr:row>
      <xdr:rowOff>113265</xdr:rowOff>
    </xdr:from>
    <xdr:to>
      <xdr:col>1</xdr:col>
      <xdr:colOff>200025</xdr:colOff>
      <xdr:row>3</xdr:row>
      <xdr:rowOff>162960</xdr:rowOff>
    </xdr:to>
    <xdr:sp macro="" textlink="">
      <xdr:nvSpPr>
        <xdr:cNvPr id="18" name="ZoneTexte 17">
          <a:extLst>
            <a:ext uri="{FF2B5EF4-FFF2-40B4-BE49-F238E27FC236}">
              <a16:creationId xmlns:a16="http://schemas.microsoft.com/office/drawing/2014/main" id="{00000000-0008-0000-0D00-000012000000}"/>
            </a:ext>
          </a:extLst>
        </xdr:cNvPr>
        <xdr:cNvSpPr txBox="1"/>
      </xdr:nvSpPr>
      <xdr:spPr>
        <a:xfrm>
          <a:off x="219075" y="494265"/>
          <a:ext cx="742950"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Année</a:t>
          </a:r>
          <a:r>
            <a:rPr lang="fr-FR" sz="1000" baseline="0">
              <a:solidFill>
                <a:srgbClr val="FF0000"/>
              </a:solidFill>
            </a:rPr>
            <a:t> 1 :</a:t>
          </a:r>
          <a:endParaRPr lang="fr-FR" sz="1000">
            <a:solidFill>
              <a:srgbClr val="FF0000"/>
            </a:solidFill>
          </a:endParaRPr>
        </a:p>
      </xdr:txBody>
    </xdr:sp>
    <xdr:clientData/>
  </xdr:twoCellAnchor>
  <xdr:twoCellAnchor>
    <xdr:from>
      <xdr:col>3</xdr:col>
      <xdr:colOff>561975</xdr:colOff>
      <xdr:row>2</xdr:row>
      <xdr:rowOff>113265</xdr:rowOff>
    </xdr:from>
    <xdr:to>
      <xdr:col>4</xdr:col>
      <xdr:colOff>581025</xdr:colOff>
      <xdr:row>3</xdr:row>
      <xdr:rowOff>162960</xdr:rowOff>
    </xdr:to>
    <xdr:sp macro="" textlink="">
      <xdr:nvSpPr>
        <xdr:cNvPr id="19" name="ZoneTexte 18">
          <a:extLst>
            <a:ext uri="{FF2B5EF4-FFF2-40B4-BE49-F238E27FC236}">
              <a16:creationId xmlns:a16="http://schemas.microsoft.com/office/drawing/2014/main" id="{00000000-0008-0000-0D00-000013000000}"/>
            </a:ext>
          </a:extLst>
        </xdr:cNvPr>
        <xdr:cNvSpPr txBox="1"/>
      </xdr:nvSpPr>
      <xdr:spPr>
        <a:xfrm>
          <a:off x="2847975" y="494265"/>
          <a:ext cx="781050"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Année 2 :</a:t>
          </a:r>
        </a:p>
      </xdr:txBody>
    </xdr:sp>
    <xdr:clientData/>
  </xdr:twoCellAnchor>
  <xdr:twoCellAnchor>
    <xdr:from>
      <xdr:col>0</xdr:col>
      <xdr:colOff>190500</xdr:colOff>
      <xdr:row>41</xdr:row>
      <xdr:rowOff>78441</xdr:rowOff>
    </xdr:from>
    <xdr:to>
      <xdr:col>7</xdr:col>
      <xdr:colOff>571500</xdr:colOff>
      <xdr:row>54</xdr:row>
      <xdr:rowOff>97491</xdr:rowOff>
    </xdr:to>
    <xdr:graphicFrame macro="">
      <xdr:nvGraphicFramePr>
        <xdr:cNvPr id="20" name="Graphique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35</xdr:row>
          <xdr:rowOff>114300</xdr:rowOff>
        </xdr:from>
        <xdr:to>
          <xdr:col>9</xdr:col>
          <xdr:colOff>590550</xdr:colOff>
          <xdr:row>36</xdr:row>
          <xdr:rowOff>171450</xdr:rowOff>
        </xdr:to>
        <xdr:sp macro="" textlink="">
          <xdr:nvSpPr>
            <xdr:cNvPr id="76804" name="Drop Down 4" hidden="1">
              <a:extLst>
                <a:ext uri="{63B3BB69-23CF-44E3-9099-C40C66FF867C}">
                  <a14:compatExt spid="_x0000_s76804"/>
                </a:ext>
                <a:ext uri="{FF2B5EF4-FFF2-40B4-BE49-F238E27FC236}">
                  <a16:creationId xmlns:a16="http://schemas.microsoft.com/office/drawing/2014/main" id="{00000000-0008-0000-0D00-00000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171450</xdr:colOff>
      <xdr:row>23</xdr:row>
      <xdr:rowOff>163043</xdr:rowOff>
    </xdr:from>
    <xdr:to>
      <xdr:col>7</xdr:col>
      <xdr:colOff>552450</xdr:colOff>
      <xdr:row>36</xdr:row>
      <xdr:rowOff>115418</xdr:rowOff>
    </xdr:to>
    <xdr:graphicFrame macro="">
      <xdr:nvGraphicFramePr>
        <xdr:cNvPr id="14" name="Graphique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95250</xdr:colOff>
      <xdr:row>34</xdr:row>
      <xdr:rowOff>76758</xdr:rowOff>
    </xdr:from>
    <xdr:to>
      <xdr:col>10</xdr:col>
      <xdr:colOff>114300</xdr:colOff>
      <xdr:row>35</xdr:row>
      <xdr:rowOff>77318</xdr:rowOff>
    </xdr:to>
    <xdr:sp macro="" textlink="">
      <xdr:nvSpPr>
        <xdr:cNvPr id="17" name="ZoneTexte 16">
          <a:extLst>
            <a:ext uri="{FF2B5EF4-FFF2-40B4-BE49-F238E27FC236}">
              <a16:creationId xmlns:a16="http://schemas.microsoft.com/office/drawing/2014/main" id="{00000000-0008-0000-0D00-000011000000}"/>
            </a:ext>
          </a:extLst>
        </xdr:cNvPr>
        <xdr:cNvSpPr txBox="1"/>
      </xdr:nvSpPr>
      <xdr:spPr>
        <a:xfrm>
          <a:off x="6191250" y="6620993"/>
          <a:ext cx="1543050" cy="19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Correction du DJU ?</a:t>
          </a:r>
        </a:p>
      </xdr:txBody>
    </xdr:sp>
    <xdr:clientData/>
  </xdr:twoCellAnchor>
  <xdr:twoCellAnchor>
    <xdr:from>
      <xdr:col>7</xdr:col>
      <xdr:colOff>664558</xdr:colOff>
      <xdr:row>21</xdr:row>
      <xdr:rowOff>179294</xdr:rowOff>
    </xdr:from>
    <xdr:to>
      <xdr:col>11</xdr:col>
      <xdr:colOff>0</xdr:colOff>
      <xdr:row>23</xdr:row>
      <xdr:rowOff>977</xdr:rowOff>
    </xdr:to>
    <xdr:sp macro="" textlink="">
      <xdr:nvSpPr>
        <xdr:cNvPr id="26" name="ZoneTexte 25">
          <a:extLst>
            <a:ext uri="{FF2B5EF4-FFF2-40B4-BE49-F238E27FC236}">
              <a16:creationId xmlns:a16="http://schemas.microsoft.com/office/drawing/2014/main" id="{00000000-0008-0000-0D00-00001A000000}"/>
            </a:ext>
          </a:extLst>
        </xdr:cNvPr>
        <xdr:cNvSpPr txBox="1"/>
      </xdr:nvSpPr>
      <xdr:spPr>
        <a:xfrm>
          <a:off x="5998558" y="4179794"/>
          <a:ext cx="2383442" cy="2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vos compteurs chauffage : </a:t>
          </a:r>
        </a:p>
      </xdr:txBody>
    </xdr:sp>
    <xdr:clientData/>
  </xdr:twoCellAnchor>
  <xdr:twoCellAnchor>
    <xdr:from>
      <xdr:col>7</xdr:col>
      <xdr:colOff>664558</xdr:colOff>
      <xdr:row>38</xdr:row>
      <xdr:rowOff>156882</xdr:rowOff>
    </xdr:from>
    <xdr:to>
      <xdr:col>11</xdr:col>
      <xdr:colOff>0</xdr:colOff>
      <xdr:row>39</xdr:row>
      <xdr:rowOff>169065</xdr:rowOff>
    </xdr:to>
    <xdr:sp macro="" textlink="">
      <xdr:nvSpPr>
        <xdr:cNvPr id="28" name="ZoneTexte 27">
          <a:extLst>
            <a:ext uri="{FF2B5EF4-FFF2-40B4-BE49-F238E27FC236}">
              <a16:creationId xmlns:a16="http://schemas.microsoft.com/office/drawing/2014/main" id="{00000000-0008-0000-0D00-00001C000000}"/>
            </a:ext>
          </a:extLst>
        </xdr:cNvPr>
        <xdr:cNvSpPr txBox="1"/>
      </xdr:nvSpPr>
      <xdr:spPr>
        <a:xfrm>
          <a:off x="5998558" y="7463117"/>
          <a:ext cx="2383442" cy="2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vos compteurs d'eau : </a:t>
          </a:r>
        </a:p>
      </xdr:txBody>
    </xdr:sp>
    <xdr:clientData/>
  </xdr:twoCellAnchor>
  <xdr:twoCellAnchor editAs="oneCell">
    <xdr:from>
      <xdr:col>8</xdr:col>
      <xdr:colOff>142875</xdr:colOff>
      <xdr:row>7</xdr:row>
      <xdr:rowOff>28576</xdr:rowOff>
    </xdr:from>
    <xdr:to>
      <xdr:col>10</xdr:col>
      <xdr:colOff>142875</xdr:colOff>
      <xdr:row>15</xdr:row>
      <xdr:rowOff>85726</xdr:rowOff>
    </xdr:to>
    <mc:AlternateContent xmlns:mc="http://schemas.openxmlformats.org/markup-compatibility/2006" xmlns:a14="http://schemas.microsoft.com/office/drawing/2010/main">
      <mc:Choice Requires="a14">
        <xdr:graphicFrame macro="">
          <xdr:nvGraphicFramePr>
            <xdr:cNvPr id="24" name="Nom 6">
              <a:extLst>
                <a:ext uri="{FF2B5EF4-FFF2-40B4-BE49-F238E27FC236}">
                  <a16:creationId xmlns:a16="http://schemas.microsoft.com/office/drawing/2014/main" id="{00000000-0008-0000-0D00-000018000000}"/>
                </a:ext>
              </a:extLst>
            </xdr:cNvPr>
            <xdr:cNvGraphicFramePr/>
          </xdr:nvGraphicFramePr>
          <xdr:xfrm>
            <a:off x="0" y="0"/>
            <a:ext cx="0" cy="0"/>
          </xdr:xfrm>
          <a:graphic>
            <a:graphicData uri="http://schemas.microsoft.com/office/drawing/2010/slicer">
              <sle:slicer xmlns:sle="http://schemas.microsoft.com/office/drawing/2010/slicer" name="Nom 6"/>
            </a:graphicData>
          </a:graphic>
        </xdr:graphicFrame>
      </mc:Choice>
      <mc:Fallback xmlns="">
        <xdr:sp macro="" textlink="">
          <xdr:nvSpPr>
            <xdr:cNvPr id="0" name=""/>
            <xdr:cNvSpPr>
              <a:spLocks noTextEdit="1"/>
            </xdr:cNvSpPr>
          </xdr:nvSpPr>
          <xdr:spPr>
            <a:xfrm>
              <a:off x="6696075" y="1352551"/>
              <a:ext cx="1638300" cy="158115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8</xdr:col>
      <xdr:colOff>0</xdr:colOff>
      <xdr:row>24</xdr:row>
      <xdr:rowOff>1</xdr:rowOff>
    </xdr:from>
    <xdr:to>
      <xdr:col>10</xdr:col>
      <xdr:colOff>466725</xdr:colOff>
      <xdr:row>33</xdr:row>
      <xdr:rowOff>38101</xdr:rowOff>
    </xdr:to>
    <mc:AlternateContent xmlns:mc="http://schemas.openxmlformats.org/markup-compatibility/2006" xmlns:a14="http://schemas.microsoft.com/office/drawing/2010/main">
      <mc:Choice Requires="a14">
        <xdr:graphicFrame macro="">
          <xdr:nvGraphicFramePr>
            <xdr:cNvPr id="25" name="Nom 7">
              <a:extLst>
                <a:ext uri="{FF2B5EF4-FFF2-40B4-BE49-F238E27FC236}">
                  <a16:creationId xmlns:a16="http://schemas.microsoft.com/office/drawing/2014/main" id="{00000000-0008-0000-0D00-000019000000}"/>
                </a:ext>
              </a:extLst>
            </xdr:cNvPr>
            <xdr:cNvGraphicFramePr/>
          </xdr:nvGraphicFramePr>
          <xdr:xfrm>
            <a:off x="0" y="0"/>
            <a:ext cx="0" cy="0"/>
          </xdr:xfrm>
          <a:graphic>
            <a:graphicData uri="http://schemas.microsoft.com/office/drawing/2010/slicer">
              <sle:slicer xmlns:sle="http://schemas.microsoft.com/office/drawing/2010/slicer" name="Nom 7"/>
            </a:graphicData>
          </a:graphic>
        </xdr:graphicFrame>
      </mc:Choice>
      <mc:Fallback xmlns="">
        <xdr:sp macro="" textlink="">
          <xdr:nvSpPr>
            <xdr:cNvPr id="0" name=""/>
            <xdr:cNvSpPr>
              <a:spLocks noTextEdit="1"/>
            </xdr:cNvSpPr>
          </xdr:nvSpPr>
          <xdr:spPr>
            <a:xfrm>
              <a:off x="6553200" y="4562476"/>
              <a:ext cx="2105025" cy="17526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8</xdr:col>
      <xdr:colOff>19050</xdr:colOff>
      <xdr:row>42</xdr:row>
      <xdr:rowOff>28575</xdr:rowOff>
    </xdr:from>
    <xdr:to>
      <xdr:col>10</xdr:col>
      <xdr:colOff>381000</xdr:colOff>
      <xdr:row>52</xdr:row>
      <xdr:rowOff>28575</xdr:rowOff>
    </xdr:to>
    <mc:AlternateContent xmlns:mc="http://schemas.openxmlformats.org/markup-compatibility/2006" xmlns:a14="http://schemas.microsoft.com/office/drawing/2010/main">
      <mc:Choice Requires="a14">
        <xdr:graphicFrame macro="">
          <xdr:nvGraphicFramePr>
            <xdr:cNvPr id="27" name="Nom 8">
              <a:extLst>
                <a:ext uri="{FF2B5EF4-FFF2-40B4-BE49-F238E27FC236}">
                  <a16:creationId xmlns:a16="http://schemas.microsoft.com/office/drawing/2014/main" id="{00000000-0008-0000-0D00-00001B000000}"/>
                </a:ext>
              </a:extLst>
            </xdr:cNvPr>
            <xdr:cNvGraphicFramePr/>
          </xdr:nvGraphicFramePr>
          <xdr:xfrm>
            <a:off x="0" y="0"/>
            <a:ext cx="0" cy="0"/>
          </xdr:xfrm>
          <a:graphic>
            <a:graphicData uri="http://schemas.microsoft.com/office/drawing/2010/slicer">
              <sle:slicer xmlns:sle="http://schemas.microsoft.com/office/drawing/2010/slicer" name="Nom 8"/>
            </a:graphicData>
          </a:graphic>
        </xdr:graphicFrame>
      </mc:Choice>
      <mc:Fallback xmlns="">
        <xdr:sp macro="" textlink="">
          <xdr:nvSpPr>
            <xdr:cNvPr id="0" name=""/>
            <xdr:cNvSpPr>
              <a:spLocks noTextEdit="1"/>
            </xdr:cNvSpPr>
          </xdr:nvSpPr>
          <xdr:spPr>
            <a:xfrm>
              <a:off x="6572250" y="8020050"/>
              <a:ext cx="2000250" cy="1905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447675</xdr:colOff>
      <xdr:row>56</xdr:row>
      <xdr:rowOff>152400</xdr:rowOff>
    </xdr:from>
    <xdr:ext cx="1491393" cy="717176"/>
    <xdr:pic>
      <xdr:nvPicPr>
        <xdr:cNvPr id="7" name="Imag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5750" y="4343400"/>
          <a:ext cx="1491393" cy="71717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41413</xdr:colOff>
      <xdr:row>1</xdr:row>
      <xdr:rowOff>65942</xdr:rowOff>
    </xdr:to>
    <xdr:sp macro="" textlink="">
      <xdr:nvSpPr>
        <xdr:cNvPr id="3" name="ZoneTexte 2">
          <a:extLst>
            <a:ext uri="{FF2B5EF4-FFF2-40B4-BE49-F238E27FC236}">
              <a16:creationId xmlns:a16="http://schemas.microsoft.com/office/drawing/2014/main" id="{00000000-0008-0000-0F00-000003000000}"/>
            </a:ext>
          </a:extLst>
        </xdr:cNvPr>
        <xdr:cNvSpPr txBox="1"/>
      </xdr:nvSpPr>
      <xdr:spPr>
        <a:xfrm>
          <a:off x="0" y="0"/>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 de</a:t>
          </a:r>
          <a:r>
            <a:rPr lang="fr-FR" sz="1600" b="1" baseline="0"/>
            <a:t> la rigueur climatique</a:t>
          </a:r>
          <a:endParaRPr lang="fr-FR" sz="1600" b="1"/>
        </a:p>
      </xdr:txBody>
    </xdr:sp>
    <xdr:clientData/>
  </xdr:twoCellAnchor>
  <xdr:twoCellAnchor>
    <xdr:from>
      <xdr:col>7</xdr:col>
      <xdr:colOff>339587</xdr:colOff>
      <xdr:row>3</xdr:row>
      <xdr:rowOff>74547</xdr:rowOff>
    </xdr:from>
    <xdr:to>
      <xdr:col>10</xdr:col>
      <xdr:colOff>679173</xdr:colOff>
      <xdr:row>4</xdr:row>
      <xdr:rowOff>124242</xdr:rowOff>
    </xdr:to>
    <xdr:sp macro="" textlink="">
      <xdr:nvSpPr>
        <xdr:cNvPr id="4" name="ZoneTexte 3">
          <a:extLst>
            <a:ext uri="{FF2B5EF4-FFF2-40B4-BE49-F238E27FC236}">
              <a16:creationId xmlns:a16="http://schemas.microsoft.com/office/drawing/2014/main" id="{00000000-0008-0000-0F00-000004000000}"/>
            </a:ext>
          </a:extLst>
        </xdr:cNvPr>
        <xdr:cNvSpPr txBox="1"/>
      </xdr:nvSpPr>
      <xdr:spPr>
        <a:xfrm>
          <a:off x="5673587" y="646047"/>
          <a:ext cx="2625586"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le compteur à analyser : </a:t>
          </a:r>
        </a:p>
      </xdr:txBody>
    </xdr:sp>
    <xdr:clientData/>
  </xdr:twoCellAnchor>
  <xdr:twoCellAnchor>
    <xdr:from>
      <xdr:col>7</xdr:col>
      <xdr:colOff>422414</xdr:colOff>
      <xdr:row>16</xdr:row>
      <xdr:rowOff>122999</xdr:rowOff>
    </xdr:from>
    <xdr:to>
      <xdr:col>11</xdr:col>
      <xdr:colOff>0</xdr:colOff>
      <xdr:row>17</xdr:row>
      <xdr:rowOff>172694</xdr:rowOff>
    </xdr:to>
    <xdr:sp macro="" textlink="">
      <xdr:nvSpPr>
        <xdr:cNvPr id="9" name="ZoneTexte 8">
          <a:extLst>
            <a:ext uri="{FF2B5EF4-FFF2-40B4-BE49-F238E27FC236}">
              <a16:creationId xmlns:a16="http://schemas.microsoft.com/office/drawing/2014/main" id="{00000000-0008-0000-0F00-000009000000}"/>
            </a:ext>
          </a:extLst>
        </xdr:cNvPr>
        <xdr:cNvSpPr txBox="1"/>
      </xdr:nvSpPr>
      <xdr:spPr>
        <a:xfrm>
          <a:off x="5756414" y="3170999"/>
          <a:ext cx="2625586"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trois années : </a:t>
          </a:r>
        </a:p>
      </xdr:txBody>
    </xdr:sp>
    <xdr:clientData/>
  </xdr:twoCellAnchor>
  <xdr:twoCellAnchor editAs="oneCell">
    <xdr:from>
      <xdr:col>6</xdr:col>
      <xdr:colOff>0</xdr:colOff>
      <xdr:row>0</xdr:row>
      <xdr:rowOff>11205</xdr:rowOff>
    </xdr:from>
    <xdr:to>
      <xdr:col>8</xdr:col>
      <xdr:colOff>753717</xdr:colOff>
      <xdr:row>1</xdr:row>
      <xdr:rowOff>156146</xdr:rowOff>
    </xdr:to>
    <xdr:pic>
      <xdr:nvPicPr>
        <xdr:cNvPr id="13" name="Imag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15" name="Image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91393" cy="7171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14</xdr:row>
      <xdr:rowOff>9525</xdr:rowOff>
    </xdr:from>
    <xdr:to>
      <xdr:col>7</xdr:col>
      <xdr:colOff>161925</xdr:colOff>
      <xdr:row>30</xdr:row>
      <xdr:rowOff>171450</xdr:rowOff>
    </xdr:to>
    <xdr:graphicFrame macro="">
      <xdr:nvGraphicFramePr>
        <xdr:cNvPr id="3" name="GCD_Cout_unitaire">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6</xdr:col>
      <xdr:colOff>29308</xdr:colOff>
      <xdr:row>1</xdr:row>
      <xdr:rowOff>65942</xdr:rowOff>
    </xdr:to>
    <xdr:sp macro="" textlink="">
      <xdr:nvSpPr>
        <xdr:cNvPr id="6" name="ZoneTexte 5">
          <a:extLst>
            <a:ext uri="{FF2B5EF4-FFF2-40B4-BE49-F238E27FC236}">
              <a16:creationId xmlns:a16="http://schemas.microsoft.com/office/drawing/2014/main" id="{00000000-0008-0000-1000-000006000000}"/>
            </a:ext>
          </a:extLst>
        </xdr:cNvPr>
        <xdr:cNvSpPr txBox="1"/>
      </xdr:nvSpPr>
      <xdr:spPr>
        <a:xfrm>
          <a:off x="0" y="0"/>
          <a:ext cx="460130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a:t>
          </a:r>
          <a:r>
            <a:rPr lang="fr-FR" sz="1600" b="1" baseline="0"/>
            <a:t> des coûts de l'énergie</a:t>
          </a:r>
          <a:endParaRPr lang="fr-FR" sz="1600" b="1"/>
        </a:p>
      </xdr:txBody>
    </xdr:sp>
    <xdr:clientData/>
  </xdr:twoCellAnchor>
  <xdr:twoCellAnchor editAs="oneCell">
    <xdr:from>
      <xdr:col>6</xdr:col>
      <xdr:colOff>1243</xdr:colOff>
      <xdr:row>0</xdr:row>
      <xdr:rowOff>19488</xdr:rowOff>
    </xdr:from>
    <xdr:to>
      <xdr:col>8</xdr:col>
      <xdr:colOff>754960</xdr:colOff>
      <xdr:row>1</xdr:row>
      <xdr:rowOff>164429</xdr:rowOff>
    </xdr:to>
    <xdr:pic>
      <xdr:nvPicPr>
        <xdr:cNvPr id="8" name="Imag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4573243" y="19488"/>
          <a:ext cx="2277717" cy="335441"/>
        </a:xfrm>
        <a:prstGeom prst="rect">
          <a:avLst/>
        </a:prstGeom>
      </xdr:spPr>
    </xdr:pic>
    <xdr:clientData/>
  </xdr:twoCellAnchor>
  <xdr:twoCellAnchor editAs="oneCell">
    <xdr:from>
      <xdr:col>9</xdr:col>
      <xdr:colOff>42132</xdr:colOff>
      <xdr:row>0</xdr:row>
      <xdr:rowOff>8283</xdr:rowOff>
    </xdr:from>
    <xdr:to>
      <xdr:col>11</xdr:col>
      <xdr:colOff>0</xdr:colOff>
      <xdr:row>3</xdr:row>
      <xdr:rowOff>153959</xdr:rowOff>
    </xdr:to>
    <xdr:pic>
      <xdr:nvPicPr>
        <xdr:cNvPr id="9" name="Imag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00132" y="8283"/>
          <a:ext cx="1481868" cy="717176"/>
        </a:xfrm>
        <a:prstGeom prst="rect">
          <a:avLst/>
        </a:prstGeom>
      </xdr:spPr>
    </xdr:pic>
    <xdr:clientData/>
  </xdr:twoCellAnchor>
  <xdr:twoCellAnchor>
    <xdr:from>
      <xdr:col>7</xdr:col>
      <xdr:colOff>712305</xdr:colOff>
      <xdr:row>17</xdr:row>
      <xdr:rowOff>157365</xdr:rowOff>
    </xdr:from>
    <xdr:to>
      <xdr:col>8</xdr:col>
      <xdr:colOff>223632</xdr:colOff>
      <xdr:row>20</xdr:row>
      <xdr:rowOff>16560</xdr:rowOff>
    </xdr:to>
    <xdr:sp macro="" textlink="Controle_des_données!A40">
      <xdr:nvSpPr>
        <xdr:cNvPr id="2" name="ZoneTexte 1">
          <a:extLst>
            <a:ext uri="{FF2B5EF4-FFF2-40B4-BE49-F238E27FC236}">
              <a16:creationId xmlns:a16="http://schemas.microsoft.com/office/drawing/2014/main" id="{00000000-0008-0000-1000-000002000000}"/>
            </a:ext>
          </a:extLst>
        </xdr:cNvPr>
        <xdr:cNvSpPr txBox="1"/>
      </xdr:nvSpPr>
      <xdr:spPr>
        <a:xfrm rot="16200000">
          <a:off x="5967621" y="3474549"/>
          <a:ext cx="430695" cy="273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xdr:from>
      <xdr:col>0</xdr:col>
      <xdr:colOff>191743</xdr:colOff>
      <xdr:row>17</xdr:row>
      <xdr:rowOff>80132</xdr:rowOff>
    </xdr:from>
    <xdr:to>
      <xdr:col>0</xdr:col>
      <xdr:colOff>465070</xdr:colOff>
      <xdr:row>19</xdr:row>
      <xdr:rowOff>131070</xdr:rowOff>
    </xdr:to>
    <xdr:sp macro="" textlink="Controle_des_données!A40">
      <xdr:nvSpPr>
        <xdr:cNvPr id="5" name="ZoneTexte 4">
          <a:extLst>
            <a:ext uri="{FF2B5EF4-FFF2-40B4-BE49-F238E27FC236}">
              <a16:creationId xmlns:a16="http://schemas.microsoft.com/office/drawing/2014/main" id="{00000000-0008-0000-1000-000005000000}"/>
            </a:ext>
          </a:extLst>
        </xdr:cNvPr>
        <xdr:cNvSpPr txBox="1"/>
      </xdr:nvSpPr>
      <xdr:spPr>
        <a:xfrm rot="16200000">
          <a:off x="120721" y="3248850"/>
          <a:ext cx="415372" cy="273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i="0" u="none" strike="noStrike"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xdr:from>
      <xdr:col>0</xdr:col>
      <xdr:colOff>123411</xdr:colOff>
      <xdr:row>12</xdr:row>
      <xdr:rowOff>173935</xdr:rowOff>
    </xdr:from>
    <xdr:to>
      <xdr:col>7</xdr:col>
      <xdr:colOff>512693</xdr:colOff>
      <xdr:row>14</xdr:row>
      <xdr:rowOff>49377</xdr:rowOff>
    </xdr:to>
    <xdr:sp macro="" textlink="">
      <xdr:nvSpPr>
        <xdr:cNvPr id="11" name="ZoneTexte 10">
          <a:extLst>
            <a:ext uri="{FF2B5EF4-FFF2-40B4-BE49-F238E27FC236}">
              <a16:creationId xmlns:a16="http://schemas.microsoft.com/office/drawing/2014/main" id="{00000000-0008-0000-1000-00000B000000}"/>
            </a:ext>
          </a:extLst>
        </xdr:cNvPr>
        <xdr:cNvSpPr txBox="1"/>
      </xdr:nvSpPr>
      <xdr:spPr>
        <a:xfrm>
          <a:off x="123411" y="2459935"/>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Coûts unitaires de l'énergie</a:t>
          </a:r>
        </a:p>
      </xdr:txBody>
    </xdr:sp>
    <xdr:clientData/>
  </xdr:twoCellAnchor>
  <xdr:twoCellAnchor>
    <xdr:from>
      <xdr:col>7</xdr:col>
      <xdr:colOff>747505</xdr:colOff>
      <xdr:row>12</xdr:row>
      <xdr:rowOff>135835</xdr:rowOff>
    </xdr:from>
    <xdr:to>
      <xdr:col>10</xdr:col>
      <xdr:colOff>614983</xdr:colOff>
      <xdr:row>14</xdr:row>
      <xdr:rowOff>11277</xdr:rowOff>
    </xdr:to>
    <xdr:sp macro="" textlink="">
      <xdr:nvSpPr>
        <xdr:cNvPr id="12" name="ZoneTexte 11">
          <a:extLst>
            <a:ext uri="{FF2B5EF4-FFF2-40B4-BE49-F238E27FC236}">
              <a16:creationId xmlns:a16="http://schemas.microsoft.com/office/drawing/2014/main" id="{00000000-0008-0000-1000-00000C000000}"/>
            </a:ext>
          </a:extLst>
        </xdr:cNvPr>
        <xdr:cNvSpPr txBox="1"/>
      </xdr:nvSpPr>
      <xdr:spPr>
        <a:xfrm>
          <a:off x="6081505" y="2421835"/>
          <a:ext cx="215347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Dépense </a:t>
          </a:r>
          <a:r>
            <a:rPr lang="fr-FR" sz="1100" b="1" baseline="0"/>
            <a:t>annuelle de l'énergie</a:t>
          </a:r>
          <a:endParaRPr lang="fr-FR" sz="1100" b="1"/>
        </a:p>
      </xdr:txBody>
    </xdr:sp>
    <xdr:clientData/>
  </xdr:twoCellAnchor>
  <xdr:twoCellAnchor>
    <xdr:from>
      <xdr:col>7</xdr:col>
      <xdr:colOff>333374</xdr:colOff>
      <xdr:row>14</xdr:row>
      <xdr:rowOff>19050</xdr:rowOff>
    </xdr:from>
    <xdr:to>
      <xdr:col>10</xdr:col>
      <xdr:colOff>695325</xdr:colOff>
      <xdr:row>31</xdr:row>
      <xdr:rowOff>85725</xdr:rowOff>
    </xdr:to>
    <xdr:graphicFrame macro="">
      <xdr:nvGraphicFramePr>
        <xdr:cNvPr id="14" name="GCD_Dpense_annuelle_total">
          <a:extLst>
            <a:ext uri="{FF2B5EF4-FFF2-40B4-BE49-F238E27FC236}">
              <a16:creationId xmlns:a16="http://schemas.microsoft.com/office/drawing/2014/main" id="{00000000-0008-0000-1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444777</xdr:colOff>
      <xdr:row>18</xdr:row>
      <xdr:rowOff>14286</xdr:rowOff>
    </xdr:from>
    <xdr:to>
      <xdr:col>7</xdr:col>
      <xdr:colOff>718104</xdr:colOff>
      <xdr:row>20</xdr:row>
      <xdr:rowOff>63980</xdr:rowOff>
    </xdr:to>
    <xdr:sp macro="" textlink="Controle_des_données!A40">
      <xdr:nvSpPr>
        <xdr:cNvPr id="15" name="ZoneTexte 14">
          <a:extLst>
            <a:ext uri="{FF2B5EF4-FFF2-40B4-BE49-F238E27FC236}">
              <a16:creationId xmlns:a16="http://schemas.microsoft.com/office/drawing/2014/main" id="{00000000-0008-0000-1000-00000F000000}"/>
            </a:ext>
          </a:extLst>
        </xdr:cNvPr>
        <xdr:cNvSpPr txBox="1"/>
      </xdr:nvSpPr>
      <xdr:spPr>
        <a:xfrm rot="16200000">
          <a:off x="6114224" y="3364600"/>
          <a:ext cx="414129" cy="273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i="0" u="none" strike="noStrike"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editAs="oneCell">
    <xdr:from>
      <xdr:col>0</xdr:col>
      <xdr:colOff>247650</xdr:colOff>
      <xdr:row>4</xdr:row>
      <xdr:rowOff>28575</xdr:rowOff>
    </xdr:from>
    <xdr:to>
      <xdr:col>10</xdr:col>
      <xdr:colOff>533400</xdr:colOff>
      <xdr:row>11</xdr:row>
      <xdr:rowOff>66675</xdr:rowOff>
    </xdr:to>
    <mc:AlternateContent xmlns:mc="http://schemas.openxmlformats.org/markup-compatibility/2006" xmlns:tsle="http://schemas.microsoft.com/office/drawing/2012/timeslicer">
      <mc:Choice Requires="tsle">
        <xdr:graphicFrame macro="">
          <xdr:nvGraphicFramePr>
            <xdr:cNvPr id="4" name="Dates 1">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2/timeslicer">
              <tsle:timeslicer name="Dates 1"/>
            </a:graphicData>
          </a:graphic>
        </xdr:graphicFrame>
      </mc:Choice>
      <mc:Fallback xmlns="">
        <xdr:sp macro="" textlink="">
          <xdr:nvSpPr>
            <xdr:cNvPr id="0" name=""/>
            <xdr:cNvSpPr>
              <a:spLocks noTextEdit="1"/>
            </xdr:cNvSpPr>
          </xdr:nvSpPr>
          <xdr:spPr>
            <a:xfrm>
              <a:off x="247650" y="790575"/>
              <a:ext cx="7905750" cy="1371600"/>
            </a:xfrm>
            <a:prstGeom prst="rect">
              <a:avLst/>
            </a:prstGeom>
            <a:solidFill>
              <a:prstClr val="white"/>
            </a:solidFill>
            <a:ln w="1">
              <a:solidFill>
                <a:prstClr val="green"/>
              </a:solidFill>
            </a:ln>
          </xdr:spPr>
          <xdr:txBody>
            <a:bodyPr vertOverflow="clip" horzOverflow="clip"/>
            <a:lstStyle/>
            <a:p>
              <a:r>
                <a:rPr lang="fr-FR" sz="1100"/>
                <a:t>Chronologie : fonctionne dans Excel 2013 ou version ultérieure. Ne pas déplacer ou redimensionner.</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0</xdr:colOff>
      <xdr:row>0</xdr:row>
      <xdr:rowOff>28575</xdr:rowOff>
    </xdr:from>
    <xdr:to>
      <xdr:col>10</xdr:col>
      <xdr:colOff>753717</xdr:colOff>
      <xdr:row>1048576</xdr:row>
      <xdr:rowOff>330679</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0" y="28575"/>
          <a:ext cx="2277717" cy="330679"/>
        </a:xfrm>
        <a:prstGeom prst="rect">
          <a:avLst/>
        </a:prstGeom>
      </xdr:spPr>
    </xdr:pic>
    <xdr:clientData/>
  </xdr:twoCellAnchor>
  <xdr:twoCellAnchor>
    <xdr:from>
      <xdr:col>0</xdr:col>
      <xdr:colOff>0</xdr:colOff>
      <xdr:row>0</xdr:row>
      <xdr:rowOff>0</xdr:rowOff>
    </xdr:from>
    <xdr:to>
      <xdr:col>8</xdr:col>
      <xdr:colOff>19050</xdr:colOff>
      <xdr:row>1</xdr:row>
      <xdr:rowOff>65942</xdr:rowOff>
    </xdr:to>
    <xdr:sp macro="" textlink="">
      <xdr:nvSpPr>
        <xdr:cNvPr id="4" name="ZoneTexte 3">
          <a:extLst>
            <a:ext uri="{FF2B5EF4-FFF2-40B4-BE49-F238E27FC236}">
              <a16:creationId xmlns:a16="http://schemas.microsoft.com/office/drawing/2014/main" id="{00000000-0008-0000-1100-000004000000}"/>
            </a:ext>
          </a:extLst>
        </xdr:cNvPr>
        <xdr:cNvSpPr txBox="1"/>
      </xdr:nvSpPr>
      <xdr:spPr>
        <a:xfrm>
          <a:off x="0" y="0"/>
          <a:ext cx="611505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a:t>
          </a:r>
          <a:r>
            <a:rPr lang="fr-FR" sz="1600" b="1" baseline="0"/>
            <a:t> de la production d'énergie sur site</a:t>
          </a:r>
          <a:endParaRPr lang="fr-FR" sz="16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65942</xdr:rowOff>
    </xdr:to>
    <xdr:sp macro="" textlink="">
      <xdr:nvSpPr>
        <xdr:cNvPr id="2" name="ZoneTexte 1">
          <a:extLst>
            <a:ext uri="{FF2B5EF4-FFF2-40B4-BE49-F238E27FC236}">
              <a16:creationId xmlns:a16="http://schemas.microsoft.com/office/drawing/2014/main" id="{00000000-0008-0000-1200-000002000000}"/>
            </a:ext>
          </a:extLst>
        </xdr:cNvPr>
        <xdr:cNvSpPr txBox="1"/>
      </xdr:nvSpPr>
      <xdr:spPr>
        <a:xfrm>
          <a:off x="0" y="0"/>
          <a:ext cx="457200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a:t>
          </a:r>
          <a:r>
            <a:rPr lang="fr-FR" sz="1600" b="1" baseline="0"/>
            <a:t> détaillée des sous - compteurs</a:t>
          </a:r>
          <a:endParaRPr lang="fr-FR" sz="1600" b="1"/>
        </a:p>
      </xdr:txBody>
    </xdr:sp>
    <xdr:clientData/>
  </xdr:twoCellAnchor>
  <xdr:twoCellAnchor editAs="oneCell">
    <xdr:from>
      <xdr:col>6</xdr:col>
      <xdr:colOff>0</xdr:colOff>
      <xdr:row>0</xdr:row>
      <xdr:rowOff>11205</xdr:rowOff>
    </xdr:from>
    <xdr:to>
      <xdr:col>8</xdr:col>
      <xdr:colOff>753717</xdr:colOff>
      <xdr:row>1</xdr:row>
      <xdr:rowOff>156146</xdr:rowOff>
    </xdr:to>
    <xdr:pic>
      <xdr:nvPicPr>
        <xdr:cNvPr id="3" name="Imag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4" name="Imag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xdr:twoCellAnchor>
    <xdr:from>
      <xdr:col>0</xdr:col>
      <xdr:colOff>165652</xdr:colOff>
      <xdr:row>10</xdr:row>
      <xdr:rowOff>14495</xdr:rowOff>
    </xdr:from>
    <xdr:to>
      <xdr:col>7</xdr:col>
      <xdr:colOff>571500</xdr:colOff>
      <xdr:row>31</xdr:row>
      <xdr:rowOff>171864</xdr:rowOff>
    </xdr:to>
    <xdr:graphicFrame macro="">
      <xdr:nvGraphicFramePr>
        <xdr:cNvPr id="11" name="Graphique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197540</xdr:colOff>
      <xdr:row>8</xdr:row>
      <xdr:rowOff>138734</xdr:rowOff>
    </xdr:from>
    <xdr:to>
      <xdr:col>7</xdr:col>
      <xdr:colOff>586822</xdr:colOff>
      <xdr:row>10</xdr:row>
      <xdr:rowOff>14176</xdr:rowOff>
    </xdr:to>
    <xdr:sp macro="" textlink="">
      <xdr:nvSpPr>
        <xdr:cNvPr id="12" name="ZoneTexte 11">
          <a:extLst>
            <a:ext uri="{FF2B5EF4-FFF2-40B4-BE49-F238E27FC236}">
              <a16:creationId xmlns:a16="http://schemas.microsoft.com/office/drawing/2014/main" id="{00000000-0008-0000-1200-00000C000000}"/>
            </a:ext>
          </a:extLst>
        </xdr:cNvPr>
        <xdr:cNvSpPr txBox="1"/>
      </xdr:nvSpPr>
      <xdr:spPr>
        <a:xfrm>
          <a:off x="197540" y="1662734"/>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Evolution</a:t>
          </a:r>
          <a:r>
            <a:rPr lang="fr-FR" sz="1100" b="1" baseline="0"/>
            <a:t> des consommations unitaires du sous- compteur</a:t>
          </a:r>
          <a:endParaRPr lang="fr-FR"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29308</xdr:colOff>
      <xdr:row>1</xdr:row>
      <xdr:rowOff>65942</xdr:rowOff>
    </xdr:to>
    <xdr:sp macro="" textlink="">
      <xdr:nvSpPr>
        <xdr:cNvPr id="2" name="ZoneTexte 1">
          <a:extLst>
            <a:ext uri="{FF2B5EF4-FFF2-40B4-BE49-F238E27FC236}">
              <a16:creationId xmlns:a16="http://schemas.microsoft.com/office/drawing/2014/main" id="{00000000-0008-0000-1300-000002000000}"/>
            </a:ext>
          </a:extLst>
        </xdr:cNvPr>
        <xdr:cNvSpPr txBox="1"/>
      </xdr:nvSpPr>
      <xdr:spPr>
        <a:xfrm>
          <a:off x="0" y="0"/>
          <a:ext cx="460130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a:t>
          </a:r>
          <a:r>
            <a:rPr lang="fr-FR" sz="1600" b="1" baseline="0"/>
            <a:t> détaillée des compteurs</a:t>
          </a:r>
          <a:endParaRPr lang="fr-FR" sz="1600" b="1"/>
        </a:p>
      </xdr:txBody>
    </xdr:sp>
    <xdr:clientData/>
  </xdr:twoCellAnchor>
  <xdr:twoCellAnchor editAs="oneCell">
    <xdr:from>
      <xdr:col>6</xdr:col>
      <xdr:colOff>0</xdr:colOff>
      <xdr:row>0</xdr:row>
      <xdr:rowOff>11205</xdr:rowOff>
    </xdr:from>
    <xdr:to>
      <xdr:col>8</xdr:col>
      <xdr:colOff>753717</xdr:colOff>
      <xdr:row>1</xdr:row>
      <xdr:rowOff>160908</xdr:rowOff>
    </xdr:to>
    <xdr:pic>
      <xdr:nvPicPr>
        <xdr:cNvPr id="11" name="Image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150438</xdr:rowOff>
    </xdr:to>
    <xdr:pic>
      <xdr:nvPicPr>
        <xdr:cNvPr id="12" name="Image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xdr:twoCellAnchor>
    <xdr:from>
      <xdr:col>0</xdr:col>
      <xdr:colOff>95664</xdr:colOff>
      <xdr:row>21</xdr:row>
      <xdr:rowOff>179180</xdr:rowOff>
    </xdr:from>
    <xdr:to>
      <xdr:col>7</xdr:col>
      <xdr:colOff>676275</xdr:colOff>
      <xdr:row>23</xdr:row>
      <xdr:rowOff>54622</xdr:rowOff>
    </xdr:to>
    <xdr:sp macro="" textlink="">
      <xdr:nvSpPr>
        <xdr:cNvPr id="10" name="ZoneTexte 8">
          <a:extLst>
            <a:ext uri="{FF2B5EF4-FFF2-40B4-BE49-F238E27FC236}">
              <a16:creationId xmlns:a16="http://schemas.microsoft.com/office/drawing/2014/main" id="{00000000-0008-0000-1300-00000A000000}"/>
            </a:ext>
          </a:extLst>
        </xdr:cNvPr>
        <xdr:cNvSpPr txBox="1"/>
      </xdr:nvSpPr>
      <xdr:spPr>
        <a:xfrm>
          <a:off x="95664" y="3979655"/>
          <a:ext cx="6181311" cy="237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fr-FR" sz="1100" b="1"/>
            <a:t>Evolution</a:t>
          </a:r>
          <a:r>
            <a:rPr lang="fr-FR" sz="1100" b="1" baseline="0"/>
            <a:t> des consommations par rapport au DJU chauffagiste</a:t>
          </a:r>
          <a:endParaRPr lang="fr-FR" sz="1100" b="1"/>
        </a:p>
      </xdr:txBody>
    </xdr:sp>
    <xdr:clientData/>
  </xdr:twoCellAnchor>
  <xdr:twoCellAnchor>
    <xdr:from>
      <xdr:col>0</xdr:col>
      <xdr:colOff>66674</xdr:colOff>
      <xdr:row>23</xdr:row>
      <xdr:rowOff>76200</xdr:rowOff>
    </xdr:from>
    <xdr:to>
      <xdr:col>7</xdr:col>
      <xdr:colOff>685799</xdr:colOff>
      <xdr:row>32</xdr:row>
      <xdr:rowOff>174624</xdr:rowOff>
    </xdr:to>
    <xdr:graphicFrame macro="">
      <xdr:nvGraphicFramePr>
        <xdr:cNvPr id="4" name="Graphique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115888</xdr:colOff>
      <xdr:row>2</xdr:row>
      <xdr:rowOff>38100</xdr:rowOff>
    </xdr:from>
    <xdr:to>
      <xdr:col>7</xdr:col>
      <xdr:colOff>677863</xdr:colOff>
      <xdr:row>9</xdr:row>
      <xdr:rowOff>68263</xdr:rowOff>
    </xdr:to>
    <mc:AlternateContent xmlns:mc="http://schemas.openxmlformats.org/markup-compatibility/2006" xmlns:tsle="http://schemas.microsoft.com/office/drawing/2012/timeslicer">
      <mc:Choice Requires="tsle">
        <xdr:graphicFrame macro="">
          <xdr:nvGraphicFramePr>
            <xdr:cNvPr id="6" name="Dates">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microsoft.com/office/drawing/2012/timeslicer">
              <tsle:timeslicer name="Dates"/>
            </a:graphicData>
          </a:graphic>
        </xdr:graphicFrame>
      </mc:Choice>
      <mc:Fallback xmlns="">
        <xdr:sp macro="" textlink="">
          <xdr:nvSpPr>
            <xdr:cNvPr id="0" name=""/>
            <xdr:cNvSpPr>
              <a:spLocks noTextEdit="1"/>
            </xdr:cNvSpPr>
          </xdr:nvSpPr>
          <xdr:spPr>
            <a:xfrm>
              <a:off x="115888" y="400050"/>
              <a:ext cx="6299200" cy="1300163"/>
            </a:xfrm>
            <a:prstGeom prst="rect">
              <a:avLst/>
            </a:prstGeom>
            <a:solidFill>
              <a:prstClr val="white"/>
            </a:solidFill>
            <a:ln w="1">
              <a:solidFill>
                <a:prstClr val="green"/>
              </a:solidFill>
            </a:ln>
          </xdr:spPr>
          <xdr:txBody>
            <a:bodyPr vertOverflow="clip" horzOverflow="clip"/>
            <a:lstStyle/>
            <a:p>
              <a:r>
                <a:rPr lang="fr-FR" sz="1100"/>
                <a:t>Chronologie : fonctionne dans Excel 2013 ou version ultérieure. Ne pas déplacer ou redimensionner.</a:t>
              </a:r>
            </a:p>
          </xdr:txBody>
        </xdr:sp>
      </mc:Fallback>
    </mc:AlternateContent>
    <xdr:clientData/>
  </xdr:twoCellAnchor>
  <xdr:twoCellAnchor>
    <xdr:from>
      <xdr:col>0</xdr:col>
      <xdr:colOff>176213</xdr:colOff>
      <xdr:row>9</xdr:row>
      <xdr:rowOff>128587</xdr:rowOff>
    </xdr:from>
    <xdr:to>
      <xdr:col>7</xdr:col>
      <xdr:colOff>756824</xdr:colOff>
      <xdr:row>10</xdr:row>
      <xdr:rowOff>178654</xdr:rowOff>
    </xdr:to>
    <xdr:sp macro="" textlink="">
      <xdr:nvSpPr>
        <xdr:cNvPr id="13" name="ZoneTexte 8">
          <a:extLst>
            <a:ext uri="{FF2B5EF4-FFF2-40B4-BE49-F238E27FC236}">
              <a16:creationId xmlns:a16="http://schemas.microsoft.com/office/drawing/2014/main" id="{00000000-0008-0000-1300-00000D000000}"/>
            </a:ext>
          </a:extLst>
        </xdr:cNvPr>
        <xdr:cNvSpPr txBox="1"/>
      </xdr:nvSpPr>
      <xdr:spPr>
        <a:xfrm>
          <a:off x="176213" y="1757362"/>
          <a:ext cx="6314661" cy="231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fr-FR" sz="1100" b="1">
              <a:solidFill>
                <a:schemeClr val="dk1"/>
              </a:solidFill>
              <a:effectLst/>
              <a:latin typeface="+mn-lt"/>
              <a:ea typeface="+mn-ea"/>
              <a:cs typeface="+mn-cs"/>
            </a:rPr>
            <a:t>Evolution</a:t>
          </a:r>
          <a:r>
            <a:rPr lang="fr-FR" sz="1100" b="1" baseline="0">
              <a:solidFill>
                <a:schemeClr val="dk1"/>
              </a:solidFill>
              <a:effectLst/>
              <a:latin typeface="+mn-lt"/>
              <a:ea typeface="+mn-ea"/>
              <a:cs typeface="+mn-cs"/>
            </a:rPr>
            <a:t> des consommations unitaires du compteur</a:t>
          </a:r>
          <a:endParaRPr lang="fr-FR">
            <a:effectLst/>
          </a:endParaRPr>
        </a:p>
      </xdr:txBody>
    </xdr:sp>
    <xdr:clientData/>
  </xdr:twoCellAnchor>
  <xdr:twoCellAnchor>
    <xdr:from>
      <xdr:col>0</xdr:col>
      <xdr:colOff>185737</xdr:colOff>
      <xdr:row>11</xdr:row>
      <xdr:rowOff>23813</xdr:rowOff>
    </xdr:from>
    <xdr:to>
      <xdr:col>7</xdr:col>
      <xdr:colOff>766762</xdr:colOff>
      <xdr:row>21</xdr:row>
      <xdr:rowOff>166687</xdr:rowOff>
    </xdr:to>
    <xdr:graphicFrame macro="">
      <xdr:nvGraphicFramePr>
        <xdr:cNvPr id="14" name="Graphique 13">
          <a:extLst>
            <a:ext uri="{FF2B5EF4-FFF2-40B4-BE49-F238E27FC236}">
              <a16:creationId xmlns:a16="http://schemas.microsoft.com/office/drawing/2014/main" id="{00000000-0008-0000-1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85725</xdr:colOff>
      <xdr:row>4</xdr:row>
      <xdr:rowOff>90487</xdr:rowOff>
    </xdr:from>
    <xdr:to>
      <xdr:col>10</xdr:col>
      <xdr:colOff>677863</xdr:colOff>
      <xdr:row>18</xdr:row>
      <xdr:rowOff>87312</xdr:rowOff>
    </xdr:to>
    <mc:AlternateContent xmlns:mc="http://schemas.openxmlformats.org/markup-compatibility/2006" xmlns:a14="http://schemas.microsoft.com/office/drawing/2010/main">
      <mc:Choice Requires="a14">
        <xdr:graphicFrame macro="">
          <xdr:nvGraphicFramePr>
            <xdr:cNvPr id="15" name="Nom_compteur">
              <a:extLst>
                <a:ext uri="{FF2B5EF4-FFF2-40B4-BE49-F238E27FC236}">
                  <a16:creationId xmlns:a16="http://schemas.microsoft.com/office/drawing/2014/main" id="{00000000-0008-0000-1300-00000F000000}"/>
                </a:ext>
              </a:extLst>
            </xdr:cNvPr>
            <xdr:cNvGraphicFramePr/>
          </xdr:nvGraphicFramePr>
          <xdr:xfrm>
            <a:off x="0" y="0"/>
            <a:ext cx="0" cy="0"/>
          </xdr:xfrm>
          <a:graphic>
            <a:graphicData uri="http://schemas.microsoft.com/office/drawing/2010/slicer">
              <sle:slicer xmlns:sle="http://schemas.microsoft.com/office/drawing/2010/slicer" name="Nom_compteur"/>
            </a:graphicData>
          </a:graphic>
        </xdr:graphicFrame>
      </mc:Choice>
      <mc:Fallback xmlns="">
        <xdr:sp macro="" textlink="">
          <xdr:nvSpPr>
            <xdr:cNvPr id="0" name=""/>
            <xdr:cNvSpPr>
              <a:spLocks noTextEdit="1"/>
            </xdr:cNvSpPr>
          </xdr:nvSpPr>
          <xdr:spPr>
            <a:xfrm>
              <a:off x="6638925" y="814387"/>
              <a:ext cx="2224088" cy="25241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wsDr>
</file>

<file path=xl/drawings/drawing17.xml><?xml version="1.0" encoding="utf-8"?>
<xdr:wsDr xmlns:xdr="http://schemas.openxmlformats.org/drawingml/2006/spreadsheetDrawing" xmlns:a="http://schemas.openxmlformats.org/drawingml/2006/main">
  <xdr:twoCellAnchor>
    <xdr:from>
      <xdr:col>11</xdr:col>
      <xdr:colOff>523875</xdr:colOff>
      <xdr:row>0</xdr:row>
      <xdr:rowOff>55561</xdr:rowOff>
    </xdr:from>
    <xdr:to>
      <xdr:col>12</xdr:col>
      <xdr:colOff>1324815</xdr:colOff>
      <xdr:row>0</xdr:row>
      <xdr:rowOff>255586</xdr:rowOff>
    </xdr:to>
    <xdr:sp macro="" textlink="">
      <xdr:nvSpPr>
        <xdr:cNvPr id="3" name="Rectangle à coins arrondis 1">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11925300" y="55561"/>
          <a:ext cx="1620090"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twoCellAnchor>
    <xdr:from>
      <xdr:col>12</xdr:col>
      <xdr:colOff>95250</xdr:colOff>
      <xdr:row>9</xdr:row>
      <xdr:rowOff>11111</xdr:rowOff>
    </xdr:from>
    <xdr:to>
      <xdr:col>13</xdr:col>
      <xdr:colOff>369140</xdr:colOff>
      <xdr:row>10</xdr:row>
      <xdr:rowOff>177800</xdr:rowOff>
    </xdr:to>
    <xdr:sp macro="" textlink="">
      <xdr:nvSpPr>
        <xdr:cNvPr id="4" name="Rectangle à coins arrondis 1">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9725025" y="1535111"/>
          <a:ext cx="1073990" cy="357189"/>
        </a:xfrm>
        <a:prstGeom prst="roundRect">
          <a:avLst/>
        </a:prstGeom>
        <a:solidFill>
          <a:srgbClr val="00B050"/>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OptiTurpe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676275</xdr:colOff>
      <xdr:row>0</xdr:row>
      <xdr:rowOff>28575</xdr:rowOff>
    </xdr:from>
    <xdr:to>
      <xdr:col>12</xdr:col>
      <xdr:colOff>1475628</xdr:colOff>
      <xdr:row>0</xdr:row>
      <xdr:rowOff>228600</xdr:rowOff>
    </xdr:to>
    <xdr:sp macro="" textlink="">
      <xdr:nvSpPr>
        <xdr:cNvPr id="3" name="Rectangle à coins arrondis 1">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9296400" y="28575"/>
          <a:ext cx="1599453"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685800</xdr:colOff>
      <xdr:row>0</xdr:row>
      <xdr:rowOff>28575</xdr:rowOff>
    </xdr:from>
    <xdr:to>
      <xdr:col>12</xdr:col>
      <xdr:colOff>1485153</xdr:colOff>
      <xdr:row>0</xdr:row>
      <xdr:rowOff>228600</xdr:rowOff>
    </xdr:to>
    <xdr:sp macro="" textlink="">
      <xdr:nvSpPr>
        <xdr:cNvPr id="3" name="Rectangle à coins arrondis 1">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8686800" y="28575"/>
          <a:ext cx="1599453"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4269440</xdr:colOff>
      <xdr:row>0</xdr:row>
      <xdr:rowOff>62192</xdr:rowOff>
    </xdr:from>
    <xdr:to>
      <xdr:col>6</xdr:col>
      <xdr:colOff>154379</xdr:colOff>
      <xdr:row>2</xdr:row>
      <xdr:rowOff>8696</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32365" y="66954"/>
          <a:ext cx="2722590" cy="306867"/>
        </a:xfrm>
        <a:prstGeom prst="rect">
          <a:avLst/>
        </a:prstGeom>
      </xdr:spPr>
    </xdr:pic>
    <xdr:clientData/>
  </xdr:twoCellAnchor>
  <xdr:twoCellAnchor>
    <xdr:from>
      <xdr:col>0</xdr:col>
      <xdr:colOff>0</xdr:colOff>
      <xdr:row>0</xdr:row>
      <xdr:rowOff>0</xdr:rowOff>
    </xdr:from>
    <xdr:to>
      <xdr:col>5</xdr:col>
      <xdr:colOff>0</xdr:colOff>
      <xdr:row>1</xdr:row>
      <xdr:rowOff>65942</xdr:rowOff>
    </xdr:to>
    <xdr:sp macro="" textlink="">
      <xdr:nvSpPr>
        <xdr:cNvPr id="3" name="ZoneTexte 2">
          <a:extLst>
            <a:ext uri="{FF2B5EF4-FFF2-40B4-BE49-F238E27FC236}">
              <a16:creationId xmlns:a16="http://schemas.microsoft.com/office/drawing/2014/main" id="{00000000-0008-0000-0300-000003000000}"/>
            </a:ext>
          </a:extLst>
        </xdr:cNvPr>
        <xdr:cNvSpPr txBox="1"/>
      </xdr:nvSpPr>
      <xdr:spPr>
        <a:xfrm>
          <a:off x="0" y="0"/>
          <a:ext cx="14030325" cy="246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Calcul de la valeur absolue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704850</xdr:colOff>
      <xdr:row>0</xdr:row>
      <xdr:rowOff>47625</xdr:rowOff>
    </xdr:from>
    <xdr:to>
      <xdr:col>12</xdr:col>
      <xdr:colOff>1504203</xdr:colOff>
      <xdr:row>0</xdr:row>
      <xdr:rowOff>247650</xdr:rowOff>
    </xdr:to>
    <xdr:sp macro="" textlink="">
      <xdr:nvSpPr>
        <xdr:cNvPr id="3" name="Rectangle à coins arrondis 1">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8982075" y="47625"/>
          <a:ext cx="1599453"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676275</xdr:colOff>
      <xdr:row>0</xdr:row>
      <xdr:rowOff>38100</xdr:rowOff>
    </xdr:from>
    <xdr:to>
      <xdr:col>12</xdr:col>
      <xdr:colOff>1475628</xdr:colOff>
      <xdr:row>0</xdr:row>
      <xdr:rowOff>238125</xdr:rowOff>
    </xdr:to>
    <xdr:sp macro="" textlink="">
      <xdr:nvSpPr>
        <xdr:cNvPr id="3" name="Rectangle à coins arrondis 1">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9220200" y="38100"/>
          <a:ext cx="1599453"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676275</xdr:colOff>
      <xdr:row>0</xdr:row>
      <xdr:rowOff>28575</xdr:rowOff>
    </xdr:from>
    <xdr:to>
      <xdr:col>12</xdr:col>
      <xdr:colOff>1475628</xdr:colOff>
      <xdr:row>0</xdr:row>
      <xdr:rowOff>228600</xdr:rowOff>
    </xdr:to>
    <xdr:sp macro="" textlink="">
      <xdr:nvSpPr>
        <xdr:cNvPr id="3" name="Rectangle à coins arrondis 1">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a:off x="10058400" y="28575"/>
          <a:ext cx="1599453" cy="20002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676275</xdr:colOff>
      <xdr:row>0</xdr:row>
      <xdr:rowOff>28575</xdr:rowOff>
    </xdr:from>
    <xdr:to>
      <xdr:col>12</xdr:col>
      <xdr:colOff>1485153</xdr:colOff>
      <xdr:row>0</xdr:row>
      <xdr:rowOff>234950</xdr:rowOff>
    </xdr:to>
    <xdr:sp macro="" textlink="">
      <xdr:nvSpPr>
        <xdr:cNvPr id="4" name="Rectangle à coins arrondis 1">
          <a:hlinkClick xmlns:r="http://schemas.openxmlformats.org/officeDocument/2006/relationships" r:id="rId1"/>
          <a:extLst>
            <a:ext uri="{FF2B5EF4-FFF2-40B4-BE49-F238E27FC236}">
              <a16:creationId xmlns:a16="http://schemas.microsoft.com/office/drawing/2014/main" id="{00000000-0008-0000-1F00-000004000000}"/>
            </a:ext>
          </a:extLst>
        </xdr:cNvPr>
        <xdr:cNvSpPr/>
      </xdr:nvSpPr>
      <xdr:spPr>
        <a:xfrm>
          <a:off x="9829800" y="28575"/>
          <a:ext cx="1608978" cy="2063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561975</xdr:colOff>
      <xdr:row>0</xdr:row>
      <xdr:rowOff>25400</xdr:rowOff>
    </xdr:from>
    <xdr:to>
      <xdr:col>12</xdr:col>
      <xdr:colOff>1466850</xdr:colOff>
      <xdr:row>0</xdr:row>
      <xdr:rowOff>228600</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877425" y="25400"/>
          <a:ext cx="1704975" cy="2032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93890</xdr:colOff>
      <xdr:row>0</xdr:row>
      <xdr:rowOff>49894</xdr:rowOff>
    </xdr:from>
    <xdr:to>
      <xdr:col>14</xdr:col>
      <xdr:colOff>120650</xdr:colOff>
      <xdr:row>7</xdr:row>
      <xdr:rowOff>26985</xdr:rowOff>
    </xdr:to>
    <xdr:pic>
      <xdr:nvPicPr>
        <xdr:cNvPr id="2" name="Imag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16619765" y="49894"/>
          <a:ext cx="1588860" cy="17106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285750</xdr:colOff>
      <xdr:row>5</xdr:row>
      <xdr:rowOff>57150</xdr:rowOff>
    </xdr:from>
    <xdr:to>
      <xdr:col>9</xdr:col>
      <xdr:colOff>1533525</xdr:colOff>
      <xdr:row>9</xdr:row>
      <xdr:rowOff>108857</xdr:rowOff>
    </xdr:to>
    <xdr:cxnSp macro="">
      <xdr:nvCxnSpPr>
        <xdr:cNvPr id="3" name="Connecteur droit avec flèche 2">
          <a:extLst>
            <a:ext uri="{FF2B5EF4-FFF2-40B4-BE49-F238E27FC236}">
              <a16:creationId xmlns:a16="http://schemas.microsoft.com/office/drawing/2014/main" id="{00000000-0008-0000-0400-000003000000}"/>
            </a:ext>
          </a:extLst>
        </xdr:cNvPr>
        <xdr:cNvCxnSpPr/>
      </xdr:nvCxnSpPr>
      <xdr:spPr>
        <a:xfrm flipH="1">
          <a:off x="7987393" y="941614"/>
          <a:ext cx="3588203" cy="7592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1609726</xdr:colOff>
      <xdr:row>5</xdr:row>
      <xdr:rowOff>76200</xdr:rowOff>
    </xdr:from>
    <xdr:to>
      <xdr:col>11</xdr:col>
      <xdr:colOff>843642</xdr:colOff>
      <xdr:row>9</xdr:row>
      <xdr:rowOff>136071</xdr:rowOff>
    </xdr:to>
    <xdr:cxnSp macro="">
      <xdr:nvCxnSpPr>
        <xdr:cNvPr id="4" name="Connecteur droit avec flèche 3">
          <a:extLst>
            <a:ext uri="{FF2B5EF4-FFF2-40B4-BE49-F238E27FC236}">
              <a16:creationId xmlns:a16="http://schemas.microsoft.com/office/drawing/2014/main" id="{00000000-0008-0000-0400-000004000000}"/>
            </a:ext>
          </a:extLst>
        </xdr:cNvPr>
        <xdr:cNvCxnSpPr/>
      </xdr:nvCxnSpPr>
      <xdr:spPr>
        <a:xfrm>
          <a:off x="11651797" y="960664"/>
          <a:ext cx="1628774" cy="7674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7258</xdr:colOff>
      <xdr:row>5</xdr:row>
      <xdr:rowOff>68038</xdr:rowOff>
    </xdr:from>
    <xdr:to>
      <xdr:col>8</xdr:col>
      <xdr:colOff>17318</xdr:colOff>
      <xdr:row>6</xdr:row>
      <xdr:rowOff>207819</xdr:rowOff>
    </xdr:to>
    <xdr:sp macro="" textlink="">
      <xdr:nvSpPr>
        <xdr:cNvPr id="5" name="Rectangle à coins arrondis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6726713" y="1280311"/>
          <a:ext cx="2036287" cy="399553"/>
        </a:xfrm>
        <a:prstGeom prst="roundRect">
          <a:avLst/>
        </a:prstGeom>
        <a:solidFill>
          <a:srgbClr val="FFDE75"/>
        </a:solidFill>
        <a:effectLst>
          <a:outerShdw blurRad="50800" dist="38100" dir="8100000" algn="tr"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fr-FR" sz="1600" b="0" cap="none" spc="0">
              <a:ln w="0"/>
              <a:solidFill>
                <a:sysClr val="windowText" lastClr="000000"/>
              </a:solidFill>
              <a:effectLst>
                <a:outerShdw blurRad="38100" dist="19050" dir="2700000" algn="tl" rotWithShape="0">
                  <a:schemeClr val="dk1">
                    <a:alpha val="40000"/>
                  </a:schemeClr>
                </a:outerShdw>
              </a:effectLst>
            </a:rPr>
            <a:t>Tutoriel MAJ DJU</a:t>
          </a:r>
        </a:p>
      </xdr:txBody>
    </xdr:sp>
    <xdr:clientData/>
  </xdr:twoCellAnchor>
  <xdr:twoCellAnchor>
    <xdr:from>
      <xdr:col>6</xdr:col>
      <xdr:colOff>786493</xdr:colOff>
      <xdr:row>7</xdr:row>
      <xdr:rowOff>84816</xdr:rowOff>
    </xdr:from>
    <xdr:to>
      <xdr:col>8</xdr:col>
      <xdr:colOff>162374</xdr:colOff>
      <xdr:row>9</xdr:row>
      <xdr:rowOff>17317</xdr:rowOff>
    </xdr:to>
    <xdr:sp macro="" textlink="">
      <xdr:nvSpPr>
        <xdr:cNvPr id="6" name="Rectangle à coins arrondis 1">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a:off x="6709311" y="1816634"/>
          <a:ext cx="2198745" cy="452047"/>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0"/>
        <a:lstStyle/>
        <a:p>
          <a:pPr algn="ctr"/>
          <a:r>
            <a:rPr lang="fr-FR" sz="1600">
              <a:solidFill>
                <a:sysClr val="windowText" lastClr="000000"/>
              </a:solidFill>
            </a:rPr>
            <a:t>Retour </a:t>
          </a:r>
          <a:r>
            <a:rPr lang="fr-FR" sz="1600">
              <a:solidFill>
                <a:sysClr val="windowText" lastClr="000000"/>
              </a:solidFill>
              <a:effectLst/>
              <a:latin typeface="+mn-lt"/>
              <a:ea typeface="+mn-ea"/>
              <a:cs typeface="+mn-cs"/>
            </a:rPr>
            <a:t>Onglet Site</a:t>
          </a:r>
          <a:endParaRPr lang="fr-FR" sz="1600">
            <a:solidFill>
              <a:sysClr val="windowText" lastClr="000000"/>
            </a:solidFill>
          </a:endParaRPr>
        </a:p>
      </xdr:txBody>
    </xdr:sp>
    <xdr:clientData/>
  </xdr:twoCellAnchor>
  <xdr:twoCellAnchor>
    <xdr:from>
      <xdr:col>7</xdr:col>
      <xdr:colOff>76531</xdr:colOff>
      <xdr:row>2</xdr:row>
      <xdr:rowOff>48778</xdr:rowOff>
    </xdr:from>
    <xdr:to>
      <xdr:col>8</xdr:col>
      <xdr:colOff>96116</xdr:colOff>
      <xdr:row>2</xdr:row>
      <xdr:rowOff>450272</xdr:rowOff>
    </xdr:to>
    <xdr:sp macro="" textlink="">
      <xdr:nvSpPr>
        <xdr:cNvPr id="8" name="Rectangle à coins arrondis 4">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795986" y="481733"/>
          <a:ext cx="2045812" cy="401494"/>
        </a:xfrm>
        <a:prstGeom prst="roundRect">
          <a:avLst/>
        </a:prstGeom>
        <a:solidFill>
          <a:srgbClr val="92D050"/>
        </a:solidFill>
        <a:effectLst>
          <a:outerShdw blurRad="50800" dist="38100" dir="8100000" algn="tr"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fr-FR" sz="1600" b="0" cap="none" spc="0">
              <a:ln w="0"/>
              <a:solidFill>
                <a:sysClr val="windowText" lastClr="000000"/>
              </a:solidFill>
              <a:effectLst>
                <a:outerShdw blurRad="38100" dist="19050" dir="2700000" algn="tl" rotWithShape="0">
                  <a:schemeClr val="dk1">
                    <a:alpha val="40000"/>
                  </a:schemeClr>
                </a:outerShdw>
              </a:effectLst>
            </a:rPr>
            <a:t>Site DJU</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285750</xdr:colOff>
          <xdr:row>60</xdr:row>
          <xdr:rowOff>19050</xdr:rowOff>
        </xdr:from>
        <xdr:to>
          <xdr:col>4</xdr:col>
          <xdr:colOff>76200</xdr:colOff>
          <xdr:row>61</xdr:row>
          <xdr:rowOff>76200</xdr:rowOff>
        </xdr:to>
        <xdr:sp macro="" textlink="">
          <xdr:nvSpPr>
            <xdr:cNvPr id="9223" name="Drop Down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111500</xdr:colOff>
      <xdr:row>37</xdr:row>
      <xdr:rowOff>19050</xdr:rowOff>
    </xdr:from>
    <xdr:to>
      <xdr:col>11</xdr:col>
      <xdr:colOff>611842</xdr:colOff>
      <xdr:row>37</xdr:row>
      <xdr:rowOff>317625</xdr:rowOff>
    </xdr:to>
    <xdr:sp macro="" textlink="">
      <xdr:nvSpPr>
        <xdr:cNvPr id="4" name="Rectangle à coins arrondis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8459882" y="6641726"/>
          <a:ext cx="1262342"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1</a:t>
          </a:r>
        </a:p>
      </xdr:txBody>
    </xdr:sp>
    <xdr:clientData/>
  </xdr:twoCellAnchor>
  <xdr:twoCellAnchor>
    <xdr:from>
      <xdr:col>10</xdr:col>
      <xdr:colOff>101975</xdr:colOff>
      <xdr:row>38</xdr:row>
      <xdr:rowOff>28575</xdr:rowOff>
    </xdr:from>
    <xdr:to>
      <xdr:col>11</xdr:col>
      <xdr:colOff>621367</xdr:colOff>
      <xdr:row>38</xdr:row>
      <xdr:rowOff>298575</xdr:rowOff>
    </xdr:to>
    <xdr:sp macro="" textlink="">
      <xdr:nvSpPr>
        <xdr:cNvPr id="8" name="Rectangle à coins arrondis 7">
          <a:hlinkClick xmlns:r="http://schemas.openxmlformats.org/officeDocument/2006/relationships" r:id="rId2"/>
          <a:extLst>
            <a:ext uri="{FF2B5EF4-FFF2-40B4-BE49-F238E27FC236}">
              <a16:creationId xmlns:a16="http://schemas.microsoft.com/office/drawing/2014/main" id="{00000000-0008-0000-0500-000008000000}"/>
            </a:ext>
          </a:extLst>
        </xdr:cNvPr>
        <xdr:cNvSpPr/>
      </xdr:nvSpPr>
      <xdr:spPr>
        <a:xfrm>
          <a:off x="8450357" y="6998634"/>
          <a:ext cx="128139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2</a:t>
          </a:r>
        </a:p>
      </xdr:txBody>
    </xdr:sp>
    <xdr:clientData/>
  </xdr:twoCellAnchor>
  <xdr:twoCellAnchor>
    <xdr:from>
      <xdr:col>10</xdr:col>
      <xdr:colOff>111500</xdr:colOff>
      <xdr:row>39</xdr:row>
      <xdr:rowOff>47625</xdr:rowOff>
    </xdr:from>
    <xdr:to>
      <xdr:col>11</xdr:col>
      <xdr:colOff>611842</xdr:colOff>
      <xdr:row>39</xdr:row>
      <xdr:rowOff>317625</xdr:rowOff>
    </xdr:to>
    <xdr:sp macro="" textlink="">
      <xdr:nvSpPr>
        <xdr:cNvPr id="9" name="Rectangle à coins arrondis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a:xfrm>
          <a:off x="8459882" y="7365066"/>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3</a:t>
          </a:r>
        </a:p>
      </xdr:txBody>
    </xdr:sp>
    <xdr:clientData/>
  </xdr:twoCellAnchor>
  <xdr:twoCellAnchor>
    <xdr:from>
      <xdr:col>10</xdr:col>
      <xdr:colOff>111500</xdr:colOff>
      <xdr:row>40</xdr:row>
      <xdr:rowOff>57150</xdr:rowOff>
    </xdr:from>
    <xdr:to>
      <xdr:col>11</xdr:col>
      <xdr:colOff>611842</xdr:colOff>
      <xdr:row>40</xdr:row>
      <xdr:rowOff>327150</xdr:rowOff>
    </xdr:to>
    <xdr:sp macro="" textlink="">
      <xdr:nvSpPr>
        <xdr:cNvPr id="10" name="Rectangle à coins arrondis 9">
          <a:hlinkClick xmlns:r="http://schemas.openxmlformats.org/officeDocument/2006/relationships" r:id="rId4"/>
          <a:extLst>
            <a:ext uri="{FF2B5EF4-FFF2-40B4-BE49-F238E27FC236}">
              <a16:creationId xmlns:a16="http://schemas.microsoft.com/office/drawing/2014/main" id="{00000000-0008-0000-0500-00000A000000}"/>
            </a:ext>
          </a:extLst>
        </xdr:cNvPr>
        <xdr:cNvSpPr/>
      </xdr:nvSpPr>
      <xdr:spPr>
        <a:xfrm>
          <a:off x="8459882" y="7721974"/>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4</a:t>
          </a:r>
        </a:p>
      </xdr:txBody>
    </xdr:sp>
    <xdr:clientData/>
  </xdr:twoCellAnchor>
  <xdr:twoCellAnchor>
    <xdr:from>
      <xdr:col>10</xdr:col>
      <xdr:colOff>111500</xdr:colOff>
      <xdr:row>41</xdr:row>
      <xdr:rowOff>57150</xdr:rowOff>
    </xdr:from>
    <xdr:to>
      <xdr:col>11</xdr:col>
      <xdr:colOff>611842</xdr:colOff>
      <xdr:row>41</xdr:row>
      <xdr:rowOff>327150</xdr:rowOff>
    </xdr:to>
    <xdr:sp macro="" textlink="">
      <xdr:nvSpPr>
        <xdr:cNvPr id="11" name="Rectangle à coins arrondis 10">
          <a:hlinkClick xmlns:r="http://schemas.openxmlformats.org/officeDocument/2006/relationships" r:id="rId5"/>
          <a:extLst>
            <a:ext uri="{FF2B5EF4-FFF2-40B4-BE49-F238E27FC236}">
              <a16:creationId xmlns:a16="http://schemas.microsoft.com/office/drawing/2014/main" id="{00000000-0008-0000-0500-00000B000000}"/>
            </a:ext>
          </a:extLst>
        </xdr:cNvPr>
        <xdr:cNvSpPr/>
      </xdr:nvSpPr>
      <xdr:spPr>
        <a:xfrm>
          <a:off x="8459882" y="8069356"/>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5</a:t>
          </a:r>
        </a:p>
      </xdr:txBody>
    </xdr:sp>
    <xdr:clientData/>
  </xdr:twoCellAnchor>
  <xdr:twoCellAnchor>
    <xdr:from>
      <xdr:col>10</xdr:col>
      <xdr:colOff>111500</xdr:colOff>
      <xdr:row>42</xdr:row>
      <xdr:rowOff>66675</xdr:rowOff>
    </xdr:from>
    <xdr:to>
      <xdr:col>11</xdr:col>
      <xdr:colOff>611842</xdr:colOff>
      <xdr:row>42</xdr:row>
      <xdr:rowOff>336675</xdr:rowOff>
    </xdr:to>
    <xdr:sp macro="" textlink="">
      <xdr:nvSpPr>
        <xdr:cNvPr id="12" name="Rectangle à coins arrondis 11">
          <a:hlinkClick xmlns:r="http://schemas.openxmlformats.org/officeDocument/2006/relationships" r:id="rId6"/>
          <a:extLst>
            <a:ext uri="{FF2B5EF4-FFF2-40B4-BE49-F238E27FC236}">
              <a16:creationId xmlns:a16="http://schemas.microsoft.com/office/drawing/2014/main" id="{00000000-0008-0000-0500-00000C000000}"/>
            </a:ext>
          </a:extLst>
        </xdr:cNvPr>
        <xdr:cNvSpPr/>
      </xdr:nvSpPr>
      <xdr:spPr>
        <a:xfrm>
          <a:off x="8459882" y="8426263"/>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6</a:t>
          </a:r>
        </a:p>
      </xdr:txBody>
    </xdr:sp>
    <xdr:clientData/>
  </xdr:twoCellAnchor>
  <xdr:twoCellAnchor>
    <xdr:from>
      <xdr:col>10</xdr:col>
      <xdr:colOff>111500</xdr:colOff>
      <xdr:row>43</xdr:row>
      <xdr:rowOff>57150</xdr:rowOff>
    </xdr:from>
    <xdr:to>
      <xdr:col>11</xdr:col>
      <xdr:colOff>611842</xdr:colOff>
      <xdr:row>43</xdr:row>
      <xdr:rowOff>327150</xdr:rowOff>
    </xdr:to>
    <xdr:sp macro="" textlink="">
      <xdr:nvSpPr>
        <xdr:cNvPr id="13" name="Rectangle à coins arrondis 12">
          <a:hlinkClick xmlns:r="http://schemas.openxmlformats.org/officeDocument/2006/relationships" r:id="rId7"/>
          <a:extLst>
            <a:ext uri="{FF2B5EF4-FFF2-40B4-BE49-F238E27FC236}">
              <a16:creationId xmlns:a16="http://schemas.microsoft.com/office/drawing/2014/main" id="{00000000-0008-0000-0500-00000D000000}"/>
            </a:ext>
          </a:extLst>
        </xdr:cNvPr>
        <xdr:cNvSpPr/>
      </xdr:nvSpPr>
      <xdr:spPr>
        <a:xfrm>
          <a:off x="8459882" y="8764121"/>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7</a:t>
          </a:r>
        </a:p>
      </xdr:txBody>
    </xdr:sp>
    <xdr:clientData/>
  </xdr:twoCellAnchor>
  <xdr:twoCellAnchor>
    <xdr:from>
      <xdr:col>10</xdr:col>
      <xdr:colOff>111500</xdr:colOff>
      <xdr:row>44</xdr:row>
      <xdr:rowOff>47625</xdr:rowOff>
    </xdr:from>
    <xdr:to>
      <xdr:col>11</xdr:col>
      <xdr:colOff>611842</xdr:colOff>
      <xdr:row>44</xdr:row>
      <xdr:rowOff>317625</xdr:rowOff>
    </xdr:to>
    <xdr:sp macro="" textlink="">
      <xdr:nvSpPr>
        <xdr:cNvPr id="14" name="Rectangle à coins arrondis 13">
          <a:hlinkClick xmlns:r="http://schemas.openxmlformats.org/officeDocument/2006/relationships" r:id="rId8"/>
          <a:extLst>
            <a:ext uri="{FF2B5EF4-FFF2-40B4-BE49-F238E27FC236}">
              <a16:creationId xmlns:a16="http://schemas.microsoft.com/office/drawing/2014/main" id="{00000000-0008-0000-0500-00000E000000}"/>
            </a:ext>
          </a:extLst>
        </xdr:cNvPr>
        <xdr:cNvSpPr/>
      </xdr:nvSpPr>
      <xdr:spPr>
        <a:xfrm>
          <a:off x="8459882" y="9101978"/>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8</a:t>
          </a:r>
        </a:p>
      </xdr:txBody>
    </xdr:sp>
    <xdr:clientData/>
  </xdr:twoCellAnchor>
  <xdr:twoCellAnchor editAs="oneCell">
    <xdr:from>
      <xdr:col>5</xdr:col>
      <xdr:colOff>994396</xdr:colOff>
      <xdr:row>0</xdr:row>
      <xdr:rowOff>67236</xdr:rowOff>
    </xdr:from>
    <xdr:to>
      <xdr:col>8</xdr:col>
      <xdr:colOff>56026</xdr:colOff>
      <xdr:row>2</xdr:row>
      <xdr:rowOff>7296</xdr:rowOff>
    </xdr:to>
    <xdr:pic>
      <xdr:nvPicPr>
        <xdr:cNvPr id="15" name="Imag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tretch>
          <a:fillRect/>
        </a:stretch>
      </xdr:blipFill>
      <xdr:spPr>
        <a:xfrm>
          <a:off x="4714749" y="67236"/>
          <a:ext cx="2277718" cy="3354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76200</xdr:colOff>
          <xdr:row>28</xdr:row>
          <xdr:rowOff>171450</xdr:rowOff>
        </xdr:from>
        <xdr:to>
          <xdr:col>4</xdr:col>
          <xdr:colOff>361950</xdr:colOff>
          <xdr:row>30</xdr:row>
          <xdr:rowOff>76200</xdr:rowOff>
        </xdr:to>
        <xdr:sp macro="" textlink="">
          <xdr:nvSpPr>
            <xdr:cNvPr id="9226" name="Drop Down 10" hidden="1">
              <a:extLst>
                <a:ext uri="{63B3BB69-23CF-44E3-9099-C40C66FF867C}">
                  <a14:compatExt spid="_x0000_s9226"/>
                </a:ext>
                <a:ext uri="{FF2B5EF4-FFF2-40B4-BE49-F238E27FC236}">
                  <a16:creationId xmlns:a16="http://schemas.microsoft.com/office/drawing/2014/main" id="{00000000-0008-0000-0500-00000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62</xdr:row>
          <xdr:rowOff>19050</xdr:rowOff>
        </xdr:from>
        <xdr:to>
          <xdr:col>4</xdr:col>
          <xdr:colOff>57150</xdr:colOff>
          <xdr:row>63</xdr:row>
          <xdr:rowOff>76200</xdr:rowOff>
        </xdr:to>
        <xdr:sp macro="" textlink="">
          <xdr:nvSpPr>
            <xdr:cNvPr id="9227" name="Drop Down 11" hidden="1">
              <a:extLst>
                <a:ext uri="{63B3BB69-23CF-44E3-9099-C40C66FF867C}">
                  <a14:compatExt spid="_x0000_s9227"/>
                </a:ext>
                <a:ext uri="{FF2B5EF4-FFF2-40B4-BE49-F238E27FC236}">
                  <a16:creationId xmlns:a16="http://schemas.microsoft.com/office/drawing/2014/main" id="{00000000-0008-0000-0500-00000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331661</xdr:colOff>
      <xdr:row>0</xdr:row>
      <xdr:rowOff>0</xdr:rowOff>
    </xdr:from>
    <xdr:to>
      <xdr:col>9</xdr:col>
      <xdr:colOff>1135199</xdr:colOff>
      <xdr:row>3</xdr:row>
      <xdr:rowOff>134470</xdr:rowOff>
    </xdr:to>
    <xdr:pic>
      <xdr:nvPicPr>
        <xdr:cNvPr id="16" name="Imag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77602" y="0"/>
          <a:ext cx="1529493" cy="7171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196850</xdr:colOff>
          <xdr:row>66</xdr:row>
          <xdr:rowOff>190500</xdr:rowOff>
        </xdr:from>
        <xdr:to>
          <xdr:col>4</xdr:col>
          <xdr:colOff>44450</xdr:colOff>
          <xdr:row>68</xdr:row>
          <xdr:rowOff>0</xdr:rowOff>
        </xdr:to>
        <xdr:sp macro="" textlink="">
          <xdr:nvSpPr>
            <xdr:cNvPr id="9230" name="Drop Down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133350</xdr:rowOff>
        </xdr:from>
        <xdr:to>
          <xdr:col>5</xdr:col>
          <xdr:colOff>590550</xdr:colOff>
          <xdr:row>33</xdr:row>
          <xdr:rowOff>76200</xdr:rowOff>
        </xdr:to>
        <xdr:sp macro="" textlink="">
          <xdr:nvSpPr>
            <xdr:cNvPr id="9248" name="Drop Down 32" hidden="1">
              <a:extLst>
                <a:ext uri="{63B3BB69-23CF-44E3-9099-C40C66FF867C}">
                  <a14:compatExt spid="_x0000_s9248"/>
                </a:ext>
                <a:ext uri="{FF2B5EF4-FFF2-40B4-BE49-F238E27FC236}">
                  <a16:creationId xmlns:a16="http://schemas.microsoft.com/office/drawing/2014/main" id="{00000000-0008-0000-0500-00002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58</xdr:row>
          <xdr:rowOff>209550</xdr:rowOff>
        </xdr:from>
        <xdr:to>
          <xdr:col>8</xdr:col>
          <xdr:colOff>457200</xdr:colOff>
          <xdr:row>60</xdr:row>
          <xdr:rowOff>38100</xdr:rowOff>
        </xdr:to>
        <xdr:sp macro="" textlink="">
          <xdr:nvSpPr>
            <xdr:cNvPr id="9249" name="Drop Down 33" hidden="1">
              <a:extLst>
                <a:ext uri="{63B3BB69-23CF-44E3-9099-C40C66FF867C}">
                  <a14:compatExt spid="_x0000_s9249"/>
                </a:ext>
                <a:ext uri="{FF2B5EF4-FFF2-40B4-BE49-F238E27FC236}">
                  <a16:creationId xmlns:a16="http://schemas.microsoft.com/office/drawing/2014/main" id="{00000000-0008-0000-0500-00002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459442</xdr:colOff>
      <xdr:row>58</xdr:row>
      <xdr:rowOff>19330</xdr:rowOff>
    </xdr:from>
    <xdr:to>
      <xdr:col>4</xdr:col>
      <xdr:colOff>459442</xdr:colOff>
      <xdr:row>70</xdr:row>
      <xdr:rowOff>219075</xdr:rowOff>
    </xdr:to>
    <xdr:cxnSp macro="">
      <xdr:nvCxnSpPr>
        <xdr:cNvPr id="3" name="Connecteur droit 2">
          <a:extLst>
            <a:ext uri="{FF2B5EF4-FFF2-40B4-BE49-F238E27FC236}">
              <a16:creationId xmlns:a16="http://schemas.microsoft.com/office/drawing/2014/main" id="{00000000-0008-0000-0500-000003000000}"/>
            </a:ext>
          </a:extLst>
        </xdr:cNvPr>
        <xdr:cNvCxnSpPr/>
      </xdr:nvCxnSpPr>
      <xdr:spPr>
        <a:xfrm>
          <a:off x="3588405" y="18035868"/>
          <a:ext cx="0" cy="281435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1054100</xdr:colOff>
          <xdr:row>66</xdr:row>
          <xdr:rowOff>19050</xdr:rowOff>
        </xdr:from>
        <xdr:to>
          <xdr:col>8</xdr:col>
          <xdr:colOff>107950</xdr:colOff>
          <xdr:row>67</xdr:row>
          <xdr:rowOff>44450</xdr:rowOff>
        </xdr:to>
        <xdr:sp macro="" textlink="">
          <xdr:nvSpPr>
            <xdr:cNvPr id="9250" name="Drop Down 34" hidden="1">
              <a:extLst>
                <a:ext uri="{63B3BB69-23CF-44E3-9099-C40C66FF867C}">
                  <a14:compatExt spid="_x0000_s9250"/>
                </a:ext>
                <a:ext uri="{FF2B5EF4-FFF2-40B4-BE49-F238E27FC236}">
                  <a16:creationId xmlns:a16="http://schemas.microsoft.com/office/drawing/2014/main" id="{00000000-0008-0000-0500-00002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257736</xdr:colOff>
      <xdr:row>0</xdr:row>
      <xdr:rowOff>89646</xdr:rowOff>
    </xdr:from>
    <xdr:to>
      <xdr:col>11</xdr:col>
      <xdr:colOff>582705</xdr:colOff>
      <xdr:row>1</xdr:row>
      <xdr:rowOff>190499</xdr:rowOff>
    </xdr:to>
    <xdr:sp macro="" textlink="">
      <xdr:nvSpPr>
        <xdr:cNvPr id="2" name="Rectangle à coins arrondis 1">
          <a:hlinkClick xmlns:r="http://schemas.openxmlformats.org/officeDocument/2006/relationships" r:id="rId11"/>
          <a:extLst>
            <a:ext uri="{FF2B5EF4-FFF2-40B4-BE49-F238E27FC236}">
              <a16:creationId xmlns:a16="http://schemas.microsoft.com/office/drawing/2014/main" id="{00000000-0008-0000-0500-000002000000}"/>
            </a:ext>
          </a:extLst>
        </xdr:cNvPr>
        <xdr:cNvSpPr/>
      </xdr:nvSpPr>
      <xdr:spPr>
        <a:xfrm>
          <a:off x="9188824" y="89646"/>
          <a:ext cx="1086969" cy="291353"/>
        </a:xfrm>
        <a:prstGeom prst="roundRect">
          <a:avLst/>
        </a:prstGeom>
        <a:solidFill>
          <a:srgbClr val="FFDE75"/>
        </a:solidFill>
        <a:effectLst>
          <a:outerShdw blurRad="50800" dist="38100" dir="8100000" algn="tr"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fr-FR" sz="1100" b="0" cap="none" spc="0">
              <a:ln w="0"/>
              <a:solidFill>
                <a:sysClr val="windowText" lastClr="000000"/>
              </a:solidFill>
              <a:effectLst>
                <a:outerShdw blurRad="38100" dist="19050" dir="2700000" algn="tl" rotWithShape="0">
                  <a:schemeClr val="dk1">
                    <a:alpha val="40000"/>
                  </a:schemeClr>
                </a:outerShdw>
              </a:effectLst>
            </a:rPr>
            <a:t>Tutoriel Vidéo</a:t>
          </a:r>
        </a:p>
      </xdr:txBody>
    </xdr:sp>
    <xdr:clientData/>
  </xdr:twoCellAnchor>
  <xdr:twoCellAnchor>
    <xdr:from>
      <xdr:col>10</xdr:col>
      <xdr:colOff>242048</xdr:colOff>
      <xdr:row>2</xdr:row>
      <xdr:rowOff>51546</xdr:rowOff>
    </xdr:from>
    <xdr:to>
      <xdr:col>11</xdr:col>
      <xdr:colOff>567017</xdr:colOff>
      <xdr:row>4</xdr:row>
      <xdr:rowOff>100853</xdr:rowOff>
    </xdr:to>
    <xdr:sp macro="" textlink="">
      <xdr:nvSpPr>
        <xdr:cNvPr id="24" name="Rectangle à coins arrondis 23">
          <a:hlinkClick xmlns:r="http://schemas.openxmlformats.org/officeDocument/2006/relationships" r:id="rId12"/>
          <a:extLst>
            <a:ext uri="{FF2B5EF4-FFF2-40B4-BE49-F238E27FC236}">
              <a16:creationId xmlns:a16="http://schemas.microsoft.com/office/drawing/2014/main" id="{00000000-0008-0000-0500-000018000000}"/>
            </a:ext>
          </a:extLst>
        </xdr:cNvPr>
        <xdr:cNvSpPr/>
      </xdr:nvSpPr>
      <xdr:spPr>
        <a:xfrm>
          <a:off x="9173136" y="443752"/>
          <a:ext cx="1086969" cy="475130"/>
        </a:xfrm>
        <a:prstGeom prst="roundRect">
          <a:avLst/>
        </a:prstGeom>
        <a:solidFill>
          <a:srgbClr val="FFDE75"/>
        </a:solidFill>
        <a:effectLst>
          <a:outerShdw blurRad="50800" dist="38100" dir="8100000" algn="tr" rotWithShape="0">
            <a:prstClr val="black">
              <a:alpha val="40000"/>
            </a:prstClr>
          </a:outerShdw>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fr-FR" sz="1050" b="0" cap="none" spc="0">
              <a:ln w="0"/>
              <a:solidFill>
                <a:sysClr val="windowText" lastClr="000000"/>
              </a:solidFill>
              <a:effectLst>
                <a:outerShdw blurRad="38100" dist="19050" dir="2700000" algn="tl" rotWithShape="0">
                  <a:schemeClr val="dk1">
                    <a:alpha val="40000"/>
                  </a:schemeClr>
                </a:outerShdw>
              </a:effectLst>
            </a:rPr>
            <a:t>Base Doc MAPES</a:t>
          </a:r>
        </a:p>
      </xdr:txBody>
    </xdr:sp>
    <xdr:clientData/>
  </xdr:twoCellAnchor>
  <xdr:twoCellAnchor>
    <xdr:from>
      <xdr:col>10</xdr:col>
      <xdr:colOff>111500</xdr:colOff>
      <xdr:row>37</xdr:row>
      <xdr:rowOff>19050</xdr:rowOff>
    </xdr:from>
    <xdr:to>
      <xdr:col>11</xdr:col>
      <xdr:colOff>611842</xdr:colOff>
      <xdr:row>37</xdr:row>
      <xdr:rowOff>317625</xdr:rowOff>
    </xdr:to>
    <xdr:sp macro="" textlink="Compteur_1!L1">
      <xdr:nvSpPr>
        <xdr:cNvPr id="25" name="Rectangle à coins arrondis 3">
          <a:hlinkClick xmlns:r="http://schemas.openxmlformats.org/officeDocument/2006/relationships" r:id="rId1"/>
          <a:extLst>
            <a:ext uri="{FF2B5EF4-FFF2-40B4-BE49-F238E27FC236}">
              <a16:creationId xmlns:a16="http://schemas.microsoft.com/office/drawing/2014/main" id="{00000000-0008-0000-0500-000019000000}"/>
            </a:ext>
          </a:extLst>
        </xdr:cNvPr>
        <xdr:cNvSpPr/>
      </xdr:nvSpPr>
      <xdr:spPr>
        <a:xfrm>
          <a:off x="9807950" y="8839200"/>
          <a:ext cx="1300442" cy="295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C8E0DA9C-C659-495E-A44A-EB826599E61D}" type="TxLink">
            <a:rPr lang="en-US" sz="1100" b="0" i="0" u="none" strike="noStrike">
              <a:solidFill>
                <a:srgbClr val="000000"/>
              </a:solidFill>
              <a:latin typeface="Calibri"/>
              <a:cs typeface="Calibri"/>
            </a:rPr>
            <a:pPr algn="l"/>
            <a:t>Elec Générale (Factures)</a:t>
          </a:fld>
          <a:endParaRPr lang="fr-FR" sz="1100">
            <a:solidFill>
              <a:sysClr val="windowText" lastClr="000000"/>
            </a:solidFill>
          </a:endParaRPr>
        </a:p>
      </xdr:txBody>
    </xdr:sp>
    <xdr:clientData/>
  </xdr:twoCellAnchor>
  <xdr:twoCellAnchor>
    <xdr:from>
      <xdr:col>10</xdr:col>
      <xdr:colOff>101975</xdr:colOff>
      <xdr:row>38</xdr:row>
      <xdr:rowOff>28575</xdr:rowOff>
    </xdr:from>
    <xdr:to>
      <xdr:col>11</xdr:col>
      <xdr:colOff>621367</xdr:colOff>
      <xdr:row>38</xdr:row>
      <xdr:rowOff>298575</xdr:rowOff>
    </xdr:to>
    <xdr:sp macro="" textlink="Compteur_2!L1">
      <xdr:nvSpPr>
        <xdr:cNvPr id="26" name="Rectangle à coins arrondis 7">
          <a:hlinkClick xmlns:r="http://schemas.openxmlformats.org/officeDocument/2006/relationships" r:id="rId2"/>
          <a:extLst>
            <a:ext uri="{FF2B5EF4-FFF2-40B4-BE49-F238E27FC236}">
              <a16:creationId xmlns:a16="http://schemas.microsoft.com/office/drawing/2014/main" id="{00000000-0008-0000-0500-00001A000000}"/>
            </a:ext>
          </a:extLst>
        </xdr:cNvPr>
        <xdr:cNvSpPr/>
      </xdr:nvSpPr>
      <xdr:spPr>
        <a:xfrm>
          <a:off x="9801600" y="9188450"/>
          <a:ext cx="13131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5C10FF51-0469-4293-9890-EC79C88941FE}" type="TxLink">
            <a:rPr lang="en-US" sz="1100" b="0" i="0" u="none" strike="noStrike">
              <a:solidFill>
                <a:srgbClr val="000000"/>
              </a:solidFill>
              <a:latin typeface="Calibri"/>
              <a:cs typeface="Calibri"/>
            </a:rPr>
            <a:pPr algn="l"/>
            <a:t>Chaleur Générale (factures)</a:t>
          </a:fld>
          <a:endParaRPr lang="fr-FR" sz="1100">
            <a:solidFill>
              <a:sysClr val="windowText" lastClr="000000"/>
            </a:solidFill>
          </a:endParaRPr>
        </a:p>
      </xdr:txBody>
    </xdr:sp>
    <xdr:clientData/>
  </xdr:twoCellAnchor>
  <xdr:twoCellAnchor>
    <xdr:from>
      <xdr:col>10</xdr:col>
      <xdr:colOff>111500</xdr:colOff>
      <xdr:row>39</xdr:row>
      <xdr:rowOff>47625</xdr:rowOff>
    </xdr:from>
    <xdr:to>
      <xdr:col>11</xdr:col>
      <xdr:colOff>611842</xdr:colOff>
      <xdr:row>39</xdr:row>
      <xdr:rowOff>317625</xdr:rowOff>
    </xdr:to>
    <xdr:sp macro="" textlink="Compteur_3!L1">
      <xdr:nvSpPr>
        <xdr:cNvPr id="27" name="Rectangle à coins arrondis 8">
          <a:hlinkClick xmlns:r="http://schemas.openxmlformats.org/officeDocument/2006/relationships" r:id="rId3"/>
          <a:extLst>
            <a:ext uri="{FF2B5EF4-FFF2-40B4-BE49-F238E27FC236}">
              <a16:creationId xmlns:a16="http://schemas.microsoft.com/office/drawing/2014/main" id="{00000000-0008-0000-0500-00001B000000}"/>
            </a:ext>
          </a:extLst>
        </xdr:cNvPr>
        <xdr:cNvSpPr/>
      </xdr:nvSpPr>
      <xdr:spPr>
        <a:xfrm>
          <a:off x="9807950" y="9550400"/>
          <a:ext cx="13004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F5A2508B-57B7-4482-94FF-E9ED55EE1944}" type="TxLink">
            <a:rPr lang="en-US" sz="1100" b="0" i="0" u="none" strike="noStrike">
              <a:solidFill>
                <a:srgbClr val="000000"/>
              </a:solidFill>
              <a:latin typeface="Calibri"/>
              <a:cs typeface="Calibri"/>
            </a:rPr>
            <a:pPr algn="l"/>
            <a:t>Eau Générale (factures)</a:t>
          </a:fld>
          <a:endParaRPr lang="fr-FR" sz="1100">
            <a:solidFill>
              <a:sysClr val="windowText" lastClr="000000"/>
            </a:solidFill>
          </a:endParaRPr>
        </a:p>
      </xdr:txBody>
    </xdr:sp>
    <xdr:clientData/>
  </xdr:twoCellAnchor>
  <xdr:twoCellAnchor>
    <xdr:from>
      <xdr:col>10</xdr:col>
      <xdr:colOff>111500</xdr:colOff>
      <xdr:row>40</xdr:row>
      <xdr:rowOff>57150</xdr:rowOff>
    </xdr:from>
    <xdr:to>
      <xdr:col>11</xdr:col>
      <xdr:colOff>611842</xdr:colOff>
      <xdr:row>40</xdr:row>
      <xdr:rowOff>327150</xdr:rowOff>
    </xdr:to>
    <xdr:sp macro="" textlink="Compteur_4!L1">
      <xdr:nvSpPr>
        <xdr:cNvPr id="28" name="Rectangle à coins arrondis 9">
          <a:hlinkClick xmlns:r="http://schemas.openxmlformats.org/officeDocument/2006/relationships" r:id="rId4"/>
          <a:extLst>
            <a:ext uri="{FF2B5EF4-FFF2-40B4-BE49-F238E27FC236}">
              <a16:creationId xmlns:a16="http://schemas.microsoft.com/office/drawing/2014/main" id="{00000000-0008-0000-0500-00001C000000}"/>
            </a:ext>
          </a:extLst>
        </xdr:cNvPr>
        <xdr:cNvSpPr/>
      </xdr:nvSpPr>
      <xdr:spPr>
        <a:xfrm>
          <a:off x="9807950" y="9906000"/>
          <a:ext cx="1300442" cy="2731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C736FF6E-51A5-44DE-8C47-C49B7050BAB2}" type="TxLink">
            <a:rPr lang="en-US" sz="1100" b="0" i="0" u="none" strike="noStrike">
              <a:solidFill>
                <a:srgbClr val="000000"/>
              </a:solidFill>
              <a:latin typeface="Calibri"/>
              <a:cs typeface="Calibri"/>
            </a:rPr>
            <a:pPr algn="l"/>
            <a:t>Compteur 4</a:t>
          </a:fld>
          <a:endParaRPr lang="fr-FR" sz="1100">
            <a:solidFill>
              <a:sysClr val="windowText" lastClr="000000"/>
            </a:solidFill>
          </a:endParaRPr>
        </a:p>
      </xdr:txBody>
    </xdr:sp>
    <xdr:clientData/>
  </xdr:twoCellAnchor>
  <xdr:twoCellAnchor>
    <xdr:from>
      <xdr:col>10</xdr:col>
      <xdr:colOff>111500</xdr:colOff>
      <xdr:row>41</xdr:row>
      <xdr:rowOff>57150</xdr:rowOff>
    </xdr:from>
    <xdr:to>
      <xdr:col>11</xdr:col>
      <xdr:colOff>611842</xdr:colOff>
      <xdr:row>41</xdr:row>
      <xdr:rowOff>327150</xdr:rowOff>
    </xdr:to>
    <xdr:sp macro="" textlink="Compteur_5!L1">
      <xdr:nvSpPr>
        <xdr:cNvPr id="29" name="Rectangle à coins arrondis 10">
          <a:hlinkClick xmlns:r="http://schemas.openxmlformats.org/officeDocument/2006/relationships" r:id="rId5"/>
          <a:extLst>
            <a:ext uri="{FF2B5EF4-FFF2-40B4-BE49-F238E27FC236}">
              <a16:creationId xmlns:a16="http://schemas.microsoft.com/office/drawing/2014/main" id="{00000000-0008-0000-0500-00001D000000}"/>
            </a:ext>
          </a:extLst>
        </xdr:cNvPr>
        <xdr:cNvSpPr/>
      </xdr:nvSpPr>
      <xdr:spPr>
        <a:xfrm>
          <a:off x="9807950" y="10248900"/>
          <a:ext cx="1300442" cy="2731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44218B56-636B-497D-B7EE-3D414CC0E299}" type="TxLink">
            <a:rPr lang="en-US" sz="1100" b="0" i="0" u="none" strike="noStrike">
              <a:solidFill>
                <a:srgbClr val="000000"/>
              </a:solidFill>
              <a:latin typeface="Calibri"/>
              <a:cs typeface="Calibri"/>
            </a:rPr>
            <a:pPr algn="l"/>
            <a:t>Compteur 5</a:t>
          </a:fld>
          <a:endParaRPr lang="fr-FR" sz="1100">
            <a:solidFill>
              <a:sysClr val="windowText" lastClr="000000"/>
            </a:solidFill>
          </a:endParaRPr>
        </a:p>
      </xdr:txBody>
    </xdr:sp>
    <xdr:clientData/>
  </xdr:twoCellAnchor>
  <xdr:twoCellAnchor>
    <xdr:from>
      <xdr:col>10</xdr:col>
      <xdr:colOff>111500</xdr:colOff>
      <xdr:row>42</xdr:row>
      <xdr:rowOff>66675</xdr:rowOff>
    </xdr:from>
    <xdr:to>
      <xdr:col>11</xdr:col>
      <xdr:colOff>611842</xdr:colOff>
      <xdr:row>42</xdr:row>
      <xdr:rowOff>336675</xdr:rowOff>
    </xdr:to>
    <xdr:sp macro="" textlink="Compteur_6!L1">
      <xdr:nvSpPr>
        <xdr:cNvPr id="30" name="Rectangle à coins arrondis 11">
          <a:hlinkClick xmlns:r="http://schemas.openxmlformats.org/officeDocument/2006/relationships" r:id="rId6"/>
          <a:extLst>
            <a:ext uri="{FF2B5EF4-FFF2-40B4-BE49-F238E27FC236}">
              <a16:creationId xmlns:a16="http://schemas.microsoft.com/office/drawing/2014/main" id="{00000000-0008-0000-0500-00001E000000}"/>
            </a:ext>
          </a:extLst>
        </xdr:cNvPr>
        <xdr:cNvSpPr/>
      </xdr:nvSpPr>
      <xdr:spPr>
        <a:xfrm>
          <a:off x="9807950" y="10598150"/>
          <a:ext cx="13004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EB3A31DA-6680-4C9A-A3D7-3338D43E88D4}" type="TxLink">
            <a:rPr lang="en-US" sz="1100" b="0" i="0" u="none" strike="noStrike">
              <a:solidFill>
                <a:srgbClr val="000000"/>
              </a:solidFill>
              <a:latin typeface="Calibri"/>
              <a:cs typeface="Calibri"/>
            </a:rPr>
            <a:pPr algn="l"/>
            <a:t>Compteur 6</a:t>
          </a:fld>
          <a:endParaRPr lang="fr-FR" sz="1100">
            <a:solidFill>
              <a:sysClr val="windowText" lastClr="000000"/>
            </a:solidFill>
          </a:endParaRPr>
        </a:p>
      </xdr:txBody>
    </xdr:sp>
    <xdr:clientData/>
  </xdr:twoCellAnchor>
  <xdr:twoCellAnchor>
    <xdr:from>
      <xdr:col>10</xdr:col>
      <xdr:colOff>111500</xdr:colOff>
      <xdr:row>43</xdr:row>
      <xdr:rowOff>57150</xdr:rowOff>
    </xdr:from>
    <xdr:to>
      <xdr:col>11</xdr:col>
      <xdr:colOff>611842</xdr:colOff>
      <xdr:row>43</xdr:row>
      <xdr:rowOff>327150</xdr:rowOff>
    </xdr:to>
    <xdr:sp macro="" textlink="Compteur_7!L1">
      <xdr:nvSpPr>
        <xdr:cNvPr id="31" name="Rectangle à coins arrondis 12">
          <a:hlinkClick xmlns:r="http://schemas.openxmlformats.org/officeDocument/2006/relationships" r:id="rId7"/>
          <a:extLst>
            <a:ext uri="{FF2B5EF4-FFF2-40B4-BE49-F238E27FC236}">
              <a16:creationId xmlns:a16="http://schemas.microsoft.com/office/drawing/2014/main" id="{00000000-0008-0000-0500-00001F000000}"/>
            </a:ext>
          </a:extLst>
        </xdr:cNvPr>
        <xdr:cNvSpPr/>
      </xdr:nvSpPr>
      <xdr:spPr>
        <a:xfrm>
          <a:off x="9807950" y="10934700"/>
          <a:ext cx="1300442" cy="2731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52700E92-2E16-4313-A7DF-959959CBB3EA}" type="TxLink">
            <a:rPr lang="en-US" sz="1100" b="0" i="0" u="none" strike="noStrike">
              <a:solidFill>
                <a:srgbClr val="000000"/>
              </a:solidFill>
              <a:latin typeface="Calibri"/>
              <a:cs typeface="Calibri"/>
            </a:rPr>
            <a:pPr algn="l"/>
            <a:t>Compteur 7</a:t>
          </a:fld>
          <a:endParaRPr lang="fr-FR" sz="1100">
            <a:solidFill>
              <a:sysClr val="windowText" lastClr="000000"/>
            </a:solidFill>
          </a:endParaRPr>
        </a:p>
      </xdr:txBody>
    </xdr:sp>
    <xdr:clientData/>
  </xdr:twoCellAnchor>
  <xdr:twoCellAnchor>
    <xdr:from>
      <xdr:col>10</xdr:col>
      <xdr:colOff>111500</xdr:colOff>
      <xdr:row>44</xdr:row>
      <xdr:rowOff>47625</xdr:rowOff>
    </xdr:from>
    <xdr:to>
      <xdr:col>11</xdr:col>
      <xdr:colOff>611842</xdr:colOff>
      <xdr:row>44</xdr:row>
      <xdr:rowOff>317625</xdr:rowOff>
    </xdr:to>
    <xdr:sp macro="" textlink="Compteur_8!L1">
      <xdr:nvSpPr>
        <xdr:cNvPr id="32" name="Rectangle à coins arrondis 13">
          <a:hlinkClick xmlns:r="http://schemas.openxmlformats.org/officeDocument/2006/relationships" r:id="rId8"/>
          <a:extLst>
            <a:ext uri="{FF2B5EF4-FFF2-40B4-BE49-F238E27FC236}">
              <a16:creationId xmlns:a16="http://schemas.microsoft.com/office/drawing/2014/main" id="{00000000-0008-0000-0500-000020000000}"/>
            </a:ext>
          </a:extLst>
        </xdr:cNvPr>
        <xdr:cNvSpPr/>
      </xdr:nvSpPr>
      <xdr:spPr>
        <a:xfrm>
          <a:off x="9807950" y="11264900"/>
          <a:ext cx="13004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fld id="{7A862B19-F555-4FA3-820C-6BDE84537386}" type="TxLink">
            <a:rPr lang="en-US" sz="1100" b="0" i="0" u="none" strike="noStrike">
              <a:solidFill>
                <a:srgbClr val="000000"/>
              </a:solidFill>
              <a:latin typeface="Calibri"/>
              <a:cs typeface="Calibri"/>
            </a:rPr>
            <a:pPr algn="l"/>
            <a:t>Compteur 8</a:t>
          </a:fld>
          <a:endParaRPr lang="fr-FR"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47</xdr:row>
          <xdr:rowOff>152400</xdr:rowOff>
        </xdr:from>
        <xdr:to>
          <xdr:col>3</xdr:col>
          <xdr:colOff>323850</xdr:colOff>
          <xdr:row>49</xdr:row>
          <xdr:rowOff>19050</xdr:rowOff>
        </xdr:to>
        <xdr:sp macro="" textlink="">
          <xdr:nvSpPr>
            <xdr:cNvPr id="9256" name="Drop Down 40" hidden="1">
              <a:extLst>
                <a:ext uri="{63B3BB69-23CF-44E3-9099-C40C66FF867C}">
                  <a14:compatExt spid="_x0000_s9256"/>
                </a:ext>
                <a:ext uri="{FF2B5EF4-FFF2-40B4-BE49-F238E27FC236}">
                  <a16:creationId xmlns:a16="http://schemas.microsoft.com/office/drawing/2014/main" id="{00000000-0008-0000-0500-00002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899272</xdr:colOff>
      <xdr:row>53</xdr:row>
      <xdr:rowOff>14568</xdr:rowOff>
    </xdr:from>
    <xdr:to>
      <xdr:col>3</xdr:col>
      <xdr:colOff>526676</xdr:colOff>
      <xdr:row>54</xdr:row>
      <xdr:rowOff>133849</xdr:rowOff>
    </xdr:to>
    <xdr:sp macro="" textlink="">
      <xdr:nvSpPr>
        <xdr:cNvPr id="33" name="Rectangle à coins arrondis 3">
          <a:hlinkClick xmlns:r="http://schemas.openxmlformats.org/officeDocument/2006/relationships" r:id="rId13"/>
          <a:extLst>
            <a:ext uri="{FF2B5EF4-FFF2-40B4-BE49-F238E27FC236}">
              <a16:creationId xmlns:a16="http://schemas.microsoft.com/office/drawing/2014/main" id="{00000000-0008-0000-0500-000021000000}"/>
            </a:ext>
          </a:extLst>
        </xdr:cNvPr>
        <xdr:cNvSpPr/>
      </xdr:nvSpPr>
      <xdr:spPr>
        <a:xfrm>
          <a:off x="1061758" y="13540068"/>
          <a:ext cx="1538006" cy="298575"/>
        </a:xfrm>
        <a:prstGeom prst="roundRect">
          <a:avLst/>
        </a:prstGeom>
        <a:solidFill>
          <a:schemeClr val="accent6"/>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200" b="1">
              <a:solidFill>
                <a:schemeClr val="bg1"/>
              </a:solidFill>
            </a:rPr>
            <a:t>Compléter</a:t>
          </a:r>
          <a:r>
            <a:rPr lang="fr-FR" sz="1200" b="1" baseline="0">
              <a:solidFill>
                <a:schemeClr val="bg1"/>
              </a:solidFill>
            </a:rPr>
            <a:t> les DJU</a:t>
          </a:r>
          <a:endParaRPr lang="fr-FR" sz="1200" b="1">
            <a:solidFill>
              <a:schemeClr val="bg1"/>
            </a:solidFill>
          </a:endParaRPr>
        </a:p>
      </xdr:txBody>
    </xdr:sp>
    <xdr:clientData/>
  </xdr:twoCellAnchor>
  <xdr:twoCellAnchor editAs="oneCell">
    <xdr:from>
      <xdr:col>6</xdr:col>
      <xdr:colOff>180975</xdr:colOff>
      <xdr:row>46</xdr:row>
      <xdr:rowOff>123826</xdr:rowOff>
    </xdr:from>
    <xdr:to>
      <xdr:col>7</xdr:col>
      <xdr:colOff>827087</xdr:colOff>
      <xdr:row>55</xdr:row>
      <xdr:rowOff>133349</xdr:rowOff>
    </xdr:to>
    <mc:AlternateContent xmlns:mc="http://schemas.openxmlformats.org/markup-compatibility/2006" xmlns:a14="http://schemas.microsoft.com/office/drawing/2010/main">
      <mc:Choice Requires="a14">
        <xdr:graphicFrame macro="">
          <xdr:nvGraphicFramePr>
            <xdr:cNvPr id="36" name="Département 1">
              <a:extLst>
                <a:ext uri="{FF2B5EF4-FFF2-40B4-BE49-F238E27FC236}">
                  <a16:creationId xmlns:a16="http://schemas.microsoft.com/office/drawing/2014/main" id="{00000000-0008-0000-0500-000024000000}"/>
                </a:ext>
              </a:extLst>
            </xdr:cNvPr>
            <xdr:cNvGraphicFramePr/>
          </xdr:nvGraphicFramePr>
          <xdr:xfrm>
            <a:off x="0" y="0"/>
            <a:ext cx="0" cy="0"/>
          </xdr:xfrm>
          <a:graphic>
            <a:graphicData uri="http://schemas.microsoft.com/office/drawing/2010/slicer">
              <sle:slicer xmlns:sle="http://schemas.microsoft.com/office/drawing/2010/slicer" name="Département 1"/>
            </a:graphicData>
          </a:graphic>
        </xdr:graphicFrame>
      </mc:Choice>
      <mc:Fallback xmlns="">
        <xdr:sp macro="" textlink="">
          <xdr:nvSpPr>
            <xdr:cNvPr id="0" name=""/>
            <xdr:cNvSpPr>
              <a:spLocks noTextEdit="1"/>
            </xdr:cNvSpPr>
          </xdr:nvSpPr>
          <xdr:spPr>
            <a:xfrm>
              <a:off x="5381625" y="13639801"/>
              <a:ext cx="1830387" cy="1685924"/>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3</xdr:col>
      <xdr:colOff>904875</xdr:colOff>
      <xdr:row>47</xdr:row>
      <xdr:rowOff>9525</xdr:rowOff>
    </xdr:from>
    <xdr:to>
      <xdr:col>5</xdr:col>
      <xdr:colOff>827087</xdr:colOff>
      <xdr:row>56</xdr:row>
      <xdr:rowOff>11111</xdr:rowOff>
    </xdr:to>
    <mc:AlternateContent xmlns:mc="http://schemas.openxmlformats.org/markup-compatibility/2006" xmlns:a14="http://schemas.microsoft.com/office/drawing/2010/main">
      <mc:Choice Requires="a14">
        <xdr:graphicFrame macro="">
          <xdr:nvGraphicFramePr>
            <xdr:cNvPr id="37" name="Region 1">
              <a:extLst>
                <a:ext uri="{FF2B5EF4-FFF2-40B4-BE49-F238E27FC236}">
                  <a16:creationId xmlns:a16="http://schemas.microsoft.com/office/drawing/2014/main" id="{00000000-0008-0000-0500-000025000000}"/>
                </a:ext>
              </a:extLst>
            </xdr:cNvPr>
            <xdr:cNvGraphicFramePr/>
          </xdr:nvGraphicFramePr>
          <xdr:xfrm>
            <a:off x="0" y="0"/>
            <a:ext cx="0" cy="0"/>
          </xdr:xfrm>
          <a:graphic>
            <a:graphicData uri="http://schemas.microsoft.com/office/drawing/2010/slicer">
              <sle:slicer xmlns:sle="http://schemas.microsoft.com/office/drawing/2010/slicer" name="Region 1"/>
            </a:graphicData>
          </a:graphic>
        </xdr:graphicFrame>
      </mc:Choice>
      <mc:Fallback xmlns="">
        <xdr:sp macro="" textlink="">
          <xdr:nvSpPr>
            <xdr:cNvPr id="0" name=""/>
            <xdr:cNvSpPr>
              <a:spLocks noTextEdit="1"/>
            </xdr:cNvSpPr>
          </xdr:nvSpPr>
          <xdr:spPr>
            <a:xfrm>
              <a:off x="2981325" y="13754100"/>
              <a:ext cx="1830387" cy="1627186"/>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4</xdr:col>
      <xdr:colOff>809531</xdr:colOff>
      <xdr:row>62</xdr:row>
      <xdr:rowOff>46316</xdr:rowOff>
    </xdr:from>
    <xdr:to>
      <xdr:col>8</xdr:col>
      <xdr:colOff>560294</xdr:colOff>
      <xdr:row>65</xdr:row>
      <xdr:rowOff>96368</xdr:rowOff>
    </xdr:to>
    <mc:AlternateContent xmlns:mc="http://schemas.openxmlformats.org/markup-compatibility/2006" xmlns:a14="http://schemas.microsoft.com/office/drawing/2010/main">
      <mc:Choice Requires="a14">
        <xdr:graphicFrame macro="">
          <xdr:nvGraphicFramePr>
            <xdr:cNvPr id="34" name="Dates (mois)">
              <a:extLst>
                <a:ext uri="{FF2B5EF4-FFF2-40B4-BE49-F238E27FC236}">
                  <a16:creationId xmlns:a16="http://schemas.microsoft.com/office/drawing/2014/main" id="{00000000-0008-0000-0500-000022000000}"/>
                </a:ext>
              </a:extLst>
            </xdr:cNvPr>
            <xdr:cNvGraphicFramePr/>
          </xdr:nvGraphicFramePr>
          <xdr:xfrm>
            <a:off x="0" y="0"/>
            <a:ext cx="0" cy="0"/>
          </xdr:xfrm>
          <a:graphic>
            <a:graphicData uri="http://schemas.microsoft.com/office/drawing/2010/slicer">
              <sle:slicer xmlns:sle="http://schemas.microsoft.com/office/drawing/2010/slicer" name="Dates (mois)"/>
            </a:graphicData>
          </a:graphic>
        </xdr:graphicFrame>
      </mc:Choice>
      <mc:Fallback xmlns="">
        <xdr:sp macro="" textlink="">
          <xdr:nvSpPr>
            <xdr:cNvPr id="0" name=""/>
            <xdr:cNvSpPr>
              <a:spLocks noTextEdit="1"/>
            </xdr:cNvSpPr>
          </xdr:nvSpPr>
          <xdr:spPr>
            <a:xfrm>
              <a:off x="3883118" y="19099491"/>
              <a:ext cx="3964175" cy="663201"/>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9</xdr:col>
      <xdr:colOff>188400</xdr:colOff>
      <xdr:row>21</xdr:row>
      <xdr:rowOff>96728</xdr:rowOff>
    </xdr:from>
    <xdr:to>
      <xdr:col>11</xdr:col>
      <xdr:colOff>0</xdr:colOff>
      <xdr:row>25</xdr:row>
      <xdr:rowOff>18728</xdr:rowOff>
    </xdr:to>
    <xdr:grpSp>
      <xdr:nvGrpSpPr>
        <xdr:cNvPr id="54" name="Groupe 53">
          <a:extLst>
            <a:ext uri="{FF2B5EF4-FFF2-40B4-BE49-F238E27FC236}">
              <a16:creationId xmlns:a16="http://schemas.microsoft.com/office/drawing/2014/main" id="{00000000-0008-0000-0600-000036000000}"/>
            </a:ext>
          </a:extLst>
        </xdr:cNvPr>
        <xdr:cNvGrpSpPr/>
      </xdr:nvGrpSpPr>
      <xdr:grpSpPr>
        <a:xfrm>
          <a:off x="7389300" y="3897203"/>
          <a:ext cx="1707075" cy="645900"/>
          <a:chOff x="9439275" y="295275"/>
          <a:chExt cx="2619374" cy="1228725"/>
        </a:xfrm>
      </xdr:grpSpPr>
      <xdr:sp macro="" textlink="">
        <xdr:nvSpPr>
          <xdr:cNvPr id="55" name="Rectangle à coins arrondis 54">
            <a:extLst>
              <a:ext uri="{FF2B5EF4-FFF2-40B4-BE49-F238E27FC236}">
                <a16:creationId xmlns:a16="http://schemas.microsoft.com/office/drawing/2014/main" id="{00000000-0008-0000-0600-000037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56" name="ZoneTexte 55">
            <a:extLst>
              <a:ext uri="{FF2B5EF4-FFF2-40B4-BE49-F238E27FC236}">
                <a16:creationId xmlns:a16="http://schemas.microsoft.com/office/drawing/2014/main" id="{00000000-0008-0000-0600-000038000000}"/>
              </a:ext>
            </a:extLst>
          </xdr:cNvPr>
          <xdr:cNvSpPr txBox="1"/>
        </xdr:nvSpPr>
        <xdr:spPr>
          <a:xfrm>
            <a:off x="9534523" y="304800"/>
            <a:ext cx="2524126" cy="43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Surface</a:t>
            </a:r>
            <a:r>
              <a:rPr lang="fr-FR" sz="1100" b="1" baseline="0"/>
              <a:t> totale</a:t>
            </a:r>
            <a:endParaRPr lang="fr-FR" sz="1100" b="1"/>
          </a:p>
        </xdr:txBody>
      </xdr:sp>
      <xdr:sp macro="" textlink="Calcul_Bilan_Energie!N3">
        <xdr:nvSpPr>
          <xdr:cNvPr id="57" name="ZoneTexte 56">
            <a:extLst>
              <a:ext uri="{FF2B5EF4-FFF2-40B4-BE49-F238E27FC236}">
                <a16:creationId xmlns:a16="http://schemas.microsoft.com/office/drawing/2014/main" id="{00000000-0008-0000-0600-000039000000}"/>
              </a:ext>
            </a:extLst>
          </xdr:cNvPr>
          <xdr:cNvSpPr txBox="1"/>
        </xdr:nvSpPr>
        <xdr:spPr>
          <a:xfrm>
            <a:off x="9969649" y="734607"/>
            <a:ext cx="1781763"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60ACE4-0D3C-4EC9-B977-6C7EDF60EB59}" type="TxLink">
              <a:rPr lang="en-US" sz="1200" b="0" i="0" u="none" strike="noStrike">
                <a:solidFill>
                  <a:srgbClr val="000000"/>
                </a:solidFill>
                <a:latin typeface="Calibri"/>
                <a:cs typeface="Calibri"/>
              </a:rPr>
              <a:pPr algn="ctr"/>
              <a:t>0</a:t>
            </a:fld>
            <a:endParaRPr lang="fr-FR" sz="2800" b="1"/>
          </a:p>
        </xdr:txBody>
      </xdr:sp>
      <xdr:pic>
        <xdr:nvPicPr>
          <xdr:cNvPr id="58" name="Imag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6728" y="833127"/>
            <a:ext cx="599464" cy="467760"/>
          </a:xfrm>
          <a:prstGeom prst="rect">
            <a:avLst/>
          </a:prstGeom>
        </xdr:spPr>
      </xdr:pic>
    </xdr:grpSp>
    <xdr:clientData/>
  </xdr:twoCellAnchor>
  <xdr:twoCellAnchor>
    <xdr:from>
      <xdr:col>9</xdr:col>
      <xdr:colOff>188400</xdr:colOff>
      <xdr:row>25</xdr:row>
      <xdr:rowOff>45880</xdr:rowOff>
    </xdr:from>
    <xdr:to>
      <xdr:col>11</xdr:col>
      <xdr:colOff>0</xdr:colOff>
      <xdr:row>28</xdr:row>
      <xdr:rowOff>158380</xdr:rowOff>
    </xdr:to>
    <xdr:grpSp>
      <xdr:nvGrpSpPr>
        <xdr:cNvPr id="59" name="Groupe 58">
          <a:extLst>
            <a:ext uri="{FF2B5EF4-FFF2-40B4-BE49-F238E27FC236}">
              <a16:creationId xmlns:a16="http://schemas.microsoft.com/office/drawing/2014/main" id="{00000000-0008-0000-0600-00003B000000}"/>
            </a:ext>
          </a:extLst>
        </xdr:cNvPr>
        <xdr:cNvGrpSpPr/>
      </xdr:nvGrpSpPr>
      <xdr:grpSpPr>
        <a:xfrm>
          <a:off x="7389300" y="4573430"/>
          <a:ext cx="1707075" cy="655425"/>
          <a:chOff x="6795052" y="3239740"/>
          <a:chExt cx="2285999" cy="1228724"/>
        </a:xfrm>
      </xdr:grpSpPr>
      <xdr:grpSp>
        <xdr:nvGrpSpPr>
          <xdr:cNvPr id="60" name="Groupe 59">
            <a:extLst>
              <a:ext uri="{FF2B5EF4-FFF2-40B4-BE49-F238E27FC236}">
                <a16:creationId xmlns:a16="http://schemas.microsoft.com/office/drawing/2014/main" id="{00000000-0008-0000-0600-00003C000000}"/>
              </a:ext>
            </a:extLst>
          </xdr:cNvPr>
          <xdr:cNvGrpSpPr/>
        </xdr:nvGrpSpPr>
        <xdr:grpSpPr>
          <a:xfrm>
            <a:off x="6795052" y="3239740"/>
            <a:ext cx="2285999" cy="1228724"/>
            <a:chOff x="9439275" y="295273"/>
            <a:chExt cx="2619374" cy="1228724"/>
          </a:xfrm>
        </xdr:grpSpPr>
        <xdr:sp macro="" textlink="">
          <xdr:nvSpPr>
            <xdr:cNvPr id="62" name="Rectangle à coins arrondis 61">
              <a:extLst>
                <a:ext uri="{FF2B5EF4-FFF2-40B4-BE49-F238E27FC236}">
                  <a16:creationId xmlns:a16="http://schemas.microsoft.com/office/drawing/2014/main" id="{00000000-0008-0000-0600-00003E000000}"/>
                </a:ext>
              </a:extLst>
            </xdr:cNvPr>
            <xdr:cNvSpPr/>
          </xdr:nvSpPr>
          <xdr:spPr>
            <a:xfrm>
              <a:off x="9439275" y="295273"/>
              <a:ext cx="2562224" cy="1228724"/>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63" name="ZoneTexte 62">
              <a:extLst>
                <a:ext uri="{FF2B5EF4-FFF2-40B4-BE49-F238E27FC236}">
                  <a16:creationId xmlns:a16="http://schemas.microsoft.com/office/drawing/2014/main" id="{00000000-0008-0000-0600-00003F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Nombre de lits</a:t>
              </a:r>
            </a:p>
          </xdr:txBody>
        </xdr:sp>
        <xdr:sp macro="" textlink="Calcul_Bilan_Energie!N6">
          <xdr:nvSpPr>
            <xdr:cNvPr id="64" name="ZoneTexte 63">
              <a:extLst>
                <a:ext uri="{FF2B5EF4-FFF2-40B4-BE49-F238E27FC236}">
                  <a16:creationId xmlns:a16="http://schemas.microsoft.com/office/drawing/2014/main" id="{00000000-0008-0000-0600-000040000000}"/>
                </a:ext>
              </a:extLst>
            </xdr:cNvPr>
            <xdr:cNvSpPr txBox="1"/>
          </xdr:nvSpPr>
          <xdr:spPr>
            <a:xfrm>
              <a:off x="10115550" y="657225"/>
              <a:ext cx="1781762" cy="6191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E6445C-7ADC-4EC9-BD50-3007AB7C9BF0}" type="TxLink">
                <a:rPr lang="en-US" sz="1200" b="0" i="0" u="none" strike="noStrike">
                  <a:solidFill>
                    <a:srgbClr val="000000"/>
                  </a:solidFill>
                  <a:latin typeface="Calibri"/>
                  <a:cs typeface="Calibri"/>
                </a:rPr>
                <a:pPr algn="ctr"/>
                <a:t>0</a:t>
              </a:fld>
              <a:endParaRPr lang="fr-FR" sz="2800" b="1"/>
            </a:p>
          </xdr:txBody>
        </xdr:sp>
      </xdr:grpSp>
      <xdr:pic>
        <xdr:nvPicPr>
          <xdr:cNvPr id="61" name="Imag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1130" y="3650502"/>
            <a:ext cx="538368" cy="522276"/>
          </a:xfrm>
          <a:prstGeom prst="rect">
            <a:avLst/>
          </a:prstGeom>
        </xdr:spPr>
      </xdr:pic>
    </xdr:grpSp>
    <xdr:clientData/>
  </xdr:twoCellAnchor>
  <xdr:twoCellAnchor>
    <xdr:from>
      <xdr:col>9</xdr:col>
      <xdr:colOff>157576</xdr:colOff>
      <xdr:row>17</xdr:row>
      <xdr:rowOff>148674</xdr:rowOff>
    </xdr:from>
    <xdr:to>
      <xdr:col>10</xdr:col>
      <xdr:colOff>729491</xdr:colOff>
      <xdr:row>21</xdr:row>
      <xdr:rowOff>69576</xdr:rowOff>
    </xdr:to>
    <xdr:grpSp>
      <xdr:nvGrpSpPr>
        <xdr:cNvPr id="2" name="Groupe 1">
          <a:extLst>
            <a:ext uri="{FF2B5EF4-FFF2-40B4-BE49-F238E27FC236}">
              <a16:creationId xmlns:a16="http://schemas.microsoft.com/office/drawing/2014/main" id="{00000000-0008-0000-0600-000002000000}"/>
            </a:ext>
          </a:extLst>
        </xdr:cNvPr>
        <xdr:cNvGrpSpPr/>
      </xdr:nvGrpSpPr>
      <xdr:grpSpPr>
        <a:xfrm>
          <a:off x="7361651" y="3222074"/>
          <a:ext cx="1467265" cy="644802"/>
          <a:chOff x="6634784" y="4309856"/>
          <a:chExt cx="1623391" cy="894522"/>
        </a:xfrm>
      </xdr:grpSpPr>
      <xdr:grpSp>
        <xdr:nvGrpSpPr>
          <xdr:cNvPr id="66" name="Groupe 65">
            <a:extLst>
              <a:ext uri="{FF2B5EF4-FFF2-40B4-BE49-F238E27FC236}">
                <a16:creationId xmlns:a16="http://schemas.microsoft.com/office/drawing/2014/main" id="{00000000-0008-0000-0600-000042000000}"/>
              </a:ext>
            </a:extLst>
          </xdr:cNvPr>
          <xdr:cNvGrpSpPr/>
        </xdr:nvGrpSpPr>
        <xdr:grpSpPr>
          <a:xfrm>
            <a:off x="6634784" y="4309856"/>
            <a:ext cx="1623391" cy="894522"/>
            <a:chOff x="9439275" y="295275"/>
            <a:chExt cx="2619374" cy="1228725"/>
          </a:xfrm>
        </xdr:grpSpPr>
        <xdr:sp macro="" textlink="">
          <xdr:nvSpPr>
            <xdr:cNvPr id="68" name="Rectangle à coins arrondis 67">
              <a:extLst>
                <a:ext uri="{FF2B5EF4-FFF2-40B4-BE49-F238E27FC236}">
                  <a16:creationId xmlns:a16="http://schemas.microsoft.com/office/drawing/2014/main" id="{00000000-0008-0000-0600-000044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69" name="ZoneTexte 68">
              <a:extLst>
                <a:ext uri="{FF2B5EF4-FFF2-40B4-BE49-F238E27FC236}">
                  <a16:creationId xmlns:a16="http://schemas.microsoft.com/office/drawing/2014/main" id="{00000000-0008-0000-0600-000045000000}"/>
                </a:ext>
              </a:extLst>
            </xdr:cNvPr>
            <xdr:cNvSpPr txBox="1"/>
          </xdr:nvSpPr>
          <xdr:spPr>
            <a:xfrm>
              <a:off x="9534524" y="304799"/>
              <a:ext cx="2524125" cy="452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Nombre de places </a:t>
              </a:r>
            </a:p>
          </xdr:txBody>
        </xdr:sp>
        <xdr:sp macro="" textlink="Calcul_Bilan_Energie!N7">
          <xdr:nvSpPr>
            <xdr:cNvPr id="70" name="ZoneTexte 69">
              <a:extLst>
                <a:ext uri="{FF2B5EF4-FFF2-40B4-BE49-F238E27FC236}">
                  <a16:creationId xmlns:a16="http://schemas.microsoft.com/office/drawing/2014/main" id="{00000000-0008-0000-0600-000046000000}"/>
                </a:ext>
              </a:extLst>
            </xdr:cNvPr>
            <xdr:cNvSpPr txBox="1"/>
          </xdr:nvSpPr>
          <xdr:spPr>
            <a:xfrm>
              <a:off x="10115550" y="657225"/>
              <a:ext cx="17817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3616DF-4F93-4955-B35A-1F06AD275955}" type="TxLink">
                <a:rPr lang="en-US" sz="1400" b="0" i="0" u="none" strike="noStrike">
                  <a:solidFill>
                    <a:srgbClr val="000000"/>
                  </a:solidFill>
                  <a:latin typeface="Calibri"/>
                  <a:cs typeface="Calibri"/>
                </a:rPr>
                <a:pPr algn="ctr"/>
                <a:t>0</a:t>
              </a:fld>
              <a:endParaRPr lang="fr-FR" sz="3200" b="1"/>
            </a:p>
          </xdr:txBody>
        </xdr:sp>
      </xdr:grpSp>
      <xdr:pic>
        <xdr:nvPicPr>
          <xdr:cNvPr id="71" name="Image 70" descr="icône de personne assise 16830905 - Telecharger Vectoriel ...">
            <a:extLst>
              <a:ext uri="{FF2B5EF4-FFF2-40B4-BE49-F238E27FC236}">
                <a16:creationId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57975" y="4572993"/>
            <a:ext cx="609600" cy="5609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753718</xdr:colOff>
      <xdr:row>0</xdr:row>
      <xdr:rowOff>11205</xdr:rowOff>
    </xdr:from>
    <xdr:to>
      <xdr:col>8</xdr:col>
      <xdr:colOff>745435</xdr:colOff>
      <xdr:row>1</xdr:row>
      <xdr:rowOff>156146</xdr:rowOff>
    </xdr:to>
    <xdr:pic>
      <xdr:nvPicPr>
        <xdr:cNvPr id="81" name="Image 80" descr="Une image contenant texte, Police, ligne, typographie&#10;&#10;Description générée automatiquement">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4563718" y="11205"/>
          <a:ext cx="2277717" cy="335441"/>
        </a:xfrm>
        <a:prstGeom prst="rect">
          <a:avLst/>
        </a:prstGeom>
      </xdr:spPr>
    </xdr:pic>
    <xdr:clientData/>
  </xdr:twoCellAnchor>
  <xdr:twoCellAnchor editAs="oneCell">
    <xdr:from>
      <xdr:col>9</xdr:col>
      <xdr:colOff>32607</xdr:colOff>
      <xdr:row>0</xdr:row>
      <xdr:rowOff>0</xdr:rowOff>
    </xdr:from>
    <xdr:to>
      <xdr:col>10</xdr:col>
      <xdr:colOff>666750</xdr:colOff>
      <xdr:row>3</xdr:row>
      <xdr:rowOff>145676</xdr:rowOff>
    </xdr:to>
    <xdr:pic>
      <xdr:nvPicPr>
        <xdr:cNvPr id="83" name="Image 82" descr="Une image contenant texte, Police, conception&#10;&#10;Description générée automatiquement">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90607" y="0"/>
          <a:ext cx="1491393" cy="717176"/>
        </a:xfrm>
        <a:prstGeom prst="rect">
          <a:avLst/>
        </a:prstGeom>
      </xdr:spPr>
    </xdr:pic>
    <xdr:clientData/>
  </xdr:twoCellAnchor>
  <xdr:twoCellAnchor>
    <xdr:from>
      <xdr:col>0</xdr:col>
      <xdr:colOff>8269</xdr:colOff>
      <xdr:row>32</xdr:row>
      <xdr:rowOff>116693</xdr:rowOff>
    </xdr:from>
    <xdr:to>
      <xdr:col>7</xdr:col>
      <xdr:colOff>689577</xdr:colOff>
      <xdr:row>33</xdr:row>
      <xdr:rowOff>1448</xdr:rowOff>
    </xdr:to>
    <xdr:sp macro="" textlink="">
      <xdr:nvSpPr>
        <xdr:cNvPr id="65" name="ZoneTexte 64">
          <a:extLst>
            <a:ext uri="{FF2B5EF4-FFF2-40B4-BE49-F238E27FC236}">
              <a16:creationId xmlns:a16="http://schemas.microsoft.com/office/drawing/2014/main" id="{00000000-0008-0000-0600-000041000000}"/>
            </a:ext>
          </a:extLst>
        </xdr:cNvPr>
        <xdr:cNvSpPr txBox="1"/>
      </xdr:nvSpPr>
      <xdr:spPr>
        <a:xfrm>
          <a:off x="8269" y="6212693"/>
          <a:ext cx="6015308" cy="14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800">
              <a:solidFill>
                <a:srgbClr val="FF0000"/>
              </a:solidFill>
            </a:rPr>
            <a:t>Si aucun graphique n'apparaît</a:t>
          </a:r>
          <a:r>
            <a:rPr lang="fr-FR" sz="800" baseline="0">
              <a:solidFill>
                <a:srgbClr val="FF0000"/>
              </a:solidFill>
            </a:rPr>
            <a:t> après avoir actualisé, vérifiez s'ils sont bien sélectionnés dans le filtre "Combustible" de chaque graphique</a:t>
          </a:r>
          <a:endParaRPr lang="fr-FR" sz="800">
            <a:solidFill>
              <a:srgbClr val="FF0000"/>
            </a:solidFill>
          </a:endParaRPr>
        </a:p>
      </xdr:txBody>
    </xdr:sp>
    <xdr:clientData/>
  </xdr:twoCellAnchor>
  <xdr:twoCellAnchor>
    <xdr:from>
      <xdr:col>0</xdr:col>
      <xdr:colOff>42262</xdr:colOff>
      <xdr:row>15</xdr:row>
      <xdr:rowOff>175535</xdr:rowOff>
    </xdr:from>
    <xdr:to>
      <xdr:col>9</xdr:col>
      <xdr:colOff>66260</xdr:colOff>
      <xdr:row>32</xdr:row>
      <xdr:rowOff>146907</xdr:rowOff>
    </xdr:to>
    <xdr:sp macro="" textlink="">
      <xdr:nvSpPr>
        <xdr:cNvPr id="37" name="Rectangle à coins arrondis 36">
          <a:extLst>
            <a:ext uri="{FF2B5EF4-FFF2-40B4-BE49-F238E27FC236}">
              <a16:creationId xmlns:a16="http://schemas.microsoft.com/office/drawing/2014/main" id="{00000000-0008-0000-0600-000025000000}"/>
            </a:ext>
          </a:extLst>
        </xdr:cNvPr>
        <xdr:cNvSpPr/>
      </xdr:nvSpPr>
      <xdr:spPr>
        <a:xfrm>
          <a:off x="42262" y="3033035"/>
          <a:ext cx="6881998" cy="3209872"/>
        </a:xfrm>
        <a:prstGeom prst="roundRect">
          <a:avLst/>
        </a:prstGeom>
        <a:solidFill>
          <a:schemeClr val="bg1"/>
        </a:solidFill>
        <a:ln w="3175">
          <a:solidFill>
            <a:schemeClr val="bg2"/>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15</xdr:row>
      <xdr:rowOff>133553</xdr:rowOff>
    </xdr:from>
    <xdr:to>
      <xdr:col>5</xdr:col>
      <xdr:colOff>504445</xdr:colOff>
      <xdr:row>17</xdr:row>
      <xdr:rowOff>84325</xdr:rowOff>
    </xdr:to>
    <xdr:sp macro="" textlink="">
      <xdr:nvSpPr>
        <xdr:cNvPr id="38" name="ZoneTexte 37">
          <a:extLst>
            <a:ext uri="{FF2B5EF4-FFF2-40B4-BE49-F238E27FC236}">
              <a16:creationId xmlns:a16="http://schemas.microsoft.com/office/drawing/2014/main" id="{00000000-0008-0000-0600-000026000000}"/>
            </a:ext>
          </a:extLst>
        </xdr:cNvPr>
        <xdr:cNvSpPr txBox="1"/>
      </xdr:nvSpPr>
      <xdr:spPr>
        <a:xfrm>
          <a:off x="0" y="2991053"/>
          <a:ext cx="4314445" cy="331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baseline="0"/>
            <a:t>Distribution des consommations d'énergie : </a:t>
          </a:r>
          <a:endParaRPr lang="fr-FR" sz="1400" b="1"/>
        </a:p>
      </xdr:txBody>
    </xdr:sp>
    <xdr:clientData/>
  </xdr:twoCellAnchor>
  <xdr:twoCellAnchor>
    <xdr:from>
      <xdr:col>3</xdr:col>
      <xdr:colOff>314603</xdr:colOff>
      <xdr:row>16</xdr:row>
      <xdr:rowOff>164893</xdr:rowOff>
    </xdr:from>
    <xdr:to>
      <xdr:col>5</xdr:col>
      <xdr:colOff>5727</xdr:colOff>
      <xdr:row>19</xdr:row>
      <xdr:rowOff>110655</xdr:rowOff>
    </xdr:to>
    <xdr:sp macro="" textlink="Calcul_Bilan_Energie!M11">
      <xdr:nvSpPr>
        <xdr:cNvPr id="76" name="ZoneTexte 75">
          <a:extLst>
            <a:ext uri="{FF2B5EF4-FFF2-40B4-BE49-F238E27FC236}">
              <a16:creationId xmlns:a16="http://schemas.microsoft.com/office/drawing/2014/main" id="{00000000-0008-0000-0600-00004C000000}"/>
            </a:ext>
          </a:extLst>
        </xdr:cNvPr>
        <xdr:cNvSpPr txBox="1"/>
      </xdr:nvSpPr>
      <xdr:spPr>
        <a:xfrm>
          <a:off x="2600603" y="3212893"/>
          <a:ext cx="1215124" cy="51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18A9D30-6550-4D17-A38C-FA36157E26BE}" type="TxLink">
            <a:rPr lang="en-US" sz="1200" b="0" i="0" u="none" strike="noStrike">
              <a:solidFill>
                <a:srgbClr val="000000"/>
              </a:solidFill>
              <a:latin typeface="Calibri"/>
              <a:cs typeface="Calibri"/>
            </a:rPr>
            <a:pPr algn="ctr"/>
            <a:t> 56 820 € </a:t>
          </a:fld>
          <a:endParaRPr lang="fr-FR" sz="1200" b="1"/>
        </a:p>
      </xdr:txBody>
    </xdr:sp>
    <xdr:clientData/>
  </xdr:twoCellAnchor>
  <xdr:twoCellAnchor>
    <xdr:from>
      <xdr:col>3</xdr:col>
      <xdr:colOff>503311</xdr:colOff>
      <xdr:row>16</xdr:row>
      <xdr:rowOff>143794</xdr:rowOff>
    </xdr:from>
    <xdr:to>
      <xdr:col>4</xdr:col>
      <xdr:colOff>613987</xdr:colOff>
      <xdr:row>18</xdr:row>
      <xdr:rowOff>984</xdr:rowOff>
    </xdr:to>
    <xdr:grpSp>
      <xdr:nvGrpSpPr>
        <xdr:cNvPr id="17" name="Groupe 16">
          <a:extLst>
            <a:ext uri="{FF2B5EF4-FFF2-40B4-BE49-F238E27FC236}">
              <a16:creationId xmlns:a16="http://schemas.microsoft.com/office/drawing/2014/main" id="{00000000-0008-0000-0600-000011000000}"/>
            </a:ext>
          </a:extLst>
        </xdr:cNvPr>
        <xdr:cNvGrpSpPr/>
      </xdr:nvGrpSpPr>
      <xdr:grpSpPr>
        <a:xfrm>
          <a:off x="2906786" y="3036219"/>
          <a:ext cx="910776" cy="222315"/>
          <a:chOff x="2898913" y="795133"/>
          <a:chExt cx="865532" cy="240196"/>
        </a:xfrm>
      </xdr:grpSpPr>
      <xdr:sp macro="" textlink="">
        <xdr:nvSpPr>
          <xdr:cNvPr id="74" name="ZoneTexte 73">
            <a:extLst>
              <a:ext uri="{FF2B5EF4-FFF2-40B4-BE49-F238E27FC236}">
                <a16:creationId xmlns:a16="http://schemas.microsoft.com/office/drawing/2014/main" id="{00000000-0008-0000-0600-00004A000000}"/>
              </a:ext>
            </a:extLst>
          </xdr:cNvPr>
          <xdr:cNvSpPr txBox="1"/>
        </xdr:nvSpPr>
        <xdr:spPr>
          <a:xfrm>
            <a:off x="2898913" y="844415"/>
            <a:ext cx="596348" cy="182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baseline="0"/>
              <a:t>Coût</a:t>
            </a:r>
            <a:endParaRPr lang="fr-FR" sz="1200" b="1"/>
          </a:p>
        </xdr:txBody>
      </xdr:sp>
      <xdr:sp macro="" textlink="Controle_des_données!A40">
        <xdr:nvSpPr>
          <xdr:cNvPr id="8" name="ZoneTexte 7">
            <a:extLst>
              <a:ext uri="{FF2B5EF4-FFF2-40B4-BE49-F238E27FC236}">
                <a16:creationId xmlns:a16="http://schemas.microsoft.com/office/drawing/2014/main" id="{00000000-0008-0000-0600-000008000000}"/>
              </a:ext>
            </a:extLst>
          </xdr:cNvPr>
          <xdr:cNvSpPr txBox="1"/>
        </xdr:nvSpPr>
        <xdr:spPr>
          <a:xfrm>
            <a:off x="3296478" y="795133"/>
            <a:ext cx="467967"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DA43E666-33C1-4E45-BD87-463BCC38F753}" type="TxLink">
              <a:rPr lang="en-US" sz="1200" b="1" baseline="0">
                <a:solidFill>
                  <a:schemeClr val="dk1"/>
                </a:solidFill>
                <a:latin typeface="+mn-lt"/>
                <a:ea typeface="+mn-ea"/>
                <a:cs typeface="+mn-cs"/>
              </a:rPr>
              <a:pPr marL="0" indent="0" algn="l"/>
              <a:t>TTC</a:t>
            </a:fld>
            <a:endParaRPr lang="fr-FR" sz="1200" b="1" baseline="0">
              <a:solidFill>
                <a:schemeClr val="dk1"/>
              </a:solidFill>
              <a:latin typeface="+mn-lt"/>
              <a:ea typeface="+mn-ea"/>
              <a:cs typeface="+mn-cs"/>
            </a:endParaRPr>
          </a:p>
        </xdr:txBody>
      </xdr:sp>
    </xdr:grpSp>
    <xdr:clientData/>
  </xdr:twoCellAnchor>
  <xdr:twoCellAnchor>
    <xdr:from>
      <xdr:col>7</xdr:col>
      <xdr:colOff>285750</xdr:colOff>
      <xdr:row>2</xdr:row>
      <xdr:rowOff>178498</xdr:rowOff>
    </xdr:from>
    <xdr:to>
      <xdr:col>11</xdr:col>
      <xdr:colOff>0</xdr:colOff>
      <xdr:row>18</xdr:row>
      <xdr:rowOff>28575</xdr:rowOff>
    </xdr:to>
    <xdr:grpSp>
      <xdr:nvGrpSpPr>
        <xdr:cNvPr id="12" name="Groupe 11">
          <a:extLst>
            <a:ext uri="{FF2B5EF4-FFF2-40B4-BE49-F238E27FC236}">
              <a16:creationId xmlns:a16="http://schemas.microsoft.com/office/drawing/2014/main" id="{00000000-0008-0000-0600-00000C000000}"/>
            </a:ext>
          </a:extLst>
        </xdr:cNvPr>
        <xdr:cNvGrpSpPr/>
      </xdr:nvGrpSpPr>
      <xdr:grpSpPr>
        <a:xfrm>
          <a:off x="5886450" y="543623"/>
          <a:ext cx="3209925" cy="2739327"/>
          <a:chOff x="5329238" y="2919049"/>
          <a:chExt cx="3086310" cy="2845640"/>
        </a:xfrm>
      </xdr:grpSpPr>
      <xdr:graphicFrame macro="">
        <xdr:nvGraphicFramePr>
          <xdr:cNvPr id="67" name="Graphique 66">
            <a:extLst>
              <a:ext uri="{FF2B5EF4-FFF2-40B4-BE49-F238E27FC236}">
                <a16:creationId xmlns:a16="http://schemas.microsoft.com/office/drawing/2014/main" id="{00000000-0008-0000-0600-000043000000}"/>
              </a:ext>
            </a:extLst>
          </xdr:cNvPr>
          <xdr:cNvGraphicFramePr>
            <a:graphicFrameLocks/>
          </xdr:cNvGraphicFramePr>
        </xdr:nvGraphicFramePr>
        <xdr:xfrm>
          <a:off x="5329238" y="3021489"/>
          <a:ext cx="3052762" cy="2743200"/>
        </xdr:xfrm>
        <a:graphic>
          <a:graphicData uri="http://schemas.openxmlformats.org/drawingml/2006/chart">
            <c:chart xmlns:c="http://schemas.openxmlformats.org/drawingml/2006/chart" xmlns:r="http://schemas.openxmlformats.org/officeDocument/2006/relationships" r:id="rId6"/>
          </a:graphicData>
        </a:graphic>
      </xdr:graphicFrame>
      <xdr:sp macro="" textlink="Calcul_Bilan_Energie!S16">
        <xdr:nvSpPr>
          <xdr:cNvPr id="5" name="ZoneTexte 4">
            <a:extLst>
              <a:ext uri="{FF2B5EF4-FFF2-40B4-BE49-F238E27FC236}">
                <a16:creationId xmlns:a16="http://schemas.microsoft.com/office/drawing/2014/main" id="{00000000-0008-0000-0600-000005000000}"/>
              </a:ext>
            </a:extLst>
          </xdr:cNvPr>
          <xdr:cNvSpPr txBox="1"/>
        </xdr:nvSpPr>
        <xdr:spPr>
          <a:xfrm>
            <a:off x="5654641" y="4696232"/>
            <a:ext cx="2401956"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AEAA9A5-2E99-4CD5-A5C1-60B8A2DA51FF}" type="TxLink">
              <a:rPr lang="en-US" sz="1000" b="0" i="1" u="none" strike="noStrike">
                <a:solidFill>
                  <a:srgbClr val="000000"/>
                </a:solidFill>
                <a:latin typeface="Calibri"/>
                <a:cs typeface="Calibri"/>
              </a:rPr>
              <a:pPr algn="ctr"/>
              <a:t>Bâtiment à usage de bureau ou d'administration</a:t>
            </a:fld>
            <a:endParaRPr lang="fr-FR" sz="1000" i="1"/>
          </a:p>
        </xdr:txBody>
      </xdr:sp>
      <xdr:sp macro="" textlink="">
        <xdr:nvSpPr>
          <xdr:cNvPr id="6" name="ZoneTexte 5">
            <a:extLst>
              <a:ext uri="{FF2B5EF4-FFF2-40B4-BE49-F238E27FC236}">
                <a16:creationId xmlns:a16="http://schemas.microsoft.com/office/drawing/2014/main" id="{00000000-0008-0000-0600-000006000000}"/>
              </a:ext>
            </a:extLst>
          </xdr:cNvPr>
          <xdr:cNvSpPr txBox="1"/>
        </xdr:nvSpPr>
        <xdr:spPr>
          <a:xfrm>
            <a:off x="5584023" y="4837030"/>
            <a:ext cx="2831525" cy="488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rgbClr val="FF0000"/>
                </a:solidFill>
              </a:rPr>
              <a:t>Indicateur</a:t>
            </a:r>
            <a:r>
              <a:rPr lang="fr-FR" sz="800" baseline="0">
                <a:solidFill>
                  <a:srgbClr val="FF0000"/>
                </a:solidFill>
              </a:rPr>
              <a:t> de type DPE à titre à indicatif (en aucun cas  a une valeur de DPE) calculé en équivalent </a:t>
            </a:r>
            <a:r>
              <a:rPr lang="fr-FR" sz="800" u="sng" baseline="0">
                <a:solidFill>
                  <a:srgbClr val="FF0000"/>
                </a:solidFill>
              </a:rPr>
              <a:t>énergie primaire </a:t>
            </a:r>
            <a:endParaRPr lang="fr-FR" sz="800">
              <a:solidFill>
                <a:srgbClr val="FF0000"/>
              </a:solidFill>
            </a:endParaRPr>
          </a:p>
        </xdr:txBody>
      </xdr:sp>
      <xdr:sp macro="" textlink="">
        <xdr:nvSpPr>
          <xdr:cNvPr id="82" name="ZoneTexte 81">
            <a:extLst>
              <a:ext uri="{FF2B5EF4-FFF2-40B4-BE49-F238E27FC236}">
                <a16:creationId xmlns:a16="http://schemas.microsoft.com/office/drawing/2014/main" id="{00000000-0008-0000-0600-000052000000}"/>
              </a:ext>
            </a:extLst>
          </xdr:cNvPr>
          <xdr:cNvSpPr txBox="1"/>
        </xdr:nvSpPr>
        <xdr:spPr>
          <a:xfrm>
            <a:off x="5797967" y="2919049"/>
            <a:ext cx="2124562"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t>Etiquette énergétique</a:t>
            </a:r>
          </a:p>
        </xdr:txBody>
      </xdr:sp>
      <xdr:sp macro="" textlink="">
        <xdr:nvSpPr>
          <xdr:cNvPr id="85" name="ZoneTexte 84">
            <a:extLst>
              <a:ext uri="{FF2B5EF4-FFF2-40B4-BE49-F238E27FC236}">
                <a16:creationId xmlns:a16="http://schemas.microsoft.com/office/drawing/2014/main" id="{00000000-0008-0000-0600-000055000000}"/>
              </a:ext>
            </a:extLst>
          </xdr:cNvPr>
          <xdr:cNvSpPr txBox="1"/>
        </xdr:nvSpPr>
        <xdr:spPr>
          <a:xfrm>
            <a:off x="5654641" y="4547150"/>
            <a:ext cx="2401956"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0" u="none" strike="noStrike">
                <a:solidFill>
                  <a:srgbClr val="000000"/>
                </a:solidFill>
                <a:latin typeface="Calibri"/>
                <a:cs typeface="Calibri"/>
              </a:rPr>
              <a:t>corrigés</a:t>
            </a:r>
            <a:r>
              <a:rPr lang="en-US" sz="1100" b="1" i="0" u="none" strike="noStrike" baseline="0">
                <a:solidFill>
                  <a:srgbClr val="000000"/>
                </a:solidFill>
                <a:latin typeface="Calibri"/>
                <a:cs typeface="Calibri"/>
              </a:rPr>
              <a:t> DJU</a:t>
            </a:r>
            <a:endParaRPr lang="en-US" sz="1100" b="1" i="0" u="none" strike="noStrike">
              <a:solidFill>
                <a:srgbClr val="000000"/>
              </a:solidFill>
              <a:latin typeface="Calibri"/>
              <a:cs typeface="Calibri"/>
            </a:endParaRPr>
          </a:p>
        </xdr:txBody>
      </xdr:sp>
    </xdr:grpSp>
    <xdr:clientData/>
  </xdr:twoCellAnchor>
  <xdr:twoCellAnchor>
    <xdr:from>
      <xdr:col>9</xdr:col>
      <xdr:colOff>185308</xdr:colOff>
      <xdr:row>28</xdr:row>
      <xdr:rowOff>185531</xdr:rowOff>
    </xdr:from>
    <xdr:to>
      <xdr:col>10</xdr:col>
      <xdr:colOff>758908</xdr:colOff>
      <xdr:row>32</xdr:row>
      <xdr:rowOff>107531</xdr:rowOff>
    </xdr:to>
    <xdr:grpSp>
      <xdr:nvGrpSpPr>
        <xdr:cNvPr id="23" name="Groupe 22">
          <a:extLst>
            <a:ext uri="{FF2B5EF4-FFF2-40B4-BE49-F238E27FC236}">
              <a16:creationId xmlns:a16="http://schemas.microsoft.com/office/drawing/2014/main" id="{00000000-0008-0000-0600-000017000000}"/>
            </a:ext>
          </a:extLst>
        </xdr:cNvPr>
        <xdr:cNvGrpSpPr/>
      </xdr:nvGrpSpPr>
      <xdr:grpSpPr>
        <a:xfrm>
          <a:off x="7383033" y="5249656"/>
          <a:ext cx="1472125" cy="645900"/>
          <a:chOff x="7026964" y="5610640"/>
          <a:chExt cx="1242391" cy="646044"/>
        </a:xfrm>
      </xdr:grpSpPr>
      <xdr:grpSp>
        <xdr:nvGrpSpPr>
          <xdr:cNvPr id="86" name="Groupe 85">
            <a:extLst>
              <a:ext uri="{FF2B5EF4-FFF2-40B4-BE49-F238E27FC236}">
                <a16:creationId xmlns:a16="http://schemas.microsoft.com/office/drawing/2014/main" id="{00000000-0008-0000-0600-000056000000}"/>
              </a:ext>
            </a:extLst>
          </xdr:cNvPr>
          <xdr:cNvGrpSpPr/>
        </xdr:nvGrpSpPr>
        <xdr:grpSpPr>
          <a:xfrm>
            <a:off x="7026964" y="5610640"/>
            <a:ext cx="1242391" cy="646044"/>
            <a:chOff x="9439275" y="295275"/>
            <a:chExt cx="2619376" cy="1228725"/>
          </a:xfrm>
        </xdr:grpSpPr>
        <xdr:sp macro="" textlink="">
          <xdr:nvSpPr>
            <xdr:cNvPr id="87" name="Rectangle à coins arrondis 86">
              <a:extLst>
                <a:ext uri="{FF2B5EF4-FFF2-40B4-BE49-F238E27FC236}">
                  <a16:creationId xmlns:a16="http://schemas.microsoft.com/office/drawing/2014/main" id="{00000000-0008-0000-0600-000057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88" name="ZoneTexte 87">
              <a:extLst>
                <a:ext uri="{FF2B5EF4-FFF2-40B4-BE49-F238E27FC236}">
                  <a16:creationId xmlns:a16="http://schemas.microsoft.com/office/drawing/2014/main" id="{00000000-0008-0000-0600-000058000000}"/>
                </a:ext>
              </a:extLst>
            </xdr:cNvPr>
            <xdr:cNvSpPr txBox="1"/>
          </xdr:nvSpPr>
          <xdr:spPr>
            <a:xfrm>
              <a:off x="9534524" y="304800"/>
              <a:ext cx="2524127" cy="43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Places de parking</a:t>
              </a:r>
            </a:p>
          </xdr:txBody>
        </xdr:sp>
        <xdr:sp macro="" textlink="Site!I33">
          <xdr:nvSpPr>
            <xdr:cNvPr id="89" name="ZoneTexte 88">
              <a:extLst>
                <a:ext uri="{FF2B5EF4-FFF2-40B4-BE49-F238E27FC236}">
                  <a16:creationId xmlns:a16="http://schemas.microsoft.com/office/drawing/2014/main" id="{00000000-0008-0000-0600-000059000000}"/>
                </a:ext>
              </a:extLst>
            </xdr:cNvPr>
            <xdr:cNvSpPr txBox="1"/>
          </xdr:nvSpPr>
          <xdr:spPr>
            <a:xfrm>
              <a:off x="10249048" y="734609"/>
              <a:ext cx="17817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438AA7-7E60-4BEA-9543-83F280E8AF81}" type="TxLink">
                <a:rPr lang="en-US" sz="1100" b="0" i="0" u="none" strike="noStrike">
                  <a:solidFill>
                    <a:srgbClr val="000000"/>
                  </a:solidFill>
                  <a:latin typeface="Calibri"/>
                  <a:cs typeface="Calibri"/>
                </a:rPr>
                <a:pPr algn="ctr"/>
                <a:t> </a:t>
              </a:fld>
              <a:endParaRPr lang="fr-FR" sz="2800" b="1"/>
            </a:p>
          </xdr:txBody>
        </xdr:sp>
      </xdr:grpSp>
      <xdr:pic>
        <xdr:nvPicPr>
          <xdr:cNvPr id="19" name="Imag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147891" y="5822673"/>
            <a:ext cx="389283" cy="389283"/>
          </a:xfrm>
          <a:prstGeom prst="rect">
            <a:avLst/>
          </a:prstGeom>
        </xdr:spPr>
      </xdr:pic>
    </xdr:grpSp>
    <xdr:clientData/>
  </xdr:twoCellAnchor>
  <xdr:twoCellAnchor>
    <xdr:from>
      <xdr:col>0</xdr:col>
      <xdr:colOff>503998</xdr:colOff>
      <xdr:row>16</xdr:row>
      <xdr:rowOff>114718</xdr:rowOff>
    </xdr:from>
    <xdr:to>
      <xdr:col>2</xdr:col>
      <xdr:colOff>401086</xdr:colOff>
      <xdr:row>17</xdr:row>
      <xdr:rowOff>171450</xdr:rowOff>
    </xdr:to>
    <xdr:sp macro="" textlink="">
      <xdr:nvSpPr>
        <xdr:cNvPr id="73" name="ZoneTexte 72">
          <a:extLst>
            <a:ext uri="{FF2B5EF4-FFF2-40B4-BE49-F238E27FC236}">
              <a16:creationId xmlns:a16="http://schemas.microsoft.com/office/drawing/2014/main" id="{00000000-0008-0000-0600-000049000000}"/>
            </a:ext>
          </a:extLst>
        </xdr:cNvPr>
        <xdr:cNvSpPr txBox="1"/>
      </xdr:nvSpPr>
      <xdr:spPr>
        <a:xfrm>
          <a:off x="503998" y="3162718"/>
          <a:ext cx="1421088" cy="247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baseline="0"/>
            <a:t>Consommations</a:t>
          </a:r>
          <a:endParaRPr lang="fr-FR" sz="1200" b="1"/>
        </a:p>
      </xdr:txBody>
    </xdr:sp>
    <xdr:clientData/>
  </xdr:twoCellAnchor>
  <xdr:twoCellAnchor>
    <xdr:from>
      <xdr:col>1</xdr:col>
      <xdr:colOff>377274</xdr:colOff>
      <xdr:row>1</xdr:row>
      <xdr:rowOff>114300</xdr:rowOff>
    </xdr:from>
    <xdr:to>
      <xdr:col>7</xdr:col>
      <xdr:colOff>419100</xdr:colOff>
      <xdr:row>15</xdr:row>
      <xdr:rowOff>123825</xdr:rowOff>
    </xdr:to>
    <xdr:sp macro="" textlink="">
      <xdr:nvSpPr>
        <xdr:cNvPr id="95" name="Rectangle à coins arrondis 94">
          <a:extLst>
            <a:ext uri="{FF2B5EF4-FFF2-40B4-BE49-F238E27FC236}">
              <a16:creationId xmlns:a16="http://schemas.microsoft.com/office/drawing/2014/main" id="{00000000-0008-0000-0600-00005F000000}"/>
            </a:ext>
          </a:extLst>
        </xdr:cNvPr>
        <xdr:cNvSpPr/>
      </xdr:nvSpPr>
      <xdr:spPr>
        <a:xfrm>
          <a:off x="1139274" y="304800"/>
          <a:ext cx="4613826" cy="2676525"/>
        </a:xfrm>
        <a:prstGeom prst="roundRect">
          <a:avLst/>
        </a:prstGeom>
        <a:solidFill>
          <a:schemeClr val="bg1"/>
        </a:solidFill>
        <a:ln w="3175">
          <a:solidFill>
            <a:schemeClr val="bg2"/>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449815</xdr:colOff>
      <xdr:row>1</xdr:row>
      <xdr:rowOff>139753</xdr:rowOff>
    </xdr:from>
    <xdr:to>
      <xdr:col>5</xdr:col>
      <xdr:colOff>143145</xdr:colOff>
      <xdr:row>3</xdr:row>
      <xdr:rowOff>61922</xdr:rowOff>
    </xdr:to>
    <xdr:sp macro="" textlink="">
      <xdr:nvSpPr>
        <xdr:cNvPr id="97" name="ZoneTexte 96">
          <a:extLst>
            <a:ext uri="{FF2B5EF4-FFF2-40B4-BE49-F238E27FC236}">
              <a16:creationId xmlns:a16="http://schemas.microsoft.com/office/drawing/2014/main" id="{00000000-0008-0000-0600-000061000000}"/>
            </a:ext>
          </a:extLst>
        </xdr:cNvPr>
        <xdr:cNvSpPr txBox="1"/>
      </xdr:nvSpPr>
      <xdr:spPr>
        <a:xfrm>
          <a:off x="1973815" y="330253"/>
          <a:ext cx="1979330"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Vos</a:t>
          </a:r>
          <a:r>
            <a:rPr lang="fr-FR" sz="1200" b="1" baseline="0"/>
            <a:t> indicateurs</a:t>
          </a:r>
          <a:endParaRPr lang="fr-FR" sz="1200" b="1"/>
        </a:p>
      </xdr:txBody>
    </xdr:sp>
    <xdr:clientData/>
  </xdr:twoCellAnchor>
  <xdr:twoCellAnchor>
    <xdr:from>
      <xdr:col>3</xdr:col>
      <xdr:colOff>28575</xdr:colOff>
      <xdr:row>6</xdr:row>
      <xdr:rowOff>177864</xdr:rowOff>
    </xdr:from>
    <xdr:to>
      <xdr:col>4</xdr:col>
      <xdr:colOff>507233</xdr:colOff>
      <xdr:row>8</xdr:row>
      <xdr:rowOff>78698</xdr:rowOff>
    </xdr:to>
    <xdr:sp macro="" textlink="Calcul_Bilan_Energie!N27">
      <xdr:nvSpPr>
        <xdr:cNvPr id="112" name="ZoneTexte 111">
          <a:extLst>
            <a:ext uri="{FF2B5EF4-FFF2-40B4-BE49-F238E27FC236}">
              <a16:creationId xmlns:a16="http://schemas.microsoft.com/office/drawing/2014/main" id="{00000000-0008-0000-0600-000070000000}"/>
            </a:ext>
          </a:extLst>
        </xdr:cNvPr>
        <xdr:cNvSpPr txBox="1"/>
      </xdr:nvSpPr>
      <xdr:spPr>
        <a:xfrm>
          <a:off x="2314575" y="1320864"/>
          <a:ext cx="1240658"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0EDC6A4-A895-45F9-ADFB-33162705AF34}" type="TxLink">
            <a:rPr lang="en-US" sz="1100" b="0" i="0" u="none" strike="noStrike">
              <a:solidFill>
                <a:srgbClr val="000000"/>
              </a:solidFill>
              <a:latin typeface="Calibri"/>
              <a:cs typeface="Calibri"/>
            </a:rPr>
            <a:pPr algn="ctr"/>
            <a:t>#DIV/0!</a:t>
          </a:fld>
          <a:endParaRPr lang="fr-FR" sz="7200" b="1"/>
        </a:p>
      </xdr:txBody>
    </xdr:sp>
    <xdr:clientData/>
  </xdr:twoCellAnchor>
  <xdr:twoCellAnchor>
    <xdr:from>
      <xdr:col>1</xdr:col>
      <xdr:colOff>504825</xdr:colOff>
      <xdr:row>6</xdr:row>
      <xdr:rowOff>167197</xdr:rowOff>
    </xdr:from>
    <xdr:to>
      <xdr:col>2</xdr:col>
      <xdr:colOff>732024</xdr:colOff>
      <xdr:row>8</xdr:row>
      <xdr:rowOff>89366</xdr:rowOff>
    </xdr:to>
    <xdr:sp macro="" textlink="">
      <xdr:nvSpPr>
        <xdr:cNvPr id="113" name="ZoneTexte 112">
          <a:extLst>
            <a:ext uri="{FF2B5EF4-FFF2-40B4-BE49-F238E27FC236}">
              <a16:creationId xmlns:a16="http://schemas.microsoft.com/office/drawing/2014/main" id="{00000000-0008-0000-0600-000071000000}"/>
            </a:ext>
          </a:extLst>
        </xdr:cNvPr>
        <xdr:cNvSpPr txBox="1"/>
      </xdr:nvSpPr>
      <xdr:spPr>
        <a:xfrm>
          <a:off x="1266825" y="1310197"/>
          <a:ext cx="989199"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Electricité</a:t>
          </a:r>
        </a:p>
      </xdr:txBody>
    </xdr:sp>
    <xdr:clientData/>
  </xdr:twoCellAnchor>
  <xdr:twoCellAnchor>
    <xdr:from>
      <xdr:col>5</xdr:col>
      <xdr:colOff>85725</xdr:colOff>
      <xdr:row>7</xdr:row>
      <xdr:rowOff>8292</xdr:rowOff>
    </xdr:from>
    <xdr:to>
      <xdr:col>6</xdr:col>
      <xdr:colOff>510287</xdr:colOff>
      <xdr:row>8</xdr:row>
      <xdr:rowOff>57770</xdr:rowOff>
    </xdr:to>
    <xdr:sp macro="" textlink="Controle_des_données!B19">
      <xdr:nvSpPr>
        <xdr:cNvPr id="114" name="ZoneTexte 113">
          <a:extLst>
            <a:ext uri="{FF2B5EF4-FFF2-40B4-BE49-F238E27FC236}">
              <a16:creationId xmlns:a16="http://schemas.microsoft.com/office/drawing/2014/main" id="{00000000-0008-0000-0600-000072000000}"/>
            </a:ext>
          </a:extLst>
        </xdr:cNvPr>
        <xdr:cNvSpPr txBox="1"/>
      </xdr:nvSpPr>
      <xdr:spPr>
        <a:xfrm>
          <a:off x="3895725" y="1341792"/>
          <a:ext cx="1186562" cy="2399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6D9B805-14ED-447A-B37B-84C854AB57E8}" type="TxLink">
            <a:rPr lang="en-US" sz="1100" b="0" i="0" u="none" strike="noStrike">
              <a:solidFill>
                <a:srgbClr val="000000"/>
              </a:solidFill>
              <a:latin typeface="Calibri"/>
              <a:cs typeface="Calibri"/>
            </a:rPr>
            <a:pPr algn="ctr"/>
            <a:t>53,4 kWh/m².an</a:t>
          </a:fld>
          <a:endParaRPr lang="fr-FR" sz="7200" b="1"/>
        </a:p>
      </xdr:txBody>
    </xdr:sp>
    <xdr:clientData/>
  </xdr:twoCellAnchor>
  <xdr:twoCellAnchor>
    <xdr:from>
      <xdr:col>3</xdr:col>
      <xdr:colOff>40508</xdr:colOff>
      <xdr:row>3</xdr:row>
      <xdr:rowOff>164790</xdr:rowOff>
    </xdr:from>
    <xdr:to>
      <xdr:col>4</xdr:col>
      <xdr:colOff>495300</xdr:colOff>
      <xdr:row>5</xdr:row>
      <xdr:rowOff>65624</xdr:rowOff>
    </xdr:to>
    <xdr:sp macro="" textlink="Calcul_Bilan_Energie!N22">
      <xdr:nvSpPr>
        <xdr:cNvPr id="109" name="ZoneTexte 108">
          <a:extLst>
            <a:ext uri="{FF2B5EF4-FFF2-40B4-BE49-F238E27FC236}">
              <a16:creationId xmlns:a16="http://schemas.microsoft.com/office/drawing/2014/main" id="{00000000-0008-0000-0600-00006D000000}"/>
            </a:ext>
          </a:extLst>
        </xdr:cNvPr>
        <xdr:cNvSpPr txBox="1"/>
      </xdr:nvSpPr>
      <xdr:spPr>
        <a:xfrm>
          <a:off x="2326508" y="736290"/>
          <a:ext cx="1216792"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8754189-361C-4BD3-9C50-128B04FBFD70}" type="TxLink">
            <a:rPr lang="en-US" sz="1100" b="0" i="0" u="none" strike="noStrike">
              <a:solidFill>
                <a:srgbClr val="000000"/>
              </a:solidFill>
              <a:latin typeface="Calibri"/>
              <a:cs typeface="Calibri"/>
            </a:rPr>
            <a:pPr algn="ctr"/>
            <a:t>#DIV/0!</a:t>
          </a:fld>
          <a:endParaRPr lang="fr-FR" sz="7200" b="1"/>
        </a:p>
      </xdr:txBody>
    </xdr:sp>
    <xdr:clientData/>
  </xdr:twoCellAnchor>
  <xdr:twoCellAnchor>
    <xdr:from>
      <xdr:col>4</xdr:col>
      <xdr:colOff>531272</xdr:colOff>
      <xdr:row>3</xdr:row>
      <xdr:rowOff>164790</xdr:rowOff>
    </xdr:from>
    <xdr:to>
      <xdr:col>7</xdr:col>
      <xdr:colOff>64741</xdr:colOff>
      <xdr:row>5</xdr:row>
      <xdr:rowOff>65624</xdr:rowOff>
    </xdr:to>
    <xdr:sp macro="" textlink="Controle_des_données!B18">
      <xdr:nvSpPr>
        <xdr:cNvPr id="110" name="ZoneTexte 109">
          <a:extLst>
            <a:ext uri="{FF2B5EF4-FFF2-40B4-BE49-F238E27FC236}">
              <a16:creationId xmlns:a16="http://schemas.microsoft.com/office/drawing/2014/main" id="{00000000-0008-0000-0600-00006E000000}"/>
            </a:ext>
          </a:extLst>
        </xdr:cNvPr>
        <xdr:cNvSpPr txBox="1"/>
      </xdr:nvSpPr>
      <xdr:spPr>
        <a:xfrm>
          <a:off x="3579272" y="736290"/>
          <a:ext cx="1819469"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9ACB5FE-0082-46E3-83C8-00D026C47735}" type="TxLink">
            <a:rPr lang="en-US" sz="1100" b="0" i="0" u="none" strike="noStrike">
              <a:solidFill>
                <a:srgbClr val="000000"/>
              </a:solidFill>
              <a:latin typeface="Calibri"/>
              <a:cs typeface="Calibri"/>
            </a:rPr>
            <a:pPr algn="ctr"/>
            <a:t>134,4 kWh/m².an</a:t>
          </a:fld>
          <a:endParaRPr lang="fr-FR" sz="7200" b="1"/>
        </a:p>
      </xdr:txBody>
    </xdr:sp>
    <xdr:clientData/>
  </xdr:twoCellAnchor>
  <xdr:twoCellAnchor>
    <xdr:from>
      <xdr:col>1</xdr:col>
      <xdr:colOff>561975</xdr:colOff>
      <xdr:row>3</xdr:row>
      <xdr:rowOff>154123</xdr:rowOff>
    </xdr:from>
    <xdr:to>
      <xdr:col>2</xdr:col>
      <xdr:colOff>732024</xdr:colOff>
      <xdr:row>5</xdr:row>
      <xdr:rowOff>76292</xdr:rowOff>
    </xdr:to>
    <xdr:sp macro="" textlink="">
      <xdr:nvSpPr>
        <xdr:cNvPr id="111" name="ZoneTexte 110">
          <a:extLst>
            <a:ext uri="{FF2B5EF4-FFF2-40B4-BE49-F238E27FC236}">
              <a16:creationId xmlns:a16="http://schemas.microsoft.com/office/drawing/2014/main" id="{00000000-0008-0000-0600-00006F000000}"/>
            </a:ext>
          </a:extLst>
        </xdr:cNvPr>
        <xdr:cNvSpPr txBox="1"/>
      </xdr:nvSpPr>
      <xdr:spPr>
        <a:xfrm>
          <a:off x="1323975" y="725623"/>
          <a:ext cx="932049"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Thermique</a:t>
          </a:r>
        </a:p>
      </xdr:txBody>
    </xdr:sp>
    <xdr:clientData/>
  </xdr:twoCellAnchor>
  <xdr:twoCellAnchor>
    <xdr:from>
      <xdr:col>3</xdr:col>
      <xdr:colOff>57149</xdr:colOff>
      <xdr:row>9</xdr:row>
      <xdr:rowOff>85591</xdr:rowOff>
    </xdr:from>
    <xdr:to>
      <xdr:col>4</xdr:col>
      <xdr:colOff>478659</xdr:colOff>
      <xdr:row>10</xdr:row>
      <xdr:rowOff>176925</xdr:rowOff>
    </xdr:to>
    <xdr:sp macro="" textlink="Calcul_Bilan_Energie!N28">
      <xdr:nvSpPr>
        <xdr:cNvPr id="106" name="ZoneTexte 105">
          <a:extLst>
            <a:ext uri="{FF2B5EF4-FFF2-40B4-BE49-F238E27FC236}">
              <a16:creationId xmlns:a16="http://schemas.microsoft.com/office/drawing/2014/main" id="{00000000-0008-0000-0600-00006A000000}"/>
            </a:ext>
          </a:extLst>
        </xdr:cNvPr>
        <xdr:cNvSpPr txBox="1"/>
      </xdr:nvSpPr>
      <xdr:spPr>
        <a:xfrm>
          <a:off x="2343149" y="1800091"/>
          <a:ext cx="1183510"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5AE0728-A897-494D-B314-75A49E40A50E}" type="TxLink">
            <a:rPr lang="en-US" sz="1100" b="0" i="0" u="none" strike="noStrike">
              <a:solidFill>
                <a:srgbClr val="000000"/>
              </a:solidFill>
              <a:latin typeface="Calibri"/>
              <a:cs typeface="Calibri"/>
            </a:rPr>
            <a:pPr algn="ctr"/>
            <a:t>#DIV/0!</a:t>
          </a:fld>
          <a:endParaRPr lang="fr-FR" sz="7200" b="1"/>
        </a:p>
      </xdr:txBody>
    </xdr:sp>
    <xdr:clientData/>
  </xdr:twoCellAnchor>
  <xdr:twoCellAnchor>
    <xdr:from>
      <xdr:col>5</xdr:col>
      <xdr:colOff>0</xdr:colOff>
      <xdr:row>9</xdr:row>
      <xdr:rowOff>85591</xdr:rowOff>
    </xdr:from>
    <xdr:to>
      <xdr:col>6</xdr:col>
      <xdr:colOff>596012</xdr:colOff>
      <xdr:row>10</xdr:row>
      <xdr:rowOff>176925</xdr:rowOff>
    </xdr:to>
    <xdr:sp macro="" textlink="Controle_des_données!B20">
      <xdr:nvSpPr>
        <xdr:cNvPr id="107" name="ZoneTexte 106">
          <a:extLst>
            <a:ext uri="{FF2B5EF4-FFF2-40B4-BE49-F238E27FC236}">
              <a16:creationId xmlns:a16="http://schemas.microsoft.com/office/drawing/2014/main" id="{00000000-0008-0000-0600-00006B000000}"/>
            </a:ext>
          </a:extLst>
        </xdr:cNvPr>
        <xdr:cNvSpPr txBox="1"/>
      </xdr:nvSpPr>
      <xdr:spPr>
        <a:xfrm>
          <a:off x="3810000" y="1800091"/>
          <a:ext cx="1358012"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3823111-8461-413D-9301-C9F8E5BE0381}" type="TxLink">
            <a:rPr lang="en-US" sz="1100" b="0" i="0" u="none" strike="noStrike">
              <a:solidFill>
                <a:srgbClr val="000000"/>
              </a:solidFill>
              <a:latin typeface="Calibri"/>
              <a:cs typeface="Calibri"/>
            </a:rPr>
            <a:pPr algn="ctr"/>
            <a:t>187,8 kWh/m².an</a:t>
          </a:fld>
          <a:endParaRPr lang="fr-FR" sz="7200" b="1"/>
        </a:p>
      </xdr:txBody>
    </xdr:sp>
    <xdr:clientData/>
  </xdr:twoCellAnchor>
  <xdr:twoCellAnchor>
    <xdr:from>
      <xdr:col>1</xdr:col>
      <xdr:colOff>457200</xdr:colOff>
      <xdr:row>9</xdr:row>
      <xdr:rowOff>74924</xdr:rowOff>
    </xdr:from>
    <xdr:to>
      <xdr:col>2</xdr:col>
      <xdr:colOff>732023</xdr:colOff>
      <xdr:row>10</xdr:row>
      <xdr:rowOff>187593</xdr:rowOff>
    </xdr:to>
    <xdr:sp macro="" textlink="">
      <xdr:nvSpPr>
        <xdr:cNvPr id="108" name="ZoneTexte 107">
          <a:extLst>
            <a:ext uri="{FF2B5EF4-FFF2-40B4-BE49-F238E27FC236}">
              <a16:creationId xmlns:a16="http://schemas.microsoft.com/office/drawing/2014/main" id="{00000000-0008-0000-0600-00006C000000}"/>
            </a:ext>
          </a:extLst>
        </xdr:cNvPr>
        <xdr:cNvSpPr txBox="1"/>
      </xdr:nvSpPr>
      <xdr:spPr>
        <a:xfrm>
          <a:off x="1219200" y="1789424"/>
          <a:ext cx="1036823"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Total Energie</a:t>
          </a:r>
        </a:p>
      </xdr:txBody>
    </xdr:sp>
    <xdr:clientData/>
  </xdr:twoCellAnchor>
  <xdr:twoCellAnchor>
    <xdr:from>
      <xdr:col>4</xdr:col>
      <xdr:colOff>619150</xdr:colOff>
      <xdr:row>3</xdr:row>
      <xdr:rowOff>142875</xdr:rowOff>
    </xdr:from>
    <xdr:to>
      <xdr:col>4</xdr:col>
      <xdr:colOff>619150</xdr:colOff>
      <xdr:row>13</xdr:row>
      <xdr:rowOff>152400</xdr:rowOff>
    </xdr:to>
    <xdr:cxnSp macro="">
      <xdr:nvCxnSpPr>
        <xdr:cNvPr id="101" name="Connecteur droit 100">
          <a:extLst>
            <a:ext uri="{FF2B5EF4-FFF2-40B4-BE49-F238E27FC236}">
              <a16:creationId xmlns:a16="http://schemas.microsoft.com/office/drawing/2014/main" id="{00000000-0008-0000-0600-000065000000}"/>
            </a:ext>
          </a:extLst>
        </xdr:cNvPr>
        <xdr:cNvCxnSpPr/>
      </xdr:nvCxnSpPr>
      <xdr:spPr>
        <a:xfrm>
          <a:off x="3667150" y="714375"/>
          <a:ext cx="0" cy="1914525"/>
        </a:xfrm>
        <a:prstGeom prst="line">
          <a:avLst/>
        </a:prstGeom>
        <a:ln w="127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2542</xdr:colOff>
      <xdr:row>11</xdr:row>
      <xdr:rowOff>17703</xdr:rowOff>
    </xdr:from>
    <xdr:to>
      <xdr:col>4</xdr:col>
      <xdr:colOff>533266</xdr:colOff>
      <xdr:row>12</xdr:row>
      <xdr:rowOff>109037</xdr:rowOff>
    </xdr:to>
    <xdr:sp macro="" textlink="Calcul_Bilan_Energie!N32">
      <xdr:nvSpPr>
        <xdr:cNvPr id="103" name="ZoneTexte 102">
          <a:extLst>
            <a:ext uri="{FF2B5EF4-FFF2-40B4-BE49-F238E27FC236}">
              <a16:creationId xmlns:a16="http://schemas.microsoft.com/office/drawing/2014/main" id="{00000000-0008-0000-0600-000067000000}"/>
            </a:ext>
          </a:extLst>
        </xdr:cNvPr>
        <xdr:cNvSpPr txBox="1"/>
      </xdr:nvSpPr>
      <xdr:spPr>
        <a:xfrm>
          <a:off x="2288542" y="2113203"/>
          <a:ext cx="1292724"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F8ECF3-F354-44F8-A0DA-0B763141314A}" type="TxLink">
            <a:rPr lang="en-US" sz="1100" b="0" i="0" u="none" strike="noStrike">
              <a:solidFill>
                <a:srgbClr val="000000"/>
              </a:solidFill>
              <a:latin typeface="Calibri"/>
              <a:cs typeface="Calibri"/>
            </a:rPr>
            <a:pPr algn="ctr"/>
            <a:t>N/A</a:t>
          </a:fld>
          <a:endParaRPr lang="fr-FR" sz="7200" b="1"/>
        </a:p>
      </xdr:txBody>
    </xdr:sp>
    <xdr:clientData/>
  </xdr:twoCellAnchor>
  <xdr:twoCellAnchor>
    <xdr:from>
      <xdr:col>4</xdr:col>
      <xdr:colOff>647567</xdr:colOff>
      <xdr:row>11</xdr:row>
      <xdr:rowOff>17703</xdr:rowOff>
    </xdr:from>
    <xdr:to>
      <xdr:col>6</xdr:col>
      <xdr:colOff>710445</xdr:colOff>
      <xdr:row>12</xdr:row>
      <xdr:rowOff>109037</xdr:rowOff>
    </xdr:to>
    <xdr:sp macro="" textlink="Controle_des_données!B23">
      <xdr:nvSpPr>
        <xdr:cNvPr id="104" name="ZoneTexte 103">
          <a:extLst>
            <a:ext uri="{FF2B5EF4-FFF2-40B4-BE49-F238E27FC236}">
              <a16:creationId xmlns:a16="http://schemas.microsoft.com/office/drawing/2014/main" id="{00000000-0008-0000-0600-000068000000}"/>
            </a:ext>
          </a:extLst>
        </xdr:cNvPr>
        <xdr:cNvSpPr txBox="1"/>
      </xdr:nvSpPr>
      <xdr:spPr>
        <a:xfrm>
          <a:off x="3695567" y="2113203"/>
          <a:ext cx="1586878"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FF40CCD-A993-441E-873B-037106EEE113}" type="TxLink">
            <a:rPr lang="en-US" sz="1100" b="0" i="0" u="none" strike="noStrike">
              <a:solidFill>
                <a:srgbClr val="000000"/>
              </a:solidFill>
              <a:latin typeface="Calibri"/>
              <a:cs typeface="Calibri"/>
            </a:rPr>
            <a:pPr algn="ctr"/>
            <a:t>144,2 l/j.Usager</a:t>
          </a:fld>
          <a:endParaRPr lang="fr-FR" sz="7200" b="1"/>
        </a:p>
      </xdr:txBody>
    </xdr:sp>
    <xdr:clientData/>
  </xdr:twoCellAnchor>
  <xdr:twoCellAnchor>
    <xdr:from>
      <xdr:col>1</xdr:col>
      <xdr:colOff>322500</xdr:colOff>
      <xdr:row>11</xdr:row>
      <xdr:rowOff>7036</xdr:rowOff>
    </xdr:from>
    <xdr:to>
      <xdr:col>2</xdr:col>
      <xdr:colOff>732024</xdr:colOff>
      <xdr:row>12</xdr:row>
      <xdr:rowOff>119705</xdr:rowOff>
    </xdr:to>
    <xdr:sp macro="" textlink="">
      <xdr:nvSpPr>
        <xdr:cNvPr id="105" name="ZoneTexte 104">
          <a:extLst>
            <a:ext uri="{FF2B5EF4-FFF2-40B4-BE49-F238E27FC236}">
              <a16:creationId xmlns:a16="http://schemas.microsoft.com/office/drawing/2014/main" id="{00000000-0008-0000-0600-000069000000}"/>
            </a:ext>
          </a:extLst>
        </xdr:cNvPr>
        <xdr:cNvSpPr txBox="1"/>
      </xdr:nvSpPr>
      <xdr:spPr>
        <a:xfrm>
          <a:off x="1084500" y="2102536"/>
          <a:ext cx="1171524"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Eau</a:t>
          </a:r>
        </a:p>
      </xdr:txBody>
    </xdr:sp>
    <xdr:clientData/>
  </xdr:twoCellAnchor>
  <xdr:twoCellAnchor>
    <xdr:from>
      <xdr:col>1</xdr:col>
      <xdr:colOff>718359</xdr:colOff>
      <xdr:row>14</xdr:row>
      <xdr:rowOff>68331</xdr:rowOff>
    </xdr:from>
    <xdr:to>
      <xdr:col>7</xdr:col>
      <xdr:colOff>245131</xdr:colOff>
      <xdr:row>15</xdr:row>
      <xdr:rowOff>89037</xdr:rowOff>
    </xdr:to>
    <xdr:sp macro="" textlink="">
      <xdr:nvSpPr>
        <xdr:cNvPr id="94" name="ZoneTexte 93">
          <a:extLst>
            <a:ext uri="{FF2B5EF4-FFF2-40B4-BE49-F238E27FC236}">
              <a16:creationId xmlns:a16="http://schemas.microsoft.com/office/drawing/2014/main" id="{00000000-0008-0000-0600-00005E000000}"/>
            </a:ext>
          </a:extLst>
        </xdr:cNvPr>
        <xdr:cNvSpPr txBox="1"/>
      </xdr:nvSpPr>
      <xdr:spPr>
        <a:xfrm>
          <a:off x="1480359" y="2735331"/>
          <a:ext cx="4098772" cy="211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 Chaleur en kWh EF PCI corrigée au DJU  et calculée par</a:t>
          </a:r>
          <a:r>
            <a:rPr lang="fr-FR" sz="800" baseline="0"/>
            <a:t>  m² de plancher chauffé </a:t>
          </a:r>
          <a:endParaRPr lang="fr-FR" sz="800"/>
        </a:p>
      </xdr:txBody>
    </xdr:sp>
    <xdr:clientData/>
  </xdr:twoCellAnchor>
  <xdr:twoCellAnchor>
    <xdr:from>
      <xdr:col>4</xdr:col>
      <xdr:colOff>384714</xdr:colOff>
      <xdr:row>1</xdr:row>
      <xdr:rowOff>99698</xdr:rowOff>
    </xdr:from>
    <xdr:to>
      <xdr:col>7</xdr:col>
      <xdr:colOff>343077</xdr:colOff>
      <xdr:row>4</xdr:row>
      <xdr:rowOff>35201</xdr:rowOff>
    </xdr:to>
    <xdr:sp macro="" textlink="">
      <xdr:nvSpPr>
        <xdr:cNvPr id="93" name="ZoneTexte 92">
          <a:extLst>
            <a:ext uri="{FF2B5EF4-FFF2-40B4-BE49-F238E27FC236}">
              <a16:creationId xmlns:a16="http://schemas.microsoft.com/office/drawing/2014/main" id="{00000000-0008-0000-0600-00005D000000}"/>
            </a:ext>
          </a:extLst>
        </xdr:cNvPr>
        <xdr:cNvSpPr txBox="1"/>
      </xdr:nvSpPr>
      <xdr:spPr>
        <a:xfrm>
          <a:off x="3432714" y="290198"/>
          <a:ext cx="2244363" cy="507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Moyenne régionale</a:t>
          </a:r>
          <a:endParaRPr lang="fr-FR" sz="1200" b="0" i="0" u="none" strike="noStrike">
            <a:solidFill>
              <a:schemeClr val="dk1"/>
            </a:solidFill>
            <a:effectLst/>
            <a:latin typeface="+mn-lt"/>
            <a:ea typeface="+mn-ea"/>
            <a:cs typeface="+mn-cs"/>
          </a:endParaRPr>
        </a:p>
        <a:p>
          <a:pPr algn="ctr"/>
          <a:r>
            <a:rPr lang="fr-FR" sz="800" b="0" i="0" u="none" strike="noStrike">
              <a:solidFill>
                <a:schemeClr val="dk1"/>
              </a:solidFill>
              <a:effectLst/>
              <a:latin typeface="+mn-lt"/>
              <a:ea typeface="+mn-ea"/>
              <a:cs typeface="+mn-cs"/>
            </a:rPr>
            <a:t>(Pays</a:t>
          </a:r>
          <a:r>
            <a:rPr lang="fr-FR" sz="800" b="0" i="0" u="none" strike="noStrike" baseline="0">
              <a:solidFill>
                <a:schemeClr val="dk1"/>
              </a:solidFill>
              <a:effectLst/>
              <a:latin typeface="+mn-lt"/>
              <a:ea typeface="+mn-ea"/>
              <a:cs typeface="+mn-cs"/>
            </a:rPr>
            <a:t> de la Loire)</a:t>
          </a:r>
          <a:endParaRPr lang="fr-FR" sz="1000" b="1"/>
        </a:p>
      </xdr:txBody>
    </xdr:sp>
    <xdr:clientData/>
  </xdr:twoCellAnchor>
  <xdr:twoCellAnchor>
    <xdr:from>
      <xdr:col>5</xdr:col>
      <xdr:colOff>521804</xdr:colOff>
      <xdr:row>17</xdr:row>
      <xdr:rowOff>80997</xdr:rowOff>
    </xdr:from>
    <xdr:to>
      <xdr:col>9</xdr:col>
      <xdr:colOff>173936</xdr:colOff>
      <xdr:row>29</xdr:row>
      <xdr:rowOff>155712</xdr:rowOff>
    </xdr:to>
    <xdr:graphicFrame macro="">
      <xdr:nvGraphicFramePr>
        <xdr:cNvPr id="115" name="Graphique 114">
          <a:extLst>
            <a:ext uri="{FF2B5EF4-FFF2-40B4-BE49-F238E27FC236}">
              <a16:creationId xmlns:a16="http://schemas.microsoft.com/office/drawing/2014/main" id="{00000000-0008-0000-06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752064</xdr:colOff>
      <xdr:row>16</xdr:row>
      <xdr:rowOff>166898</xdr:rowOff>
    </xdr:from>
    <xdr:to>
      <xdr:col>8</xdr:col>
      <xdr:colOff>488674</xdr:colOff>
      <xdr:row>18</xdr:row>
      <xdr:rowOff>124394</xdr:rowOff>
    </xdr:to>
    <xdr:sp macro="" textlink="">
      <xdr:nvSpPr>
        <xdr:cNvPr id="116" name="ZoneTexte 115">
          <a:extLst>
            <a:ext uri="{FF2B5EF4-FFF2-40B4-BE49-F238E27FC236}">
              <a16:creationId xmlns:a16="http://schemas.microsoft.com/office/drawing/2014/main" id="{00000000-0008-0000-0600-000074000000}"/>
            </a:ext>
          </a:extLst>
        </xdr:cNvPr>
        <xdr:cNvSpPr txBox="1"/>
      </xdr:nvSpPr>
      <xdr:spPr>
        <a:xfrm>
          <a:off x="4562064" y="3214898"/>
          <a:ext cx="2022610" cy="33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baseline="0"/>
            <a:t>Distribution des usages</a:t>
          </a:r>
          <a:endParaRPr lang="fr-FR" sz="1200" b="1"/>
        </a:p>
      </xdr:txBody>
    </xdr:sp>
    <xdr:clientData/>
  </xdr:twoCellAnchor>
  <xdr:twoCellAnchor>
    <xdr:from>
      <xdr:col>1</xdr:col>
      <xdr:colOff>390525</xdr:colOff>
      <xdr:row>12</xdr:row>
      <xdr:rowOff>64685</xdr:rowOff>
    </xdr:from>
    <xdr:to>
      <xdr:col>3</xdr:col>
      <xdr:colOff>17649</xdr:colOff>
      <xdr:row>13</xdr:row>
      <xdr:rowOff>177354</xdr:rowOff>
    </xdr:to>
    <xdr:sp macro="" textlink="">
      <xdr:nvSpPr>
        <xdr:cNvPr id="79" name="ZoneTexte 78">
          <a:extLst>
            <a:ext uri="{FF2B5EF4-FFF2-40B4-BE49-F238E27FC236}">
              <a16:creationId xmlns:a16="http://schemas.microsoft.com/office/drawing/2014/main" id="{00000000-0008-0000-0600-00004F000000}"/>
            </a:ext>
          </a:extLst>
        </xdr:cNvPr>
        <xdr:cNvSpPr txBox="1"/>
      </xdr:nvSpPr>
      <xdr:spPr>
        <a:xfrm>
          <a:off x="1152525" y="2350685"/>
          <a:ext cx="1151124"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Surface/usager</a:t>
          </a:r>
        </a:p>
      </xdr:txBody>
    </xdr:sp>
    <xdr:clientData/>
  </xdr:twoCellAnchor>
  <xdr:twoCellAnchor>
    <xdr:from>
      <xdr:col>3</xdr:col>
      <xdr:colOff>108701</xdr:colOff>
      <xdr:row>12</xdr:row>
      <xdr:rowOff>75352</xdr:rowOff>
    </xdr:from>
    <xdr:to>
      <xdr:col>4</xdr:col>
      <xdr:colOff>427107</xdr:colOff>
      <xdr:row>13</xdr:row>
      <xdr:rowOff>166686</xdr:rowOff>
    </xdr:to>
    <xdr:sp macro="" textlink="Calcul_Bilan_Energie!N8">
      <xdr:nvSpPr>
        <xdr:cNvPr id="80" name="ZoneTexte 79">
          <a:extLst>
            <a:ext uri="{FF2B5EF4-FFF2-40B4-BE49-F238E27FC236}">
              <a16:creationId xmlns:a16="http://schemas.microsoft.com/office/drawing/2014/main" id="{00000000-0008-0000-0600-000050000000}"/>
            </a:ext>
          </a:extLst>
        </xdr:cNvPr>
        <xdr:cNvSpPr txBox="1"/>
      </xdr:nvSpPr>
      <xdr:spPr>
        <a:xfrm>
          <a:off x="2394701" y="2361352"/>
          <a:ext cx="1080406"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ABEB7D7-F2F3-4A86-BED7-CE91396D80B2}" type="TxLink">
            <a:rPr lang="en-US" sz="1100" b="0" i="0" u="none" strike="noStrike">
              <a:solidFill>
                <a:srgbClr val="000000"/>
              </a:solidFill>
              <a:latin typeface="Calibri"/>
              <a:cs typeface="Calibri"/>
            </a:rPr>
            <a:pPr algn="ctr"/>
            <a:t>0 m²/usager</a:t>
          </a:fld>
          <a:endParaRPr lang="fr-FR" sz="7200" b="1"/>
        </a:p>
      </xdr:txBody>
    </xdr:sp>
    <xdr:clientData/>
  </xdr:twoCellAnchor>
  <xdr:twoCellAnchor>
    <xdr:from>
      <xdr:col>5</xdr:col>
      <xdr:colOff>75671</xdr:colOff>
      <xdr:row>12</xdr:row>
      <xdr:rowOff>75352</xdr:rowOff>
    </xdr:from>
    <xdr:to>
      <xdr:col>6</xdr:col>
      <xdr:colOff>520341</xdr:colOff>
      <xdr:row>13</xdr:row>
      <xdr:rowOff>166686</xdr:rowOff>
    </xdr:to>
    <xdr:sp macro="" textlink="Controle_des_données!B27">
      <xdr:nvSpPr>
        <xdr:cNvPr id="84" name="ZoneTexte 83">
          <a:extLst>
            <a:ext uri="{FF2B5EF4-FFF2-40B4-BE49-F238E27FC236}">
              <a16:creationId xmlns:a16="http://schemas.microsoft.com/office/drawing/2014/main" id="{00000000-0008-0000-0600-000054000000}"/>
            </a:ext>
          </a:extLst>
        </xdr:cNvPr>
        <xdr:cNvSpPr txBox="1"/>
      </xdr:nvSpPr>
      <xdr:spPr>
        <a:xfrm>
          <a:off x="3885671" y="2361352"/>
          <a:ext cx="1206670"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9810883-5447-4C37-8274-B244F27C5228}" type="TxLink">
            <a:rPr lang="en-US" sz="1100" b="0" i="0" u="none" strike="noStrike">
              <a:solidFill>
                <a:srgbClr val="000000"/>
              </a:solidFill>
              <a:latin typeface="Calibri"/>
              <a:cs typeface="Calibri"/>
            </a:rPr>
            <a:pPr algn="ctr"/>
            <a:t>58 m²/usager</a:t>
          </a:fld>
          <a:endParaRPr lang="fr-FR" sz="7200" b="1"/>
        </a:p>
      </xdr:txBody>
    </xdr:sp>
    <xdr:clientData/>
  </xdr:twoCellAnchor>
  <xdr:twoCellAnchor>
    <xdr:from>
      <xdr:col>0</xdr:col>
      <xdr:colOff>494057</xdr:colOff>
      <xdr:row>31</xdr:row>
      <xdr:rowOff>114711</xdr:rowOff>
    </xdr:from>
    <xdr:to>
      <xdr:col>5</xdr:col>
      <xdr:colOff>444361</xdr:colOff>
      <xdr:row>32</xdr:row>
      <xdr:rowOff>135417</xdr:rowOff>
    </xdr:to>
    <xdr:sp macro="" textlink="">
      <xdr:nvSpPr>
        <xdr:cNvPr id="90" name="ZoneTexte 89">
          <a:extLst>
            <a:ext uri="{FF2B5EF4-FFF2-40B4-BE49-F238E27FC236}">
              <a16:creationId xmlns:a16="http://schemas.microsoft.com/office/drawing/2014/main" id="{00000000-0008-0000-0600-00005A000000}"/>
            </a:ext>
          </a:extLst>
        </xdr:cNvPr>
        <xdr:cNvSpPr txBox="1"/>
      </xdr:nvSpPr>
      <xdr:spPr>
        <a:xfrm>
          <a:off x="494057" y="6020211"/>
          <a:ext cx="3760304" cy="211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Données brutes, non corrigées</a:t>
          </a:r>
          <a:r>
            <a:rPr lang="fr-FR" sz="800" baseline="0"/>
            <a:t> du DJU</a:t>
          </a:r>
          <a:endParaRPr lang="fr-FR" sz="800"/>
        </a:p>
      </xdr:txBody>
    </xdr:sp>
    <xdr:clientData/>
  </xdr:twoCellAnchor>
  <xdr:twoCellAnchor editAs="oneCell">
    <xdr:from>
      <xdr:col>0</xdr:col>
      <xdr:colOff>28574</xdr:colOff>
      <xdr:row>1</xdr:row>
      <xdr:rowOff>114301</xdr:rowOff>
    </xdr:from>
    <xdr:to>
      <xdr:col>1</xdr:col>
      <xdr:colOff>342899</xdr:colOff>
      <xdr:row>15</xdr:row>
      <xdr:rowOff>95251</xdr:rowOff>
    </xdr:to>
    <mc:AlternateContent xmlns:mc="http://schemas.openxmlformats.org/markup-compatibility/2006" xmlns:a14="http://schemas.microsoft.com/office/drawing/2010/main">
      <mc:Choice Requires="a14">
        <xdr:graphicFrame macro="">
          <xdr:nvGraphicFramePr>
            <xdr:cNvPr id="117" name="Annee 1">
              <a:extLst>
                <a:ext uri="{FF2B5EF4-FFF2-40B4-BE49-F238E27FC236}">
                  <a16:creationId xmlns:a16="http://schemas.microsoft.com/office/drawing/2014/main" id="{00000000-0008-0000-0600-000075000000}"/>
                </a:ext>
              </a:extLst>
            </xdr:cNvPr>
            <xdr:cNvGraphicFramePr/>
          </xdr:nvGraphicFramePr>
          <xdr:xfrm>
            <a:off x="0" y="0"/>
            <a:ext cx="0" cy="0"/>
          </xdr:xfrm>
          <a:graphic>
            <a:graphicData uri="http://schemas.microsoft.com/office/drawing/2010/slicer">
              <sle:slicer xmlns:sle="http://schemas.microsoft.com/office/drawing/2010/slicer" name="Annee 1"/>
            </a:graphicData>
          </a:graphic>
        </xdr:graphicFrame>
      </mc:Choice>
      <mc:Fallback xmlns="">
        <xdr:sp macro="" textlink="">
          <xdr:nvSpPr>
            <xdr:cNvPr id="0" name=""/>
            <xdr:cNvSpPr>
              <a:spLocks noTextEdit="1"/>
            </xdr:cNvSpPr>
          </xdr:nvSpPr>
          <xdr:spPr>
            <a:xfrm>
              <a:off x="28574" y="600076"/>
              <a:ext cx="1133475" cy="20574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xdr:from>
      <xdr:col>0</xdr:col>
      <xdr:colOff>95250</xdr:colOff>
      <xdr:row>18</xdr:row>
      <xdr:rowOff>7936</xdr:rowOff>
    </xdr:from>
    <xdr:to>
      <xdr:col>2</xdr:col>
      <xdr:colOff>704850</xdr:colOff>
      <xdr:row>31</xdr:row>
      <xdr:rowOff>104774</xdr:rowOff>
    </xdr:to>
    <xdr:graphicFrame macro="">
      <xdr:nvGraphicFramePr>
        <xdr:cNvPr id="118" name="Graphique 117">
          <a:extLst>
            <a:ext uri="{FF2B5EF4-FFF2-40B4-BE49-F238E27FC236}">
              <a16:creationId xmlns:a16="http://schemas.microsoft.com/office/drawing/2014/main" id="{00000000-0008-0000-06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490538</xdr:colOff>
      <xdr:row>18</xdr:row>
      <xdr:rowOff>44263</xdr:rowOff>
    </xdr:from>
    <xdr:to>
      <xdr:col>5</xdr:col>
      <xdr:colOff>549367</xdr:colOff>
      <xdr:row>32</xdr:row>
      <xdr:rowOff>90488</xdr:rowOff>
    </xdr:to>
    <xdr:graphicFrame macro="">
      <xdr:nvGraphicFramePr>
        <xdr:cNvPr id="77" name="Graphique 76">
          <a:extLst>
            <a:ext uri="{FF2B5EF4-FFF2-40B4-BE49-F238E27FC236}">
              <a16:creationId xmlns:a16="http://schemas.microsoft.com/office/drawing/2014/main" id="{00000000-0008-0000-06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239729</xdr:colOff>
      <xdr:row>17</xdr:row>
      <xdr:rowOff>147327</xdr:rowOff>
    </xdr:from>
    <xdr:to>
      <xdr:col>2</xdr:col>
      <xdr:colOff>630654</xdr:colOff>
      <xdr:row>18</xdr:row>
      <xdr:rowOff>170391</xdr:rowOff>
    </xdr:to>
    <xdr:sp macro="" textlink="Calcul_Bilan_Energie!M10">
      <xdr:nvSpPr>
        <xdr:cNvPr id="75" name="ZoneTexte 74">
          <a:extLst>
            <a:ext uri="{FF2B5EF4-FFF2-40B4-BE49-F238E27FC236}">
              <a16:creationId xmlns:a16="http://schemas.microsoft.com/office/drawing/2014/main" id="{00000000-0008-0000-0600-00004B000000}"/>
            </a:ext>
          </a:extLst>
        </xdr:cNvPr>
        <xdr:cNvSpPr txBox="1"/>
      </xdr:nvSpPr>
      <xdr:spPr>
        <a:xfrm>
          <a:off x="239729" y="3385827"/>
          <a:ext cx="1914925" cy="213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67C93F0-BB11-449A-A860-74ED8E75E500}" type="TxLink">
            <a:rPr lang="en-US" sz="1200" b="0" i="0" u="none" strike="noStrike">
              <a:solidFill>
                <a:srgbClr val="000000"/>
              </a:solidFill>
              <a:latin typeface="Calibri"/>
              <a:cs typeface="Calibri"/>
            </a:rPr>
            <a:pPr algn="ctr"/>
            <a:t>392,09 MWh [EF PCI]</a:t>
          </a:fld>
          <a:endParaRPr lang="fr-FR" sz="1200" b="1"/>
        </a:p>
      </xdr:txBody>
    </xdr:sp>
    <xdr:clientData/>
  </xdr:twoCellAnchor>
  <xdr:twoCellAnchor>
    <xdr:from>
      <xdr:col>1</xdr:col>
      <xdr:colOff>542925</xdr:colOff>
      <xdr:row>4</xdr:row>
      <xdr:rowOff>170059</xdr:rowOff>
    </xdr:from>
    <xdr:to>
      <xdr:col>2</xdr:col>
      <xdr:colOff>732024</xdr:colOff>
      <xdr:row>6</xdr:row>
      <xdr:rowOff>92228</xdr:rowOff>
    </xdr:to>
    <xdr:sp macro="" textlink="">
      <xdr:nvSpPr>
        <xdr:cNvPr id="119" name="ZoneTexte 118">
          <a:extLst>
            <a:ext uri="{FF2B5EF4-FFF2-40B4-BE49-F238E27FC236}">
              <a16:creationId xmlns:a16="http://schemas.microsoft.com/office/drawing/2014/main" id="{00000000-0008-0000-0600-000077000000}"/>
            </a:ext>
          </a:extLst>
        </xdr:cNvPr>
        <xdr:cNvSpPr txBox="1"/>
      </xdr:nvSpPr>
      <xdr:spPr>
        <a:xfrm>
          <a:off x="1304925" y="932059"/>
          <a:ext cx="951099"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i="1"/>
            <a:t>Talon</a:t>
          </a:r>
          <a:r>
            <a:rPr lang="fr-FR" sz="1200" b="1" i="0" baseline="30000"/>
            <a:t>ℹ️</a:t>
          </a:r>
        </a:p>
      </xdr:txBody>
    </xdr:sp>
    <xdr:clientData/>
  </xdr:twoCellAnchor>
  <xdr:twoCellAnchor>
    <xdr:from>
      <xdr:col>2</xdr:col>
      <xdr:colOff>133350</xdr:colOff>
      <xdr:row>6</xdr:row>
      <xdr:rowOff>95303</xdr:rowOff>
    </xdr:from>
    <xdr:to>
      <xdr:col>6</xdr:col>
      <xdr:colOff>504825</xdr:colOff>
      <xdr:row>6</xdr:row>
      <xdr:rowOff>95303</xdr:rowOff>
    </xdr:to>
    <xdr:cxnSp macro="">
      <xdr:nvCxnSpPr>
        <xdr:cNvPr id="120" name="Connecteur droit 119">
          <a:extLst>
            <a:ext uri="{FF2B5EF4-FFF2-40B4-BE49-F238E27FC236}">
              <a16:creationId xmlns:a16="http://schemas.microsoft.com/office/drawing/2014/main" id="{00000000-0008-0000-0600-000078000000}"/>
            </a:ext>
          </a:extLst>
        </xdr:cNvPr>
        <xdr:cNvCxnSpPr/>
      </xdr:nvCxnSpPr>
      <xdr:spPr>
        <a:xfrm flipH="1" flipV="1">
          <a:off x="1657350" y="1238303"/>
          <a:ext cx="3419475" cy="0"/>
        </a:xfrm>
        <a:prstGeom prst="line">
          <a:avLst/>
        </a:prstGeom>
        <a:ln w="127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142875</xdr:colOff>
      <xdr:row>9</xdr:row>
      <xdr:rowOff>85778</xdr:rowOff>
    </xdr:from>
    <xdr:to>
      <xdr:col>6</xdr:col>
      <xdr:colOff>514350</xdr:colOff>
      <xdr:row>9</xdr:row>
      <xdr:rowOff>85778</xdr:rowOff>
    </xdr:to>
    <xdr:cxnSp macro="">
      <xdr:nvCxnSpPr>
        <xdr:cNvPr id="121" name="Connecteur droit 120">
          <a:extLst>
            <a:ext uri="{FF2B5EF4-FFF2-40B4-BE49-F238E27FC236}">
              <a16:creationId xmlns:a16="http://schemas.microsoft.com/office/drawing/2014/main" id="{00000000-0008-0000-0600-000079000000}"/>
            </a:ext>
          </a:extLst>
        </xdr:cNvPr>
        <xdr:cNvCxnSpPr/>
      </xdr:nvCxnSpPr>
      <xdr:spPr>
        <a:xfrm flipH="1" flipV="1">
          <a:off x="1666875" y="1800278"/>
          <a:ext cx="3419475" cy="0"/>
        </a:xfrm>
        <a:prstGeom prst="line">
          <a:avLst/>
        </a:prstGeom>
        <a:ln w="127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95250</xdr:colOff>
      <xdr:row>11</xdr:row>
      <xdr:rowOff>19103</xdr:rowOff>
    </xdr:from>
    <xdr:to>
      <xdr:col>6</xdr:col>
      <xdr:colOff>466725</xdr:colOff>
      <xdr:row>11</xdr:row>
      <xdr:rowOff>19103</xdr:rowOff>
    </xdr:to>
    <xdr:cxnSp macro="">
      <xdr:nvCxnSpPr>
        <xdr:cNvPr id="122" name="Connecteur droit 121">
          <a:extLst>
            <a:ext uri="{FF2B5EF4-FFF2-40B4-BE49-F238E27FC236}">
              <a16:creationId xmlns:a16="http://schemas.microsoft.com/office/drawing/2014/main" id="{00000000-0008-0000-0600-00007A000000}"/>
            </a:ext>
          </a:extLst>
        </xdr:cNvPr>
        <xdr:cNvCxnSpPr/>
      </xdr:nvCxnSpPr>
      <xdr:spPr>
        <a:xfrm flipH="1" flipV="1">
          <a:off x="1619250" y="2114603"/>
          <a:ext cx="3419475" cy="0"/>
        </a:xfrm>
        <a:prstGeom prst="line">
          <a:avLst/>
        </a:prstGeom>
        <a:ln w="127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1</xdr:col>
      <xdr:colOff>561975</xdr:colOff>
      <xdr:row>8</xdr:row>
      <xdr:rowOff>8134</xdr:rowOff>
    </xdr:from>
    <xdr:to>
      <xdr:col>2</xdr:col>
      <xdr:colOff>732024</xdr:colOff>
      <xdr:row>9</xdr:row>
      <xdr:rowOff>120803</xdr:rowOff>
    </xdr:to>
    <xdr:sp macro="" textlink="">
      <xdr:nvSpPr>
        <xdr:cNvPr id="123" name="ZoneTexte 122">
          <a:extLst>
            <a:ext uri="{FF2B5EF4-FFF2-40B4-BE49-F238E27FC236}">
              <a16:creationId xmlns:a16="http://schemas.microsoft.com/office/drawing/2014/main" id="{00000000-0008-0000-0600-00007B000000}"/>
            </a:ext>
          </a:extLst>
        </xdr:cNvPr>
        <xdr:cNvSpPr txBox="1"/>
      </xdr:nvSpPr>
      <xdr:spPr>
        <a:xfrm>
          <a:off x="1323975" y="1532134"/>
          <a:ext cx="932049"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i="1"/>
            <a:t>Talon</a:t>
          </a:r>
          <a:r>
            <a:rPr lang="fr-FR" sz="1200" b="1" i="0" baseline="30000"/>
            <a:t>ℹ️</a:t>
          </a:r>
        </a:p>
      </xdr:txBody>
    </xdr:sp>
    <xdr:clientData/>
  </xdr:twoCellAnchor>
  <xdr:twoCellAnchor>
    <xdr:from>
      <xdr:col>2</xdr:col>
      <xdr:colOff>123825</xdr:colOff>
      <xdr:row>13</xdr:row>
      <xdr:rowOff>161978</xdr:rowOff>
    </xdr:from>
    <xdr:to>
      <xdr:col>6</xdr:col>
      <xdr:colOff>495300</xdr:colOff>
      <xdr:row>13</xdr:row>
      <xdr:rowOff>161978</xdr:rowOff>
    </xdr:to>
    <xdr:cxnSp macro="">
      <xdr:nvCxnSpPr>
        <xdr:cNvPr id="124" name="Connecteur droit 123">
          <a:extLst>
            <a:ext uri="{FF2B5EF4-FFF2-40B4-BE49-F238E27FC236}">
              <a16:creationId xmlns:a16="http://schemas.microsoft.com/office/drawing/2014/main" id="{00000000-0008-0000-0600-00007C000000}"/>
            </a:ext>
          </a:extLst>
        </xdr:cNvPr>
        <xdr:cNvCxnSpPr/>
      </xdr:nvCxnSpPr>
      <xdr:spPr>
        <a:xfrm flipH="1" flipV="1">
          <a:off x="1647825" y="2638478"/>
          <a:ext cx="3419475" cy="0"/>
        </a:xfrm>
        <a:prstGeom prst="line">
          <a:avLst/>
        </a:prstGeom>
        <a:ln w="127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30983</xdr:colOff>
      <xdr:row>4</xdr:row>
      <xdr:rowOff>180726</xdr:rowOff>
    </xdr:from>
    <xdr:to>
      <xdr:col>4</xdr:col>
      <xdr:colOff>504825</xdr:colOff>
      <xdr:row>6</xdr:row>
      <xdr:rowOff>81560</xdr:rowOff>
    </xdr:to>
    <xdr:sp macro="" textlink="Calcul_Bilan_Energie!P22">
      <xdr:nvSpPr>
        <xdr:cNvPr id="125" name="ZoneTexte 124">
          <a:extLst>
            <a:ext uri="{FF2B5EF4-FFF2-40B4-BE49-F238E27FC236}">
              <a16:creationId xmlns:a16="http://schemas.microsoft.com/office/drawing/2014/main" id="{00000000-0008-0000-0600-00007D000000}"/>
            </a:ext>
          </a:extLst>
        </xdr:cNvPr>
        <xdr:cNvSpPr txBox="1"/>
      </xdr:nvSpPr>
      <xdr:spPr>
        <a:xfrm>
          <a:off x="2316983" y="942726"/>
          <a:ext cx="1235842"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42EFEE5-4EEB-4EAB-810F-37CE48160693}" type="TxLink">
            <a:rPr lang="en-US" sz="1100" b="0" i="0" u="none" strike="noStrike">
              <a:solidFill>
                <a:srgbClr val="000000"/>
              </a:solidFill>
              <a:latin typeface="Calibri"/>
              <a:ea typeface="Calibri"/>
              <a:cs typeface="Calibri"/>
            </a:rPr>
            <a:pPr algn="ctr"/>
            <a:t>N/A</a:t>
          </a:fld>
          <a:endParaRPr lang="fr-FR" sz="7200" b="1"/>
        </a:p>
      </xdr:txBody>
    </xdr:sp>
    <xdr:clientData/>
  </xdr:twoCellAnchor>
  <xdr:twoCellAnchor>
    <xdr:from>
      <xdr:col>3</xdr:col>
      <xdr:colOff>145283</xdr:colOff>
      <xdr:row>8</xdr:row>
      <xdr:rowOff>18801</xdr:rowOff>
    </xdr:from>
    <xdr:to>
      <xdr:col>4</xdr:col>
      <xdr:colOff>390525</xdr:colOff>
      <xdr:row>9</xdr:row>
      <xdr:rowOff>110135</xdr:rowOff>
    </xdr:to>
    <xdr:sp macro="" textlink="Calcul_Bilan_Energie!P27">
      <xdr:nvSpPr>
        <xdr:cNvPr id="126" name="ZoneTexte 125">
          <a:extLst>
            <a:ext uri="{FF2B5EF4-FFF2-40B4-BE49-F238E27FC236}">
              <a16:creationId xmlns:a16="http://schemas.microsoft.com/office/drawing/2014/main" id="{00000000-0008-0000-0600-00007E000000}"/>
            </a:ext>
          </a:extLst>
        </xdr:cNvPr>
        <xdr:cNvSpPr txBox="1"/>
      </xdr:nvSpPr>
      <xdr:spPr>
        <a:xfrm>
          <a:off x="2431283" y="1542801"/>
          <a:ext cx="1007242"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827FEEE-1CB7-45AA-B943-85426DC1DDAA}" type="TxLink">
            <a:rPr lang="en-US" sz="1100" b="0" i="0" u="none" strike="noStrike">
              <a:solidFill>
                <a:srgbClr val="000000"/>
              </a:solidFill>
              <a:latin typeface="Calibri"/>
              <a:ea typeface="Calibri"/>
              <a:cs typeface="Calibri"/>
            </a:rPr>
            <a:pPr algn="ctr"/>
            <a:t>#DIV/0!</a:t>
          </a:fld>
          <a:endParaRPr lang="fr-FR" sz="7200" b="1"/>
        </a:p>
      </xdr:txBody>
    </xdr:sp>
    <xdr:clientData/>
  </xdr:twoCellAnchor>
  <xdr:twoCellAnchor>
    <xdr:from>
      <xdr:col>5</xdr:col>
      <xdr:colOff>39627</xdr:colOff>
      <xdr:row>4</xdr:row>
      <xdr:rowOff>180726</xdr:rowOff>
    </xdr:from>
    <xdr:to>
      <xdr:col>6</xdr:col>
      <xdr:colOff>556385</xdr:colOff>
      <xdr:row>6</xdr:row>
      <xdr:rowOff>81560</xdr:rowOff>
    </xdr:to>
    <xdr:sp macro="" textlink="Controle_des_données!B29">
      <xdr:nvSpPr>
        <xdr:cNvPr id="127" name="ZoneTexte 126">
          <a:extLst>
            <a:ext uri="{FF2B5EF4-FFF2-40B4-BE49-F238E27FC236}">
              <a16:creationId xmlns:a16="http://schemas.microsoft.com/office/drawing/2014/main" id="{00000000-0008-0000-0600-00007F000000}"/>
            </a:ext>
          </a:extLst>
        </xdr:cNvPr>
        <xdr:cNvSpPr txBox="1"/>
      </xdr:nvSpPr>
      <xdr:spPr>
        <a:xfrm>
          <a:off x="3849627" y="942726"/>
          <a:ext cx="1278758"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E920AF9-6DB4-4EAC-B74A-701CA254F8A8}" type="TxLink">
            <a:rPr lang="en-US" sz="1100" b="0" i="0" u="none" strike="noStrike">
              <a:solidFill>
                <a:srgbClr val="000000"/>
              </a:solidFill>
              <a:latin typeface="Calibri"/>
              <a:ea typeface="Calibri"/>
              <a:cs typeface="Calibri"/>
            </a:rPr>
            <a:pPr algn="ctr"/>
            <a:t>3,6 kWh/mois.m²</a:t>
          </a:fld>
          <a:endParaRPr lang="fr-FR" sz="7200" b="1"/>
        </a:p>
      </xdr:txBody>
    </xdr:sp>
    <xdr:clientData/>
  </xdr:twoCellAnchor>
  <xdr:twoCellAnchor>
    <xdr:from>
      <xdr:col>5</xdr:col>
      <xdr:colOff>230127</xdr:colOff>
      <xdr:row>8</xdr:row>
      <xdr:rowOff>18801</xdr:rowOff>
    </xdr:from>
    <xdr:to>
      <xdr:col>6</xdr:col>
      <xdr:colOff>365885</xdr:colOff>
      <xdr:row>9</xdr:row>
      <xdr:rowOff>110135</xdr:rowOff>
    </xdr:to>
    <xdr:sp macro="" textlink="Controle_des_données!B28">
      <xdr:nvSpPr>
        <xdr:cNvPr id="128" name="ZoneTexte 127">
          <a:extLst>
            <a:ext uri="{FF2B5EF4-FFF2-40B4-BE49-F238E27FC236}">
              <a16:creationId xmlns:a16="http://schemas.microsoft.com/office/drawing/2014/main" id="{00000000-0008-0000-0600-000080000000}"/>
            </a:ext>
          </a:extLst>
        </xdr:cNvPr>
        <xdr:cNvSpPr txBox="1"/>
      </xdr:nvSpPr>
      <xdr:spPr>
        <a:xfrm>
          <a:off x="4040127" y="1542801"/>
          <a:ext cx="897758"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C3453D-A28D-429A-9BA1-BA6857A2E95E}" type="TxLink">
            <a:rPr lang="en-US" sz="1100" b="0" i="0" u="none" strike="noStrike">
              <a:solidFill>
                <a:srgbClr val="000000"/>
              </a:solidFill>
              <a:latin typeface="Calibri"/>
              <a:ea typeface="Calibri"/>
              <a:cs typeface="Calibri"/>
            </a:rPr>
            <a:pPr algn="ctr"/>
            <a:t>3,7 W/m²</a:t>
          </a:fld>
          <a:endParaRPr lang="fr-FR" sz="7200" b="1"/>
        </a:p>
      </xdr:txBody>
    </xdr:sp>
    <xdr:clientData/>
  </xdr:twoCellAnchor>
</xdr:wsDr>
</file>

<file path=xl/drawings/drawing6.xml><?xml version="1.0" encoding="utf-8"?>
<c:userShapes xmlns:c="http://schemas.openxmlformats.org/drawingml/2006/chart">
  <cdr:relSizeAnchor xmlns:cdr="http://schemas.openxmlformats.org/drawingml/2006/chartDrawing">
    <cdr:from>
      <cdr:x>0.13837</cdr:x>
      <cdr:y>0.50181</cdr:y>
    </cdr:from>
    <cdr:to>
      <cdr:x>0.88991</cdr:x>
      <cdr:y>0.59541</cdr:y>
    </cdr:to>
    <cdr:sp macro="" textlink="Calcul_Bilan_Energie!$S$23">
      <cdr:nvSpPr>
        <cdr:cNvPr id="2" name="ZoneTexte 1"/>
        <cdr:cNvSpPr txBox="1"/>
      </cdr:nvSpPr>
      <cdr:spPr>
        <a:xfrm xmlns:a="http://schemas.openxmlformats.org/drawingml/2006/main">
          <a:off x="422415" y="1376570"/>
          <a:ext cx="2294283"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DE4084-1D68-4A35-B15D-DA702F44FDC6}" type="TxLink">
            <a:rPr lang="en-US" sz="1100" b="1" i="0" u="none" strike="noStrike">
              <a:solidFill>
                <a:srgbClr val="000000"/>
              </a:solidFill>
              <a:latin typeface="Calibri"/>
              <a:cs typeface="Calibri"/>
            </a:rPr>
            <a:pPr algn="ctr"/>
            <a:t>#DIV/0!</a:t>
          </a:fld>
          <a:endParaRPr lang="fr-FR" sz="1100" b="1"/>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0</xdr:row>
      <xdr:rowOff>36858</xdr:rowOff>
    </xdr:from>
    <xdr:to>
      <xdr:col>6</xdr:col>
      <xdr:colOff>41413</xdr:colOff>
      <xdr:row>1</xdr:row>
      <xdr:rowOff>102800</xdr:rowOff>
    </xdr:to>
    <xdr:sp macro="" textlink="">
      <xdr:nvSpPr>
        <xdr:cNvPr id="31" name="ZoneTexte 30">
          <a:extLst>
            <a:ext uri="{FF2B5EF4-FFF2-40B4-BE49-F238E27FC236}">
              <a16:creationId xmlns:a16="http://schemas.microsoft.com/office/drawing/2014/main" id="{00000000-0008-0000-0800-00001F000000}"/>
            </a:ext>
          </a:extLst>
        </xdr:cNvPr>
        <xdr:cNvSpPr txBox="1"/>
      </xdr:nvSpPr>
      <xdr:spPr>
        <a:xfrm>
          <a:off x="0" y="36858"/>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Choix de l'année de référence </a:t>
          </a:r>
        </a:p>
      </xdr:txBody>
    </xdr:sp>
    <xdr:clientData/>
  </xdr:twoCellAnchor>
  <xdr:twoCellAnchor>
    <xdr:from>
      <xdr:col>0</xdr:col>
      <xdr:colOff>115542</xdr:colOff>
      <xdr:row>5</xdr:row>
      <xdr:rowOff>75373</xdr:rowOff>
    </xdr:from>
    <xdr:to>
      <xdr:col>10</xdr:col>
      <xdr:colOff>334617</xdr:colOff>
      <xdr:row>21</xdr:row>
      <xdr:rowOff>115957</xdr:rowOff>
    </xdr:to>
    <xdr:graphicFrame macro="">
      <xdr:nvGraphicFramePr>
        <xdr:cNvPr id="32" name="Graphique 31">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0</xdr:colOff>
      <xdr:row>0</xdr:row>
      <xdr:rowOff>11205</xdr:rowOff>
    </xdr:from>
    <xdr:to>
      <xdr:col>8</xdr:col>
      <xdr:colOff>750542</xdr:colOff>
      <xdr:row>1</xdr:row>
      <xdr:rowOff>159321</xdr:rowOff>
    </xdr:to>
    <xdr:pic>
      <xdr:nvPicPr>
        <xdr:cNvPr id="6" name="Imag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142501</xdr:rowOff>
    </xdr:to>
    <xdr:pic>
      <xdr:nvPicPr>
        <xdr:cNvPr id="7" name="Imag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98889" y="0"/>
          <a:ext cx="1491393" cy="717176"/>
        </a:xfrm>
        <a:prstGeom prst="rect">
          <a:avLst/>
        </a:prstGeom>
      </xdr:spPr>
    </xdr:pic>
    <xdr:clientData/>
  </xdr:twoCellAnchor>
  <xdr:twoCellAnchor>
    <xdr:from>
      <xdr:col>0</xdr:col>
      <xdr:colOff>289892</xdr:colOff>
      <xdr:row>21</xdr:row>
      <xdr:rowOff>66260</xdr:rowOff>
    </xdr:from>
    <xdr:to>
      <xdr:col>10</xdr:col>
      <xdr:colOff>182217</xdr:colOff>
      <xdr:row>31</xdr:row>
      <xdr:rowOff>151985</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132522</xdr:colOff>
      <xdr:row>4</xdr:row>
      <xdr:rowOff>16564</xdr:rowOff>
    </xdr:from>
    <xdr:to>
      <xdr:col>8</xdr:col>
      <xdr:colOff>49696</xdr:colOff>
      <xdr:row>22</xdr:row>
      <xdr:rowOff>16564</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82404</xdr:colOff>
      <xdr:row>17</xdr:row>
      <xdr:rowOff>28950</xdr:rowOff>
    </xdr:from>
    <xdr:to>
      <xdr:col>8</xdr:col>
      <xdr:colOff>429022</xdr:colOff>
      <xdr:row>19</xdr:row>
      <xdr:rowOff>78046</xdr:rowOff>
    </xdr:to>
    <xdr:pic>
      <xdr:nvPicPr>
        <xdr:cNvPr id="4" name="char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6178404" y="3267450"/>
          <a:ext cx="343443" cy="430096"/>
        </a:xfrm>
        <a:prstGeom prst="rect">
          <a:avLst/>
        </a:prstGeom>
      </xdr:spPr>
    </xdr:pic>
    <xdr:clientData/>
  </xdr:twoCellAnchor>
  <xdr:twoCellAnchor editAs="oneCell">
    <xdr:from>
      <xdr:col>8</xdr:col>
      <xdr:colOff>8026</xdr:colOff>
      <xdr:row>22</xdr:row>
      <xdr:rowOff>157526</xdr:rowOff>
    </xdr:from>
    <xdr:to>
      <xdr:col>8</xdr:col>
      <xdr:colOff>411970</xdr:colOff>
      <xdr:row>25</xdr:row>
      <xdr:rowOff>40004</xdr:rowOff>
    </xdr:to>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rot="21335024">
          <a:off x="6104026" y="4348526"/>
          <a:ext cx="400769" cy="453978"/>
        </a:xfrm>
        <a:prstGeom prst="rect">
          <a:avLst/>
        </a:prstGeom>
      </xdr:spPr>
    </xdr:pic>
    <xdr:clientData/>
  </xdr:twoCellAnchor>
  <xdr:twoCellAnchor editAs="oneCell">
    <xdr:from>
      <xdr:col>8</xdr:col>
      <xdr:colOff>39305</xdr:colOff>
      <xdr:row>25</xdr:row>
      <xdr:rowOff>128210</xdr:rowOff>
    </xdr:from>
    <xdr:to>
      <xdr:col>8</xdr:col>
      <xdr:colOff>363007</xdr:colOff>
      <xdr:row>27</xdr:row>
      <xdr:rowOff>154815</xdr:rowOff>
    </xdr:to>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a:stretch>
          <a:fillRect/>
        </a:stretch>
      </xdr:blipFill>
      <xdr:spPr>
        <a:xfrm>
          <a:off x="6135305" y="4890710"/>
          <a:ext cx="323702" cy="407605"/>
        </a:xfrm>
        <a:prstGeom prst="rect">
          <a:avLst/>
        </a:prstGeom>
      </xdr:spPr>
    </xdr:pic>
    <xdr:clientData/>
  </xdr:twoCellAnchor>
  <xdr:twoCellAnchor editAs="oneCell">
    <xdr:from>
      <xdr:col>8</xdr:col>
      <xdr:colOff>11627</xdr:colOff>
      <xdr:row>19</xdr:row>
      <xdr:rowOff>148673</xdr:rowOff>
    </xdr:from>
    <xdr:to>
      <xdr:col>8</xdr:col>
      <xdr:colOff>407993</xdr:colOff>
      <xdr:row>22</xdr:row>
      <xdr:rowOff>69279</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6107627" y="3768173"/>
          <a:ext cx="399541" cy="495281"/>
        </a:xfrm>
        <a:prstGeom prst="rect">
          <a:avLst/>
        </a:prstGeom>
      </xdr:spPr>
    </xdr:pic>
    <xdr:clientData/>
  </xdr:twoCellAnchor>
  <xdr:twoCellAnchor editAs="oneCell">
    <xdr:from>
      <xdr:col>8</xdr:col>
      <xdr:colOff>2240</xdr:colOff>
      <xdr:row>29</xdr:row>
      <xdr:rowOff>4780</xdr:rowOff>
    </xdr:from>
    <xdr:to>
      <xdr:col>8</xdr:col>
      <xdr:colOff>440935</xdr:colOff>
      <xdr:row>31</xdr:row>
      <xdr:rowOff>114684</xdr:rowOff>
    </xdr:to>
    <xdr:pic>
      <xdr:nvPicPr>
        <xdr:cNvPr id="8" name="chart">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6"/>
        <a:stretch>
          <a:fillRect/>
        </a:stretch>
      </xdr:blipFill>
      <xdr:spPr>
        <a:xfrm>
          <a:off x="6098240" y="5529280"/>
          <a:ext cx="438695" cy="490904"/>
        </a:xfrm>
        <a:prstGeom prst="rect">
          <a:avLst/>
        </a:prstGeom>
      </xdr:spPr>
    </xdr:pic>
    <xdr:clientData/>
  </xdr:twoCellAnchor>
  <xdr:twoCellAnchor>
    <xdr:from>
      <xdr:col>8</xdr:col>
      <xdr:colOff>420442</xdr:colOff>
      <xdr:row>16</xdr:row>
      <xdr:rowOff>33131</xdr:rowOff>
    </xdr:from>
    <xdr:to>
      <xdr:col>11</xdr:col>
      <xdr:colOff>0</xdr:colOff>
      <xdr:row>33</xdr:row>
      <xdr:rowOff>0</xdr:rowOff>
    </xdr:to>
    <xdr:sp macro="" textlink="">
      <xdr:nvSpPr>
        <xdr:cNvPr id="9" name="ZoneTexte 8">
          <a:extLst>
            <a:ext uri="{FF2B5EF4-FFF2-40B4-BE49-F238E27FC236}">
              <a16:creationId xmlns:a16="http://schemas.microsoft.com/office/drawing/2014/main" id="{00000000-0008-0000-0900-000009000000}"/>
            </a:ext>
          </a:extLst>
        </xdr:cNvPr>
        <xdr:cNvSpPr txBox="1"/>
      </xdr:nvSpPr>
      <xdr:spPr>
        <a:xfrm>
          <a:off x="6516442" y="3081131"/>
          <a:ext cx="1865558" cy="3205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a:t>Feuille grise : </a:t>
          </a:r>
          <a:r>
            <a:rPr lang="fr-FR" sz="1050"/>
            <a:t>Le niveau de consommation énergétique est en augmentation</a:t>
          </a:r>
        </a:p>
        <a:p>
          <a:r>
            <a:rPr lang="fr-FR" sz="1050" b="1"/>
            <a:t>Feuille Orange : </a:t>
          </a:r>
          <a:r>
            <a:rPr lang="fr-FR" sz="1050"/>
            <a:t>Le niveau de consommation énergétique est en diminution mais au-dessus des objectifs annuels</a:t>
          </a:r>
        </a:p>
        <a:p>
          <a:r>
            <a:rPr lang="fr-FR" sz="1050" b="1"/>
            <a:t>1 Feuille verte : </a:t>
          </a:r>
          <a:r>
            <a:rPr lang="fr-FR" sz="1050"/>
            <a:t>Le niveau de consommation énergétique est en diminution dans le fuseau  +/- 10%</a:t>
          </a:r>
        </a:p>
        <a:p>
          <a:r>
            <a:rPr lang="fr-FR" sz="1050" b="1"/>
            <a:t>2 Feuilles vertes : </a:t>
          </a:r>
          <a:r>
            <a:rPr lang="fr-FR" sz="1050"/>
            <a:t>Le niveau de consommation énergétique est en diminution et en-dessous du fuseau +/- 10%</a:t>
          </a:r>
        </a:p>
        <a:p>
          <a:r>
            <a:rPr lang="fr-FR" sz="1050" b="1"/>
            <a:t>3 Feuilles vertes : </a:t>
          </a:r>
          <a:r>
            <a:rPr lang="fr-FR" sz="1050"/>
            <a:t>Le niveau de consommation énergétique annuelle est en dessous de l'objectif relatif 2030</a:t>
          </a:r>
        </a:p>
      </xdr:txBody>
    </xdr:sp>
    <xdr:clientData/>
  </xdr:twoCellAnchor>
  <xdr:twoCellAnchor>
    <xdr:from>
      <xdr:col>7</xdr:col>
      <xdr:colOff>753716</xdr:colOff>
      <xdr:row>8</xdr:row>
      <xdr:rowOff>16565</xdr:rowOff>
    </xdr:from>
    <xdr:to>
      <xdr:col>10</xdr:col>
      <xdr:colOff>761999</xdr:colOff>
      <xdr:row>12</xdr:row>
      <xdr:rowOff>8282</xdr:rowOff>
    </xdr:to>
    <xdr:grpSp>
      <xdr:nvGrpSpPr>
        <xdr:cNvPr id="11" name="Groupe 10">
          <a:extLst>
            <a:ext uri="{FF2B5EF4-FFF2-40B4-BE49-F238E27FC236}">
              <a16:creationId xmlns:a16="http://schemas.microsoft.com/office/drawing/2014/main" id="{00000000-0008-0000-0900-00000B000000}"/>
            </a:ext>
          </a:extLst>
        </xdr:cNvPr>
        <xdr:cNvGrpSpPr/>
      </xdr:nvGrpSpPr>
      <xdr:grpSpPr>
        <a:xfrm>
          <a:off x="6374432" y="1474304"/>
          <a:ext cx="2421697" cy="723762"/>
          <a:chOff x="9410594" y="295275"/>
          <a:chExt cx="2648055" cy="753717"/>
        </a:xfrm>
      </xdr:grpSpPr>
      <xdr:sp macro="" textlink="">
        <xdr:nvSpPr>
          <xdr:cNvPr id="12" name="Rectangle à coins arrondis 11">
            <a:extLst>
              <a:ext uri="{FF2B5EF4-FFF2-40B4-BE49-F238E27FC236}">
                <a16:creationId xmlns:a16="http://schemas.microsoft.com/office/drawing/2014/main" id="{00000000-0008-0000-0900-00000C000000}"/>
              </a:ext>
            </a:extLst>
          </xdr:cNvPr>
          <xdr:cNvSpPr/>
        </xdr:nvSpPr>
        <xdr:spPr>
          <a:xfrm>
            <a:off x="9439275" y="295275"/>
            <a:ext cx="2562226"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13" name="ZoneTexte 12">
            <a:extLst>
              <a:ext uri="{FF2B5EF4-FFF2-40B4-BE49-F238E27FC236}">
                <a16:creationId xmlns:a16="http://schemas.microsoft.com/office/drawing/2014/main" id="{00000000-0008-0000-0900-00000D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Valeur </a:t>
            </a:r>
            <a:r>
              <a:rPr lang="fr-FR" sz="1100" b="1" baseline="0"/>
              <a:t>de référence *</a:t>
            </a:r>
            <a:endParaRPr lang="fr-FR" sz="1100" b="1"/>
          </a:p>
        </xdr:txBody>
      </xdr:sp>
      <xdr:sp macro="" textlink="'CALCUL DEET'!R8">
        <xdr:nvSpPr>
          <xdr:cNvPr id="14" name="ZoneTexte 13">
            <a:extLst>
              <a:ext uri="{FF2B5EF4-FFF2-40B4-BE49-F238E27FC236}">
                <a16:creationId xmlns:a16="http://schemas.microsoft.com/office/drawing/2014/main" id="{00000000-0008-0000-0900-00000E000000}"/>
              </a:ext>
            </a:extLst>
          </xdr:cNvPr>
          <xdr:cNvSpPr txBox="1"/>
        </xdr:nvSpPr>
        <xdr:spPr>
          <a:xfrm>
            <a:off x="9410594" y="428210"/>
            <a:ext cx="264805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4982C15-93DB-41F5-A7E8-AB9D17F6B8CA}" type="TxLink">
              <a:rPr lang="en-US" sz="1400" b="0" i="0" u="none" strike="noStrike">
                <a:solidFill>
                  <a:srgbClr val="000000"/>
                </a:solidFill>
                <a:latin typeface="Calibri"/>
                <a:cs typeface="Calibri"/>
              </a:rPr>
              <a:pPr algn="ctr"/>
              <a:t>0,0 kWh [EF PCI]/m².an</a:t>
            </a:fld>
            <a:endParaRPr lang="fr-FR" sz="1400" b="1"/>
          </a:p>
        </xdr:txBody>
      </xdr:sp>
    </xdr:grpSp>
    <xdr:clientData/>
  </xdr:twoCellAnchor>
  <xdr:twoCellAnchor>
    <xdr:from>
      <xdr:col>8</xdr:col>
      <xdr:colOff>49694</xdr:colOff>
      <xdr:row>3</xdr:row>
      <xdr:rowOff>128795</xdr:rowOff>
    </xdr:from>
    <xdr:to>
      <xdr:col>10</xdr:col>
      <xdr:colOff>704020</xdr:colOff>
      <xdr:row>7</xdr:row>
      <xdr:rowOff>120512</xdr:rowOff>
    </xdr:to>
    <xdr:grpSp>
      <xdr:nvGrpSpPr>
        <xdr:cNvPr id="15" name="Groupe 14">
          <a:extLst>
            <a:ext uri="{FF2B5EF4-FFF2-40B4-BE49-F238E27FC236}">
              <a16:creationId xmlns:a16="http://schemas.microsoft.com/office/drawing/2014/main" id="{00000000-0008-0000-0900-00000F000000}"/>
            </a:ext>
          </a:extLst>
        </xdr:cNvPr>
        <xdr:cNvGrpSpPr/>
      </xdr:nvGrpSpPr>
      <xdr:grpSpPr>
        <a:xfrm>
          <a:off x="6473823" y="672272"/>
          <a:ext cx="2264327" cy="726937"/>
          <a:chOff x="9434831" y="295275"/>
          <a:chExt cx="2623818" cy="753717"/>
        </a:xfrm>
      </xdr:grpSpPr>
      <xdr:sp macro="" textlink="">
        <xdr:nvSpPr>
          <xdr:cNvPr id="16" name="Rectangle à coins arrondis 15">
            <a:extLst>
              <a:ext uri="{FF2B5EF4-FFF2-40B4-BE49-F238E27FC236}">
                <a16:creationId xmlns:a16="http://schemas.microsoft.com/office/drawing/2014/main" id="{00000000-0008-0000-0900-000010000000}"/>
              </a:ext>
            </a:extLst>
          </xdr:cNvPr>
          <xdr:cNvSpPr/>
        </xdr:nvSpPr>
        <xdr:spPr>
          <a:xfrm>
            <a:off x="9439275" y="295275"/>
            <a:ext cx="2562226"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17" name="ZoneTexte 16">
            <a:extLst>
              <a:ext uri="{FF2B5EF4-FFF2-40B4-BE49-F238E27FC236}">
                <a16:creationId xmlns:a16="http://schemas.microsoft.com/office/drawing/2014/main" id="{00000000-0008-0000-0900-000011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Valeur</a:t>
            </a:r>
            <a:r>
              <a:rPr lang="fr-FR" sz="1100" b="1" baseline="0"/>
              <a:t> pour l'année déclarée *</a:t>
            </a:r>
            <a:endParaRPr lang="fr-FR" sz="1100" b="1"/>
          </a:p>
        </xdr:txBody>
      </xdr:sp>
      <xdr:sp macro="" textlink="'CALCUL DEET'!R20">
        <xdr:nvSpPr>
          <xdr:cNvPr id="18" name="ZoneTexte 17">
            <a:extLst>
              <a:ext uri="{FF2B5EF4-FFF2-40B4-BE49-F238E27FC236}">
                <a16:creationId xmlns:a16="http://schemas.microsoft.com/office/drawing/2014/main" id="{00000000-0008-0000-0900-000012000000}"/>
              </a:ext>
            </a:extLst>
          </xdr:cNvPr>
          <xdr:cNvSpPr txBox="1"/>
        </xdr:nvSpPr>
        <xdr:spPr>
          <a:xfrm>
            <a:off x="9434831" y="428210"/>
            <a:ext cx="2623818"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43DB62-2E9A-4BC9-A233-128689AEF61E}" type="TxLink">
              <a:rPr lang="en-US" sz="1400" b="0" i="0" u="none" strike="noStrike">
                <a:solidFill>
                  <a:srgbClr val="000000"/>
                </a:solidFill>
                <a:latin typeface="Calibri"/>
                <a:cs typeface="Calibri"/>
              </a:rPr>
              <a:pPr algn="ctr"/>
              <a:t>#DIV/0!</a:t>
            </a:fld>
            <a:endParaRPr lang="fr-FR" sz="1400" b="1"/>
          </a:p>
        </xdr:txBody>
      </xdr:sp>
    </xdr:grpSp>
    <xdr:clientData/>
  </xdr:twoCellAnchor>
  <xdr:twoCellAnchor>
    <xdr:from>
      <xdr:col>8</xdr:col>
      <xdr:colOff>454713</xdr:colOff>
      <xdr:row>12</xdr:row>
      <xdr:rowOff>70812</xdr:rowOff>
    </xdr:from>
    <xdr:to>
      <xdr:col>10</xdr:col>
      <xdr:colOff>552449</xdr:colOff>
      <xdr:row>16</xdr:row>
      <xdr:rowOff>62529</xdr:rowOff>
    </xdr:to>
    <xdr:grpSp>
      <xdr:nvGrpSpPr>
        <xdr:cNvPr id="19" name="Groupe 18">
          <a:extLst>
            <a:ext uri="{FF2B5EF4-FFF2-40B4-BE49-F238E27FC236}">
              <a16:creationId xmlns:a16="http://schemas.microsoft.com/office/drawing/2014/main" id="{00000000-0008-0000-0900-000013000000}"/>
            </a:ext>
          </a:extLst>
        </xdr:cNvPr>
        <xdr:cNvGrpSpPr/>
      </xdr:nvGrpSpPr>
      <xdr:grpSpPr>
        <a:xfrm>
          <a:off x="6882017" y="2254246"/>
          <a:ext cx="1704562" cy="726936"/>
          <a:chOff x="9439275" y="295275"/>
          <a:chExt cx="3104559" cy="753717"/>
        </a:xfrm>
      </xdr:grpSpPr>
      <xdr:sp macro="" textlink="">
        <xdr:nvSpPr>
          <xdr:cNvPr id="20" name="Rectangle à coins arrondis 19">
            <a:extLst>
              <a:ext uri="{FF2B5EF4-FFF2-40B4-BE49-F238E27FC236}">
                <a16:creationId xmlns:a16="http://schemas.microsoft.com/office/drawing/2014/main" id="{00000000-0008-0000-0900-000014000000}"/>
              </a:ext>
            </a:extLst>
          </xdr:cNvPr>
          <xdr:cNvSpPr/>
        </xdr:nvSpPr>
        <xdr:spPr>
          <a:xfrm>
            <a:off x="9439275" y="295275"/>
            <a:ext cx="3104559"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1" name="ZoneTexte 20">
            <a:extLst>
              <a:ext uri="{FF2B5EF4-FFF2-40B4-BE49-F238E27FC236}">
                <a16:creationId xmlns:a16="http://schemas.microsoft.com/office/drawing/2014/main" id="{00000000-0008-0000-0900-000015000000}"/>
              </a:ext>
            </a:extLst>
          </xdr:cNvPr>
          <xdr:cNvSpPr txBox="1"/>
        </xdr:nvSpPr>
        <xdr:spPr>
          <a:xfrm>
            <a:off x="9534522" y="304800"/>
            <a:ext cx="3009312"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Variation vs Ref **</a:t>
            </a:r>
          </a:p>
        </xdr:txBody>
      </xdr:sp>
      <xdr:sp macro="" textlink="'CALCUL DEET'!R21">
        <xdr:nvSpPr>
          <xdr:cNvPr id="22" name="ZoneTexte 21">
            <a:extLst>
              <a:ext uri="{FF2B5EF4-FFF2-40B4-BE49-F238E27FC236}">
                <a16:creationId xmlns:a16="http://schemas.microsoft.com/office/drawing/2014/main" id="{00000000-0008-0000-0900-000016000000}"/>
              </a:ext>
            </a:extLst>
          </xdr:cNvPr>
          <xdr:cNvSpPr txBox="1"/>
        </xdr:nvSpPr>
        <xdr:spPr>
          <a:xfrm>
            <a:off x="9855572" y="428210"/>
            <a:ext cx="1971574"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CEAF35-E612-457E-8061-3B6736EED27C}" type="TxLink">
              <a:rPr lang="en-US" sz="1800" b="0" i="0" u="none" strike="noStrike">
                <a:solidFill>
                  <a:srgbClr val="000000"/>
                </a:solidFill>
                <a:latin typeface="Calibri"/>
                <a:cs typeface="Calibri"/>
              </a:rPr>
              <a:pPr algn="ctr"/>
              <a:t>#DIV/0!</a:t>
            </a:fld>
            <a:endParaRPr lang="fr-FR" sz="1800" b="1"/>
          </a:p>
        </xdr:txBody>
      </xdr:sp>
    </xdr:grpSp>
    <xdr:clientData/>
  </xdr:twoCellAnchor>
  <xdr:twoCellAnchor>
    <xdr:from>
      <xdr:col>0</xdr:col>
      <xdr:colOff>33130</xdr:colOff>
      <xdr:row>32</xdr:row>
      <xdr:rowOff>16565</xdr:rowOff>
    </xdr:from>
    <xdr:to>
      <xdr:col>8</xdr:col>
      <xdr:colOff>265043</xdr:colOff>
      <xdr:row>33</xdr:row>
      <xdr:rowOff>0</xdr:rowOff>
    </xdr:to>
    <xdr:sp macro="" textlink="">
      <xdr:nvSpPr>
        <xdr:cNvPr id="28" name="ZoneTexte 27">
          <a:extLst>
            <a:ext uri="{FF2B5EF4-FFF2-40B4-BE49-F238E27FC236}">
              <a16:creationId xmlns:a16="http://schemas.microsoft.com/office/drawing/2014/main" id="{00000000-0008-0000-0900-00001C000000}"/>
            </a:ext>
          </a:extLst>
        </xdr:cNvPr>
        <xdr:cNvSpPr txBox="1"/>
      </xdr:nvSpPr>
      <xdr:spPr>
        <a:xfrm>
          <a:off x="33130" y="6112565"/>
          <a:ext cx="6327913" cy="173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 Le calcul prend en compte la méthode d'ajustement d'ajustement climatique                                       ** Valeur informative,</a:t>
          </a:r>
          <a:r>
            <a:rPr lang="fr-FR" sz="800" baseline="0"/>
            <a:t> non contractuelle</a:t>
          </a:r>
          <a:endParaRPr lang="fr-FR" sz="800"/>
        </a:p>
      </xdr:txBody>
    </xdr:sp>
    <xdr:clientData/>
  </xdr:twoCellAnchor>
  <xdr:twoCellAnchor>
    <xdr:from>
      <xdr:col>0</xdr:col>
      <xdr:colOff>16565</xdr:colOff>
      <xdr:row>0</xdr:row>
      <xdr:rowOff>16566</xdr:rowOff>
    </xdr:from>
    <xdr:to>
      <xdr:col>6</xdr:col>
      <xdr:colOff>33130</xdr:colOff>
      <xdr:row>1</xdr:row>
      <xdr:rowOff>82508</xdr:rowOff>
    </xdr:to>
    <xdr:sp macro="" textlink="">
      <xdr:nvSpPr>
        <xdr:cNvPr id="32" name="ZoneTexte 31">
          <a:extLst>
            <a:ext uri="{FF2B5EF4-FFF2-40B4-BE49-F238E27FC236}">
              <a16:creationId xmlns:a16="http://schemas.microsoft.com/office/drawing/2014/main" id="{00000000-0008-0000-0900-000020000000}"/>
            </a:ext>
          </a:extLst>
        </xdr:cNvPr>
        <xdr:cNvSpPr txBox="1"/>
      </xdr:nvSpPr>
      <xdr:spPr>
        <a:xfrm>
          <a:off x="16565" y="16566"/>
          <a:ext cx="4588565"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 des objectifs</a:t>
          </a:r>
          <a:r>
            <a:rPr lang="fr-FR" sz="1600" b="1" baseline="0"/>
            <a:t> du Dispositif Eco Energie Tertiaire</a:t>
          </a:r>
          <a:endParaRPr lang="fr-FR" sz="1600" b="1"/>
        </a:p>
      </xdr:txBody>
    </xdr:sp>
    <xdr:clientData/>
  </xdr:twoCellAnchor>
  <xdr:twoCellAnchor editAs="oneCell">
    <xdr:from>
      <xdr:col>5</xdr:col>
      <xdr:colOff>753718</xdr:colOff>
      <xdr:row>0</xdr:row>
      <xdr:rowOff>11205</xdr:rowOff>
    </xdr:from>
    <xdr:to>
      <xdr:col>8</xdr:col>
      <xdr:colOff>745435</xdr:colOff>
      <xdr:row>1</xdr:row>
      <xdr:rowOff>159321</xdr:rowOff>
    </xdr:to>
    <xdr:pic>
      <xdr:nvPicPr>
        <xdr:cNvPr id="29" name="Image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4563718" y="11205"/>
          <a:ext cx="2277717" cy="335441"/>
        </a:xfrm>
        <a:prstGeom prst="rect">
          <a:avLst/>
        </a:prstGeom>
      </xdr:spPr>
    </xdr:pic>
    <xdr:clientData/>
  </xdr:twoCellAnchor>
  <xdr:twoCellAnchor editAs="oneCell">
    <xdr:from>
      <xdr:col>9</xdr:col>
      <xdr:colOff>32607</xdr:colOff>
      <xdr:row>0</xdr:row>
      <xdr:rowOff>0</xdr:rowOff>
    </xdr:from>
    <xdr:to>
      <xdr:col>11</xdr:col>
      <xdr:colOff>0</xdr:colOff>
      <xdr:row>3</xdr:row>
      <xdr:rowOff>142501</xdr:rowOff>
    </xdr:to>
    <xdr:pic>
      <xdr:nvPicPr>
        <xdr:cNvPr id="33" name="Image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90607" y="0"/>
          <a:ext cx="1491393" cy="717176"/>
        </a:xfrm>
        <a:prstGeom prst="rect">
          <a:avLst/>
        </a:prstGeom>
      </xdr:spPr>
    </xdr:pic>
    <xdr:clientData/>
  </xdr:twoCellAnchor>
  <xdr:twoCellAnchor>
    <xdr:from>
      <xdr:col>0</xdr:col>
      <xdr:colOff>107673</xdr:colOff>
      <xdr:row>21</xdr:row>
      <xdr:rowOff>99392</xdr:rowOff>
    </xdr:from>
    <xdr:to>
      <xdr:col>7</xdr:col>
      <xdr:colOff>596348</xdr:colOff>
      <xdr:row>31</xdr:row>
      <xdr:rowOff>182217</xdr:rowOff>
    </xdr:to>
    <xdr:graphicFrame macro="">
      <xdr:nvGraphicFramePr>
        <xdr:cNvPr id="35" name="Graphique 34">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16566</xdr:rowOff>
    </xdr:from>
    <xdr:to>
      <xdr:col>4</xdr:col>
      <xdr:colOff>190500</xdr:colOff>
      <xdr:row>1</xdr:row>
      <xdr:rowOff>82508</xdr:rowOff>
    </xdr:to>
    <xdr:sp macro="" textlink="">
      <xdr:nvSpPr>
        <xdr:cNvPr id="26" name="ZoneTexte 25">
          <a:extLst>
            <a:ext uri="{FF2B5EF4-FFF2-40B4-BE49-F238E27FC236}">
              <a16:creationId xmlns:a16="http://schemas.microsoft.com/office/drawing/2014/main" id="{00000000-0008-0000-0C00-00001A000000}"/>
            </a:ext>
          </a:extLst>
        </xdr:cNvPr>
        <xdr:cNvSpPr txBox="1"/>
      </xdr:nvSpPr>
      <xdr:spPr>
        <a:xfrm>
          <a:off x="0" y="16566"/>
          <a:ext cx="4588565"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Données à déclarer sur OPERAT</a:t>
          </a:r>
        </a:p>
      </xdr:txBody>
    </xdr:sp>
    <xdr:clientData/>
  </xdr:twoCellAnchor>
  <xdr:twoCellAnchor editAs="oneCell">
    <xdr:from>
      <xdr:col>4</xdr:col>
      <xdr:colOff>33126</xdr:colOff>
      <xdr:row>0</xdr:row>
      <xdr:rowOff>11205</xdr:rowOff>
    </xdr:from>
    <xdr:to>
      <xdr:col>7</xdr:col>
      <xdr:colOff>31193</xdr:colOff>
      <xdr:row>3</xdr:row>
      <xdr:rowOff>144941</xdr:rowOff>
    </xdr:to>
    <xdr:pic>
      <xdr:nvPicPr>
        <xdr:cNvPr id="27" name="Image 2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431191" y="11205"/>
          <a:ext cx="2277717" cy="335441"/>
        </a:xfrm>
        <a:prstGeom prst="rect">
          <a:avLst/>
        </a:prstGeom>
      </xdr:spPr>
    </xdr:pic>
    <xdr:clientData/>
  </xdr:twoCellAnchor>
  <xdr:twoCellAnchor editAs="oneCell">
    <xdr:from>
      <xdr:col>7</xdr:col>
      <xdr:colOff>24324</xdr:colOff>
      <xdr:row>0</xdr:row>
      <xdr:rowOff>0</xdr:rowOff>
    </xdr:from>
    <xdr:to>
      <xdr:col>8</xdr:col>
      <xdr:colOff>753717</xdr:colOff>
      <xdr:row>5</xdr:row>
      <xdr:rowOff>145676</xdr:rowOff>
    </xdr:to>
    <xdr:pic>
      <xdr:nvPicPr>
        <xdr:cNvPr id="28" name="Image 27">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8389" y="0"/>
          <a:ext cx="1491393" cy="717176"/>
        </a:xfrm>
        <a:prstGeom prst="rect">
          <a:avLst/>
        </a:prstGeom>
      </xdr:spPr>
    </xdr:pic>
    <xdr:clientData/>
  </xdr:twoCellAnchor>
  <xdr:twoCellAnchor editAs="oneCell">
    <xdr:from>
      <xdr:col>6</xdr:col>
      <xdr:colOff>276225</xdr:colOff>
      <xdr:row>6</xdr:row>
      <xdr:rowOff>114300</xdr:rowOff>
    </xdr:from>
    <xdr:to>
      <xdr:col>8</xdr:col>
      <xdr:colOff>463550</xdr:colOff>
      <xdr:row>23</xdr:row>
      <xdr:rowOff>0</xdr:rowOff>
    </xdr:to>
    <mc:AlternateContent xmlns:mc="http://schemas.openxmlformats.org/markup-compatibility/2006" xmlns:a14="http://schemas.microsoft.com/office/drawing/2010/main">
      <mc:Choice Requires="a14">
        <xdr:graphicFrame macro="">
          <xdr:nvGraphicFramePr>
            <xdr:cNvPr id="2" name="Dates (année)">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microsoft.com/office/drawing/2010/slicer">
              <sle:slicer xmlns:sle="http://schemas.microsoft.com/office/drawing/2010/slicer" name="Dates (année)"/>
            </a:graphicData>
          </a:graphic>
        </xdr:graphicFrame>
      </mc:Choice>
      <mc:Fallback xmlns="">
        <xdr:sp macro="" textlink="">
          <xdr:nvSpPr>
            <xdr:cNvPr id="0" name=""/>
            <xdr:cNvSpPr>
              <a:spLocks noTextEdit="1"/>
            </xdr:cNvSpPr>
          </xdr:nvSpPr>
          <xdr:spPr>
            <a:xfrm>
              <a:off x="5753100" y="838200"/>
              <a:ext cx="1828800" cy="325755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Fabien ROUAULT" id="{60167206-CCD6-4093-AFD2-6704D86DD72F}" userId="S::f.rouault@fondation-sjd.fr::7585273b-4853-4e10-be7c-dfbdd39ff5fd" providerId="AD"/>
</personList>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FAVERAIS Laurent" refreshedDate="46072.418339236108" backgroundQuery="1" createdVersion="3" refreshedVersion="7" minRefreshableVersion="3" recordCount="0" tupleCache="1" xr:uid="{250544DD-62B7-4274-BE2F-05B6481C07EE}">
  <cacheSource type="external" connectionId="10"/>
  <cacheFields count="1">
    <cacheField name="[Tab_concat].[Nom].[Nom]" caption="Nom" numFmtId="0" hierarchy="12" level="1">
      <sharedItems count="2">
        <s v="[Tab_concat].[Nom].&amp;[Eau Générale (factures)]" c="Eau Générale (factures)"/>
        <s v="[Tab_concat].[Nom].&amp;[Elec Générale (Factures)]" c="Elec Générale (Factures)"/>
      </sharedItems>
    </cacheField>
  </cacheFields>
  <cacheHierarchies count="47">
    <cacheHierarchy uniqueName="[Measures]" caption="Measures" attribute="1" keyAttribute="1" defaultMemberUniqueName="[Measures].[__Aucune mesure définie]" dimensionUniqueName="[Measures]" displayFolder="" measures="1" count="1" memberValueDatatype="130" unbalanced="0"/>
    <cacheHierarchy uniqueName="[Tab_concat].[Compteur]" caption="Compteur" attribute="1" defaultMemberUniqueName="[Tab_concat].[Compteur].[All]" allUniqueName="[Tab_concat].[Compteur].[All]" dimensionUniqueName="[Tab_concat]" displayFolder="" count="2" memberValueDatatype="130" unbalanced="0"/>
    <cacheHierarchy uniqueName="[Tab_concat].[Dates]" caption="Dates" attribute="1" time="1" defaultMemberUniqueName="[Tab_concat].[Dates].[All]" allUniqueName="[Tab_concat].[Dates].[All]" dimensionUniqueName="[Tab_concat]" displayFolder="" count="2" memberValueDatatype="7" unbalanced="0"/>
    <cacheHierarchy uniqueName="[Tab_concat].[Demande_jour]" caption="Demande_jour" attribute="1" defaultMemberUniqueName="[Tab_concat].[Demande_jour].[All]" allUniqueName="[Tab_concat].[Demande_jour].[All]" dimensionUniqueName="[Tab_concat]" displayFolder="" count="2" memberValueDatatype="5" unbalanced="0"/>
    <cacheHierarchy uniqueName="[Tab_concat].[Cout_jour]" caption="Cout_jour" attribute="1" defaultMemberUniqueName="[Tab_concat].[Cout_jour].[All]" allUniqueName="[Tab_concat].[Cout_jour].[All]" dimensionUniqueName="[Tab_concat]" displayFolder="" count="2" memberValueDatatype="5" unbalanced="0"/>
    <cacheHierarchy uniqueName="[Tab_concat].[DJU_chauffagiste]" caption="DJU_chauffagiste" attribute="1" defaultMemberUniqueName="[Tab_concat].[DJU_chauffagiste].[All]" allUniqueName="[Tab_concat].[DJU_chauffagiste].[All]" dimensionUniqueName="[Tab_concat]" displayFolder="" count="2" memberValueDatatype="20" unbalanced="0"/>
    <cacheHierarchy uniqueName="[Tab_concat].[DJU_climaticien]" caption="DJU_climaticien" attribute="1" defaultMemberUniqueName="[Tab_concat].[DJU_climaticien].[All]" allUniqueName="[Tab_concat].[DJU_climaticien].[All]" dimensionUniqueName="[Tab_concat]" displayFolder="" count="2" memberValueDatatype="20" unbalanced="0"/>
    <cacheHierarchy uniqueName="[Tab_concat].[Type]" caption="Type" attribute="1" defaultMemberUniqueName="[Tab_concat].[Type].[All]" allUniqueName="[Tab_concat].[Type].[All]" dimensionUniqueName="[Tab_concat]" displayFolder="" count="2" memberValueDatatype="130" unbalanced="0"/>
    <cacheHierarchy uniqueName="[Tab_concat].[Source]" caption="Source" attribute="1" defaultMemberUniqueName="[Tab_concat].[Source].[All]" allUniqueName="[Tab_concat].[Source].[All]" dimensionUniqueName="[Tab_concat]" displayFolder="" count="2" memberValueDatatype="130" unbalanced="0"/>
    <cacheHierarchy uniqueName="[Tab_concat].[Combustible]" caption="Combustible" attribute="1" defaultMemberUniqueName="[Tab_concat].[Combustible].[All]" allUniqueName="[Tab_concat].[Combustible].[All]" dimensionUniqueName="[Tab_concat]" displayFolder="" count="2" memberValueDatatype="130" unbalanced="0"/>
    <cacheHierarchy uniqueName="[Tab_concat].[Conso_kWh_PCI]" caption="Conso_kWh_PCI" attribute="1" defaultMemberUniqueName="[Tab_concat].[Conso_kWh_PCI].[All]" allUniqueName="[Tab_concat].[Conso_kWh_PCI].[All]" dimensionUniqueName="[Tab_concat]" displayFolder="" count="2" memberValueDatatype="5" unbalanced="0"/>
    <cacheHierarchy uniqueName="[Tab_concat].[Conso_kWh_DEET]" caption="Conso_kWh_DEET" attribute="1" defaultMemberUniqueName="[Tab_concat].[Conso_kWh_DEET].[All]" allUniqueName="[Tab_concat].[Conso_kWh_DEET].[All]" dimensionUniqueName="[Tab_concat]" displayFolder="" count="2"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0"/>
      </fieldsUsage>
    </cacheHierarchy>
    <cacheHierarchy uniqueName="[Tab_concat].[Detail usage]" caption="Detail usage" attribute="1" defaultMemberUniqueName="[Tab_concat].[Detail usage].[All]" allUniqueName="[Tab_concat].[Detail usage].[All]" dimensionUniqueName="[Tab_concat]" displayFolder="" count="2" memberValueDatatype="130" unbalanced="0"/>
    <cacheHierarchy uniqueName="[Tab_concat].[Conso_kWhEP]" caption="Conso_kWhEP" attribute="1" defaultMemberUniqueName="[Tab_concat].[Conso_kWhEP].[All]" allUniqueName="[Tab_concat].[Conso_kWhEP].[All]" dimensionUniqueName="[Tab_concat]" displayFolder="" count="2" memberValueDatatype="5" unbalanced="0"/>
    <cacheHierarchy uniqueName="[Tab_concat].[Annee]" caption="Annee" attribute="1" defaultMemberUniqueName="[Tab_concat].[Annee].[All]" allUniqueName="[Tab_concat].[Annee].[All]" dimensionUniqueName="[Tab_concat]" displayFolder="" count="2" memberValueDatatype="20" unbalanced="0"/>
    <cacheHierarchy uniqueName="[Tab_concat].[Mois]" caption="Mois" attribute="1" defaultMemberUniqueName="[Tab_concat].[Mois].[All]" allUniqueName="[Tab_concat].[Mois].[All]" dimensionUniqueName="[Tab_concat]" displayFolder="" count="2" memberValueDatatype="20" unbalanced="0"/>
    <cacheHierarchy uniqueName="[Tab_concat].[Cout_unitaire]" caption="Cout_unitaire" attribute="1" defaultMemberUniqueName="[Tab_concat].[Cout_unitaire].[All]" allUniqueName="[Tab_concat].[Cout_unitaire].[All]" dimensionUniqueName="[Tab_concat]" displayFolder="" count="2"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cacheHierarchy uniqueName="[Tab_concat].[Dates (trimestre)]" caption="Dates (trimestre)" attribute="1" defaultMemberUniqueName="[Tab_concat].[Dates (trimestre)].[All]" allUniqueName="[Tab_concat].[Dates (trimestre)].[All]" dimensionUniqueName="[Tab_concat]" displayFolder="" count="2"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2"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2" memberValueDatatype="5" unbalanced="0"/>
    <cacheHierarchy uniqueName="[Tableau16].[Compteur/Livraison]" caption="Compteur/Livraison" attribute="1" defaultMemberUniqueName="[Tableau16].[Compteur/Livraison].[All]" allUniqueName="[Tableau16].[Compteur/Livraison].[All]" dimensionUniqueName="[Tableau16]" displayFolder="" count="2" memberValueDatatype="130" unbalanced="0"/>
    <cacheHierarchy uniqueName="[Tableau16].[Type]" caption="Type" attribute="1" defaultMemberUniqueName="[Tableau16].[Type].[All]" allUniqueName="[Tableau16].[Type].[All]" dimensionUniqueName="[Tableau16]" displayFolder="" count="2" memberValueDatatype="130" unbalanced="0"/>
    <cacheHierarchy uniqueName="[Tableau16].[Source]" caption="Source" attribute="1" defaultMemberUniqueName="[Tableau16].[Source].[All]" allUniqueName="[Tableau16].[Source].[All]" dimensionUniqueName="[Tableau16]" displayFolder="" count="2" memberValueDatatype="130" unbalanced="0"/>
    <cacheHierarchy uniqueName="[Tableau16].[Detail usage]" caption="Detail usage" attribute="1" defaultMemberUniqueName="[Tableau16].[Detail usage].[All]" allUniqueName="[Tableau16].[Detail usage].[All]" dimensionUniqueName="[Tableau16]" displayFolder="" count="2" memberValueDatatype="130" unbalanced="0"/>
    <cacheHierarchy uniqueName="[Tableau16].[Combustible]" caption="Combustible" attribute="1" defaultMemberUniqueName="[Tableau16].[Combustible].[All]" allUniqueName="[Tableau16].[Combustible].[All]" dimensionUniqueName="[Tableau16]" displayFolder="" count="2" memberValueDatatype="130" unbalanced="0"/>
    <cacheHierarchy uniqueName="[Tableau16].[PCI]" caption="PCI" attribute="1" defaultMemberUniqueName="[Tableau16].[PCI].[All]" allUniqueName="[Tableau16].[PCI].[All]" dimensionUniqueName="[Tableau16]" displayFolder="" count="2" memberValueDatatype="5" unbalanced="0"/>
    <cacheHierarchy uniqueName="[Tableau16].[PCI_DEET]" caption="PCI_DEET" attribute="1" defaultMemberUniqueName="[Tableau16].[PCI_DEET].[All]" allUniqueName="[Tableau16].[PCI_DEET].[All]" dimensionUniqueName="[Tableau16]" displayFolder="" count="2" memberValueDatatype="5" unbalanced="0"/>
    <cacheHierarchy uniqueName="[Tableau16].[Nom]" caption="Nom" attribute="1" defaultMemberUniqueName="[Tableau16].[Nom].[All]" allUniqueName="[Tableau16].[Nom].[All]" dimensionUniqueName="[Tableau16]" displayFolder="" count="2" memberValueDatatype="130" unbalanced="0"/>
    <cacheHierarchy uniqueName="[Tableau16].[PCI_EP]" caption="PCI_EP" attribute="1" defaultMemberUniqueName="[Tableau16].[PCI_EP].[All]" allUniqueName="[Tableau16].[PCI_EP].[All]" dimensionUniqueName="[Tableau16]" displayFolder="" count="2"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2"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10"/>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1"/>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4"/>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4"/>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3"/>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10"/>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1"/>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7"/>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1"/>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7"/>
        </ext>
      </extLst>
    </cacheHierarchy>
  </cacheHierarchies>
  <kpis count="0"/>
  <tupleCache>
    <sets count="2">
      <set count="1" maxRank="1" setDefinition="{[Tab_concat].[Nom].&amp;[Eau Générale (factures)]}">
        <tpls c="1">
          <tpl fld="0" item="0"/>
        </tpls>
      </set>
      <set count="1" maxRank="1" setDefinition="{[Tab_concat].[Nom].&amp;[Elec Générale (Factures)]}">
        <tpls c="1">
          <tpl fld="0" item="1"/>
        </tpls>
      </set>
    </se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52451851852" backgroundQuery="1" createdVersion="7" refreshedVersion="7" minRefreshableVersion="3" recordCount="0" supportSubquery="1" supportAdvancedDrill="1" xr:uid="{1A151777-536B-4AB9-A0F6-9716C2D5A1C1}">
  <cacheSource type="external" connectionId="10"/>
  <cacheFields count="5">
    <cacheField name="[Tab_concat].[Combustible].[Combustible]" caption="Combustible" numFmtId="0" hierarchy="8" level="1">
      <sharedItems count="3">
        <s v="Electricité (kWh)"/>
        <s v="Gaz naturel (kWh)"/>
        <s v="Eau (m3)" u="1"/>
      </sharedItems>
    </cacheField>
    <cacheField name="[Measures].[Somme de Conso_kWh_PCI]" caption="Somme de Conso_kWh_PCI" numFmtId="0" hierarchy="36" level="32767"/>
    <cacheField name="[Tab_concat].[Annee].[Annee]" caption="Annee" numFmtId="0" hierarchy="14" level="1">
      <sharedItems containsSemiMixedTypes="0" containsNonDate="0" containsString="0"/>
    </cacheField>
    <cacheField name="[Tab_concat].[Type].[Type]" caption="Type" numFmtId="0" hierarchy="6" level="1">
      <sharedItems containsSemiMixedTypes="0" containsNonDate="0" containsString="0"/>
    </cacheField>
    <cacheField name="[Tab_concat].[Source].[Source]" caption="Source" numFmtId="0" hierarchy="7" level="1">
      <sharedItems containsSemiMixedTypes="0" containsNonDate="0" containsString="0"/>
    </cacheField>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3"/>
      </fieldsUsage>
    </cacheHierarchy>
    <cacheHierarchy uniqueName="[Tab_concat].[Source]" caption="Source" attribute="1" defaultMemberUniqueName="[Tab_concat].[Source].[All]" allUniqueName="[Tab_concat].[Source].[All]" dimensionUniqueName="[Tab_concat]" displayFolder="" count="2" memberValueDatatype="130" unbalanced="0">
      <fieldsUsage count="2">
        <fieldUsage x="-1"/>
        <fieldUsage x="4"/>
      </fieldsUsage>
    </cacheHierarchy>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0"/>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2"/>
      </fieldsUsage>
    </cacheHierarchy>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oneField="1" hidden="1">
      <fieldsUsage count="1">
        <fieldUsage x="1"/>
      </fieldsUsage>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52452430553" backgroundQuery="1" createdVersion="7" refreshedVersion="7" minRefreshableVersion="3" recordCount="0" supportSubquery="1" supportAdvancedDrill="1" xr:uid="{0C31DAF8-3C47-4FD0-8BF5-EC8ED0D34D41}">
  <cacheSource type="external" connectionId="10"/>
  <cacheFields count="5">
    <cacheField name="[Tab_concat].[Combustible].[Combustible]" caption="Combustible" numFmtId="0" hierarchy="8" level="1">
      <sharedItems count="3">
        <s v="Eau (m3)"/>
        <s v="Electricité (kWh)"/>
        <s v="Gaz naturel (kWh)"/>
      </sharedItems>
    </cacheField>
    <cacheField name="[Tab_concat].[Annee].[Annee]" caption="Annee" numFmtId="0" hierarchy="14" level="1">
      <sharedItems containsSemiMixedTypes="0" containsNonDate="0" containsString="0"/>
    </cacheField>
    <cacheField name="[Tab_concat].[Type].[Type]" caption="Type" numFmtId="0" hierarchy="6" level="1">
      <sharedItems containsSemiMixedTypes="0" containsNonDate="0" containsString="0"/>
    </cacheField>
    <cacheField name="[Tab_concat].[Source].[Source]" caption="Source" numFmtId="0" hierarchy="7" level="1">
      <sharedItems containsSemiMixedTypes="0" containsNonDate="0" containsString="0"/>
    </cacheField>
    <cacheField name="[Measures].[Somme de Cout_jour]" caption="Somme de Cout_jour" numFmtId="0" hierarchy="38" level="32767"/>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2"/>
      </fieldsUsage>
    </cacheHierarchy>
    <cacheHierarchy uniqueName="[Tab_concat].[Source]" caption="Source" attribute="1" defaultMemberUniqueName="[Tab_concat].[Source].[All]" allUniqueName="[Tab_concat].[Source].[All]" dimensionUniqueName="[Tab_concat]" displayFolder="" count="2" memberValueDatatype="130" unbalanced="0">
      <fieldsUsage count="2">
        <fieldUsage x="-1"/>
        <fieldUsage x="3"/>
      </fieldsUsage>
    </cacheHierarchy>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0"/>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1"/>
      </fieldsUsage>
    </cacheHierarchy>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oneField="1" hidden="1">
      <fieldsUsage count="1">
        <fieldUsage x="4"/>
      </fieldsUsage>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52452893522" backgroundQuery="1" createdVersion="7" refreshedVersion="7" minRefreshableVersion="3" recordCount="0" supportSubquery="1" supportAdvancedDrill="1" xr:uid="{DEBCCAA4-0CFD-4FF4-84AA-B009A166F659}">
  <cacheSource type="external" connectionId="10"/>
  <cacheFields count="5">
    <cacheField name="[Tab_concat].[Combustible].[Combustible]" caption="Combustible" numFmtId="0" hierarchy="8" level="1">
      <sharedItems count="3">
        <s v="Eau (m3)"/>
        <s v="Electricité (kWh)"/>
        <s v="Gaz naturel (kWh)"/>
      </sharedItems>
    </cacheField>
    <cacheField name="[Tab_concat].[Annee].[Annee]" caption="Annee" numFmtId="0" hierarchy="14" level="1">
      <sharedItems containsSemiMixedTypes="0" containsNonDate="0" containsString="0"/>
    </cacheField>
    <cacheField name="[Tab_concat].[Type].[Type]" caption="Type" numFmtId="0" hierarchy="6" level="1">
      <sharedItems containsSemiMixedTypes="0" containsNonDate="0" containsString="0"/>
    </cacheField>
    <cacheField name="[Tab_concat].[Source].[Source]" caption="Source" numFmtId="0" hierarchy="7" level="1">
      <sharedItems containsSemiMixedTypes="0" containsNonDate="0" containsString="0"/>
    </cacheField>
    <cacheField name="[Measures].[Somme de Demande_jour]" caption="Somme de Demande_jour" numFmtId="0" hierarchy="40" level="32767"/>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2"/>
      </fieldsUsage>
    </cacheHierarchy>
    <cacheHierarchy uniqueName="[Tab_concat].[Source]" caption="Source" attribute="1" defaultMemberUniqueName="[Tab_concat].[Source].[All]" allUniqueName="[Tab_concat].[Source].[All]" dimensionUniqueName="[Tab_concat]" displayFolder="" count="2" memberValueDatatype="130" unbalanced="0">
      <fieldsUsage count="2">
        <fieldUsage x="-1"/>
        <fieldUsage x="3"/>
      </fieldsUsage>
    </cacheHierarchy>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0"/>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1"/>
      </fieldsUsage>
    </cacheHierarchy>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oneField="1" hidden="1">
      <fieldsUsage count="1">
        <fieldUsage x="4"/>
      </fieldsUsage>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52453240738" backgroundQuery="1" createdVersion="7" refreshedVersion="7" minRefreshableVersion="3" recordCount="0" supportSubquery="1" supportAdvancedDrill="1" xr:uid="{4D3E9501-382B-43CD-91C1-C0AA6930546A}">
  <cacheSource type="external" connectionId="10"/>
  <cacheFields count="7">
    <cacheField name="[Tab_concat].[Annee].[Annee]" caption="Annee" numFmtId="0" hierarchy="14" level="1">
      <sharedItems containsSemiMixedTypes="0" containsNonDate="0" containsString="0"/>
    </cacheField>
    <cacheField name="[Tab_concat].[Type].[Type]" caption="Type" numFmtId="0" hierarchy="6" level="1">
      <sharedItems containsSemiMixedTypes="0" containsNonDate="0" containsString="0"/>
    </cacheField>
    <cacheField name="[Tab_concat].[Source].[Source]" caption="Source" numFmtId="0" hierarchy="7" level="1">
      <sharedItems containsSemiMixedTypes="0" containsNonDate="0" containsString="0"/>
    </cacheField>
    <cacheField name="[Tab_concat].[Mois].[Mois]" caption="Mois" numFmtId="0" hierarchy="15" level="1">
      <sharedItems containsSemiMixedTypes="0" containsNonDate="0" containsString="0"/>
    </cacheField>
    <cacheField name="[Tab_concat].[Detail usage].[Detail usage]" caption="Detail usage" numFmtId="0" hierarchy="12" level="1">
      <sharedItems count="3">
        <s v="ECS, Chauffage et Cuisson"/>
        <s v="Elec_Général"/>
        <s v="General EF"/>
      </sharedItems>
    </cacheField>
    <cacheField name="[Measures].[Moyenne de Conso_kWh_PCI]" caption="Moyenne de Conso_kWh_PCI" numFmtId="0" hierarchy="41" level="32767"/>
    <cacheField name="[Tab_concat].[Nom].[Nom]" caption="Nom" numFmtId="0" hierarchy="11" level="1">
      <sharedItems containsSemiMixedTypes="0" containsNonDate="0" containsString="0"/>
    </cacheField>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1"/>
      </fieldsUsage>
    </cacheHierarchy>
    <cacheHierarchy uniqueName="[Tab_concat].[Source]" caption="Source" attribute="1" defaultMemberUniqueName="[Tab_concat].[Source].[All]" allUniqueName="[Tab_concat].[Source].[All]" dimensionUniqueName="[Tab_concat]" displayFolder="" count="2" memberValueDatatype="130" unbalanced="0">
      <fieldsUsage count="2">
        <fieldUsage x="-1"/>
        <fieldUsage x="2"/>
      </fieldsUsage>
    </cacheHierarchy>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6"/>
      </fieldsUsage>
    </cacheHierarchy>
    <cacheHierarchy uniqueName="[Tab_concat].[Detail usage]" caption="Detail usage" attribute="1" defaultMemberUniqueName="[Tab_concat].[Detail usage].[All]" allUniqueName="[Tab_concat].[Detail usage].[All]" dimensionUniqueName="[Tab_concat]" displayFolder="" count="2" memberValueDatatype="130" unbalanced="0">
      <fieldsUsage count="2">
        <fieldUsage x="-1"/>
        <fieldUsage x="4"/>
      </fieldsUsage>
    </cacheHierarchy>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0"/>
      </fieldsUsage>
    </cacheHierarchy>
    <cacheHierarchy uniqueName="[Tab_concat].[Mois]" caption="Mois" attribute="1" defaultMemberUniqueName="[Tab_concat].[Mois].[All]" allUniqueName="[Tab_concat].[Mois].[All]" dimensionUniqueName="[Tab_concat]" displayFolder="" count="2" memberValueDatatype="20" unbalanced="0">
      <fieldsUsage count="2">
        <fieldUsage x="-1"/>
        <fieldUsage x="3"/>
      </fieldsUsage>
    </cacheHierarchy>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oneField="1" hidden="1">
      <fieldsUsage count="1">
        <fieldUsage x="5"/>
      </fieldsUsage>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629410879628" backgroundQuery="1" createdVersion="7" refreshedVersion="7" minRefreshableVersion="3" recordCount="0" supportSubquery="1" supportAdvancedDrill="1" xr:uid="{126C516C-D435-44E8-9AFC-C658364759A4}">
  <cacheSource type="external" connectionId="10"/>
  <cacheFields count="5">
    <cacheField name="[Tab_concat].[Dates (année)].[Dates (année)]" caption="Dates (année)" numFmtId="0" hierarchy="17" level="1">
      <sharedItems containsSemiMixedTypes="0" containsNonDate="0" containsString="0"/>
    </cacheField>
    <cacheField name="[Measures].[Somme de Demande_jour]" caption="Somme de Demande_jour" numFmtId="0" hierarchy="40" level="32767"/>
    <cacheField name="[Tab_concat].[Combustible].[Combustible]" caption="Combustible" numFmtId="0" hierarchy="8" level="1">
      <sharedItems count="1">
        <s v="Réseau de chaleur (kWh)"/>
      </sharedItems>
    </cacheField>
    <cacheField name="[Tab_concat].[Type].[Type]" caption="Type" numFmtId="0" hierarchy="6" level="1">
      <sharedItems count="3">
        <s v="Consommation"/>
        <s v="Production"/>
        <s v="Sous_comptage"/>
      </sharedItems>
    </cacheField>
    <cacheField name="[Tab_concat].[Detail usage].[Detail usage]" caption="Detail usage" numFmtId="0" hierarchy="12" level="1">
      <sharedItems count="6">
        <s v="ECS, Chauffage et Cuisson"/>
        <s v="Elec_Général"/>
        <s v="General EF"/>
        <s v="ECS_solaire"/>
        <s v="Sous-comptage ECS"/>
        <s v="Sous-comptage EF"/>
      </sharedItems>
    </cacheField>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3"/>
      </fieldsUsage>
    </cacheHierarchy>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2"/>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2" memberValueDatatype="130" unbalanced="0">
      <fieldsUsage count="2">
        <fieldUsage x="-1"/>
        <fieldUsage x="4"/>
      </fieldsUsage>
    </cacheHierarchy>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0"/>
      </fieldsUsage>
    </cacheHierarchy>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oneField="1" hidden="1">
      <fieldsUsage count="1">
        <fieldUsage x="1"/>
      </fieldsUsage>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42013887" backgroundQuery="1" createdVersion="3" refreshedVersion="7" minRefreshableVersion="3" recordCount="0" supportSubquery="1" supportAdvancedDrill="1" xr:uid="{81E9F111-8DFF-4352-90D0-A1A90DE7EDD5}">
  <cacheSource type="external" connectionId="10">
    <extLst>
      <ext xmlns:x14="http://schemas.microsoft.com/office/spreadsheetml/2009/9/main" uri="{F057638F-6D5F-4e77-A914-E7F072B9BCA8}">
        <x14:sourceConnection name="ThisWorkbookDataModel"/>
      </ext>
    </extLst>
  </cacheSource>
  <cacheFields count="0"/>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slicerData="1" pivotCacheId="292682764"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45486112" backgroundQuery="1" createdVersion="3" refreshedVersion="7" minRefreshableVersion="3" recordCount="0" supportSubquery="1" supportAdvancedDrill="1" xr:uid="{88C51F93-1D16-4500-B7B4-61C8BAFC4197}">
  <cacheSource type="external" connectionId="10">
    <extLst>
      <ext xmlns:x14="http://schemas.microsoft.com/office/spreadsheetml/2009/9/main" uri="{F057638F-6D5F-4e77-A914-E7F072B9BCA8}">
        <x14:sourceConnection name="ThisWorkbookDataModel"/>
      </ext>
    </extLst>
  </cacheSource>
  <cacheFields count="0"/>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slicerData="1" pivotCacheId="1679345499"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48842592" backgroundQuery="1" createdVersion="3" refreshedVersion="7" minRefreshableVersion="3" recordCount="0" supportSubquery="1" supportAdvancedDrill="1" xr:uid="{2494862F-4D2A-4262-91E8-1597443A7E8C}">
  <cacheSource type="external" connectionId="10">
    <extLst>
      <ext xmlns:x14="http://schemas.microsoft.com/office/spreadsheetml/2009/9/main" uri="{F057638F-6D5F-4e77-A914-E7F072B9BCA8}">
        <x14:sourceConnection name="ThisWorkbookDataModel"/>
      </ext>
    </extLst>
  </cacheSource>
  <cacheFields count="0"/>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slicerData="1" pivotCacheId="379322284"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52199071" backgroundQuery="1" createdVersion="3" refreshedVersion="7" minRefreshableVersion="3" recordCount="0" supportSubquery="1" supportAdvancedDrill="1" xr:uid="{A31F0A17-E76C-4397-BDE9-94CCDFC6CCCE}">
  <cacheSource type="external" connectionId="10">
    <extLst>
      <ext xmlns:x14="http://schemas.microsoft.com/office/spreadsheetml/2009/9/main" uri="{F057638F-6D5F-4e77-A914-E7F072B9BCA8}">
        <x14:sourceConnection name="ThisWorkbookDataModel"/>
      </ext>
    </extLst>
  </cacheSource>
  <cacheFields count="0"/>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slicerData="1" pivotCacheId="294207118"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58449075" backgroundQuery="1" createdVersion="3" refreshedVersion="7" minRefreshableVersion="3" recordCount="0" supportSubquery="1" supportAdvancedDrill="1" xr:uid="{25FF025B-7135-4E28-B8E3-F1BAD0E4CDD5}">
  <cacheSource type="external" connectionId="10">
    <extLst>
      <ext xmlns:x14="http://schemas.microsoft.com/office/spreadsheetml/2009/9/main" uri="{F057638F-6D5F-4e77-A914-E7F072B9BCA8}">
        <x14:sourceConnection name="ThisWorkbookDataModel"/>
      </ext>
    </extLst>
  </cacheSource>
  <cacheFields count="0"/>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slicerData="1" pivotCacheId="2061950590"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41087963" backgroundQuery="1" createdVersion="7" refreshedVersion="7" minRefreshableVersion="3" recordCount="0" supportSubquery="1" supportAdvancedDrill="1" xr:uid="{ECFC8121-7439-48E3-AE00-23258774A1A9}">
  <cacheSource type="external" connectionId="10"/>
  <cacheFields count="7">
    <cacheField name="[Measures].[Somme de Conso_kWh_PCI]" caption="Somme de Conso_kWh_PCI" numFmtId="0" hierarchy="36" level="32767"/>
    <cacheField name="[Measures].[Somme de Conso_kWh_DEET]" caption="Somme de Conso_kWh_DEET" numFmtId="0" hierarchy="37" level="32767"/>
    <cacheField name="[Tab_concat].[Type].[Type]" caption="Type" numFmtId="0" hierarchy="6" level="1">
      <sharedItems count="3">
        <s v="Consommation"/>
        <s v="Production"/>
        <s v="Sous_comptage"/>
      </sharedItems>
    </cacheField>
    <cacheField name="[Tab_concat].[Detail usage].[Detail usage]" caption="Detail usage" numFmtId="0" hierarchy="12" level="1">
      <sharedItems count="6">
        <s v="ECS, Chauffage et Cuisson"/>
        <s v="Elec_Général"/>
        <s v="General EF"/>
        <s v="ECS_solaire"/>
        <s v="Sous-comptage ECS"/>
        <s v="Sous-comptage EF"/>
      </sharedItems>
    </cacheField>
    <cacheField name="[Tab_concat].[Annee].[Annee]" caption="Annee" numFmtId="0" hierarchy="14" level="1">
      <sharedItems containsSemiMixedTypes="0" containsString="0" containsNumber="1" containsInteger="1" minValue="2010" maxValue="2026" count="17">
        <n v="2010"/>
        <n v="2011"/>
        <n v="2012"/>
        <n v="2013"/>
        <n v="2014"/>
        <n v="2015"/>
        <n v="2016"/>
        <n v="2017"/>
        <n v="2018"/>
        <n v="2019"/>
        <n v="2020"/>
        <n v="2021"/>
        <n v="2022"/>
        <n v="2023"/>
        <n v="2024"/>
        <n v="2025"/>
        <n v="2026"/>
      </sharedItems>
      <extLst>
        <ext xmlns:x15="http://schemas.microsoft.com/office/spreadsheetml/2010/11/main" uri="{4F2E5C28-24EA-4eb8-9CBF-B6C8F9C3D259}">
          <x15:cachedUniqueNames>
            <x15:cachedUniqueName index="0" name="[Tab_concat].[Annee].&amp;[2010]"/>
            <x15:cachedUniqueName index="1" name="[Tab_concat].[Annee].&amp;[2011]"/>
            <x15:cachedUniqueName index="2" name="[Tab_concat].[Annee].&amp;[2012]"/>
            <x15:cachedUniqueName index="3" name="[Tab_concat].[Annee].&amp;[2013]"/>
            <x15:cachedUniqueName index="4" name="[Tab_concat].[Annee].&amp;[2014]"/>
            <x15:cachedUniqueName index="5" name="[Tab_concat].[Annee].&amp;[2015]"/>
            <x15:cachedUniqueName index="6" name="[Tab_concat].[Annee].&amp;[2016]"/>
            <x15:cachedUniqueName index="7" name="[Tab_concat].[Annee].&amp;[2017]"/>
            <x15:cachedUniqueName index="8" name="[Tab_concat].[Annee].&amp;[2018]"/>
            <x15:cachedUniqueName index="9" name="[Tab_concat].[Annee].&amp;[2019]"/>
            <x15:cachedUniqueName index="10" name="[Tab_concat].[Annee].&amp;[2020]"/>
            <x15:cachedUniqueName index="11" name="[Tab_concat].[Annee].&amp;[2021]"/>
            <x15:cachedUniqueName index="12" name="[Tab_concat].[Annee].&amp;[2022]"/>
            <x15:cachedUniqueName index="13" name="[Tab_concat].[Annee].&amp;[2023]"/>
            <x15:cachedUniqueName index="14" name="[Tab_concat].[Annee].&amp;[2024]"/>
            <x15:cachedUniqueName index="15" name="[Tab_concat].[Annee].&amp;[2025]"/>
            <x15:cachedUniqueName index="16" name="[Tab_concat].[Annee].&amp;[2026]"/>
          </x15:cachedUniqueNames>
        </ext>
      </extLst>
    </cacheField>
    <cacheField name="[Measures].[Somme de Conso_kWhEP]" caption="Somme de Conso_kWhEP" numFmtId="0" hierarchy="39" level="32767"/>
    <cacheField name="[Measures].[Somme de Demande_jour]" caption="Somme de Demande_jour" numFmtId="0" hierarchy="40" level="32767"/>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2" memberValueDatatype="130" unbalanced="0">
      <fieldsUsage count="2">
        <fieldUsage x="-1"/>
        <fieldUsage x="2"/>
      </fieldsUsage>
    </cacheHierarchy>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2" memberValueDatatype="130" unbalanced="0">
      <fieldsUsage count="2">
        <fieldUsage x="-1"/>
        <fieldUsage x="3"/>
      </fieldsUsage>
    </cacheHierarchy>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4"/>
      </fieldsUsage>
    </cacheHierarchy>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oneField="1" hidden="1">
      <fieldsUsage count="1">
        <fieldUsage x="0"/>
      </fieldsUsage>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oneField="1" hidden="1">
      <fieldsUsage count="1">
        <fieldUsage x="1"/>
      </fieldsUsage>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oneField="1" hidden="1">
      <fieldsUsage count="1">
        <fieldUsage x="5"/>
      </fieldsUsage>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oneField="1" hidden="1">
      <fieldsUsage count="1">
        <fieldUsage x="6"/>
      </fieldsUsage>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64814817" backgroundQuery="1" createdVersion="3" refreshedVersion="7" minRefreshableVersion="3" recordCount="0" supportSubquery="1" supportAdvancedDrill="1" xr:uid="{8F0A431D-7ACB-40FF-8E7D-8BC0FA053477}">
  <cacheSource type="external" connectionId="10">
    <extLst>
      <ext xmlns:x14="http://schemas.microsoft.com/office/spreadsheetml/2009/9/main" uri="{F057638F-6D5F-4e77-A914-E7F072B9BCA8}">
        <x14:sourceConnection name="ThisWorkbookDataModel"/>
      </ext>
    </extLst>
  </cacheSource>
  <cacheFields count="0"/>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slicerData="1" pivotCacheId="1225200921"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74189816" backgroundQuery="1" createdVersion="3" refreshedVersion="7" minRefreshableVersion="3" recordCount="0" supportSubquery="1" supportAdvancedDrill="1" xr:uid="{CCBC4615-F493-45D3-B07E-9BC4738B1E36}">
  <cacheSource type="external" connectionId="10">
    <extLst>
      <ext xmlns:x14="http://schemas.microsoft.com/office/spreadsheetml/2009/9/main" uri="{F057638F-6D5F-4e77-A914-E7F072B9BCA8}">
        <x14:sourceConnection name="ThisWorkbookDataModel"/>
      </ext>
    </extLst>
  </cacheSource>
  <cacheFields count="0"/>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slicerData="1" pivotCacheId="1093565191"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62847224" backgroundQuery="1" createdVersion="7" refreshedVersion="7" minRefreshableVersion="3" recordCount="0" supportSubquery="1" supportAdvancedDrill="1" xr:uid="{82C80CF2-F186-4A7F-A0E0-4A078E9071D6}">
  <cacheSource type="external" connectionId="10">
    <extLst>
      <ext xmlns:x14="http://schemas.microsoft.com/office/spreadsheetml/2009/9/main" uri="{F057638F-6D5F-4e77-A914-E7F072B9BCA8}">
        <x14:sourceConnection name="ThisWorkbookDataModel"/>
      </ext>
    </extLst>
  </cacheSource>
  <cacheFields count="4">
    <cacheField name="[Tab_concat].[Dates (année)].[Dates (année)]" caption="Dates (année)" numFmtId="0" hierarchy="17" level="1">
      <sharedItems count="10">
        <s v="2017"/>
        <s v="2018"/>
        <s v="2019"/>
        <s v="2020"/>
        <s v="2021"/>
        <s v="2022"/>
        <s v="2023"/>
        <s v="2024"/>
        <s v="2025"/>
        <s v="2026"/>
      </sharedItems>
    </cacheField>
    <cacheField name="[Tab_concat].[Combustible].[Combustible]" caption="Combustible" numFmtId="0" hierarchy="8" level="1">
      <sharedItems count="3">
        <s v="Eau (m3)"/>
        <s v="Electricité (kWh)"/>
        <s v="Gaz naturel (kWh)"/>
      </sharedItems>
    </cacheField>
    <cacheField name="[Measures].[Somme de Cout_jour]" caption="Somme de Cout_jour" numFmtId="0" hierarchy="38" level="32767"/>
    <cacheField name="[Tab_concat].[Dates].[Dates]" caption="Dates" numFmtId="0" hierarchy="1" level="1">
      <sharedItems containsSemiMixedTypes="0" containsNonDate="0" containsString="0"/>
    </cacheField>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fieldsUsage count="2">
        <fieldUsage x="-1"/>
        <fieldUsage x="3"/>
      </fieldsUsage>
    </cacheHierarchy>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1"/>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0"/>
      </fieldsUsage>
    </cacheHierarchy>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oneField="1" hidden="1">
      <fieldsUsage count="1">
        <fieldUsage x="2"/>
      </fieldsUsage>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pivotCacheId="184923049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64120371" backgroundQuery="1" createdVersion="7" refreshedVersion="7" minRefreshableVersion="3" recordCount="0" supportSubquery="1" supportAdvancedDrill="1" xr:uid="{839A8EA1-CE38-4E5F-8BD4-B72B7E8C8E83}">
  <cacheSource type="external" connectionId="10">
    <extLst>
      <ext xmlns:x14="http://schemas.microsoft.com/office/spreadsheetml/2009/9/main" uri="{F057638F-6D5F-4e77-A914-E7F072B9BCA8}">
        <x14:sourceConnection name="ThisWorkbookDataModel"/>
      </ext>
    </extLst>
  </cacheSource>
  <cacheFields count="6">
    <cacheField name="[Tab_concat].[Combustible].[Combustible]" caption="Combustible" numFmtId="0" hierarchy="8" level="1">
      <sharedItems count="3">
        <s v="Electricité (kWh)"/>
        <s v="Gaz naturel (kWh)"/>
        <s v="Réseau de chaleur (kWh)"/>
      </sharedItems>
    </cacheField>
    <cacheField name="[Tab_concat].[Dates].[Dates]" caption="Dates" numFmtId="0" hierarchy="1" level="1">
      <sharedItems containsSemiMixedTypes="0" containsNonDate="0" containsDate="1" containsString="0" minDate="2020-01-01T00:00:00" maxDate="2025-01-01T00:00:00" count="1827">
        <d v="2020-01-01T00:00:00"/>
        <d v="2020-01-02T00:00:00"/>
        <d v="2020-01-03T00:00:00"/>
        <d v="2020-01-04T00:00:00"/>
        <d v="2020-01-05T00:00:00"/>
        <d v="2020-01-06T00:00:00"/>
        <d v="2020-01-07T00:00:00"/>
        <d v="2020-01-08T00:00:00"/>
        <d v="2020-01-09T00:00:00"/>
        <d v="2020-01-10T00:00:00"/>
        <d v="2020-01-11T00:00:00"/>
        <d v="2020-01-12T00:00:00"/>
        <d v="2020-01-13T00:00:00"/>
        <d v="2020-01-14T00:00:00"/>
        <d v="2020-01-15T00:00:00"/>
        <d v="2020-01-16T00:00:00"/>
        <d v="2020-01-17T00:00:00"/>
        <d v="2020-01-18T00:00:00"/>
        <d v="2020-01-19T00:00:00"/>
        <d v="2020-01-20T00:00:00"/>
        <d v="2020-01-21T00:00:00"/>
        <d v="2020-01-22T00:00:00"/>
        <d v="2020-01-23T00:00:00"/>
        <d v="2020-01-24T00:00:00"/>
        <d v="2020-01-25T00:00:00"/>
        <d v="2020-01-26T00:00:00"/>
        <d v="2020-01-27T00:00:00"/>
        <d v="2020-01-28T00:00:00"/>
        <d v="2020-01-29T00:00:00"/>
        <d v="2020-01-30T00:00:00"/>
        <d v="2020-01-31T00:00:00"/>
        <d v="2020-02-01T00:00:00"/>
        <d v="2020-02-02T00:00:00"/>
        <d v="2020-02-03T00:00:00"/>
        <d v="2020-02-04T00:00:00"/>
        <d v="2020-02-05T00:00:00"/>
        <d v="2020-02-06T00:00:00"/>
        <d v="2020-02-07T00:00:00"/>
        <d v="2020-02-08T00:00:00"/>
        <d v="2020-02-09T00:00:00"/>
        <d v="2020-02-10T00:00:00"/>
        <d v="2020-02-11T00:00:00"/>
        <d v="2020-02-12T00:00:00"/>
        <d v="2020-02-13T00:00:00"/>
        <d v="2020-02-14T00:00:00"/>
        <d v="2020-02-15T00:00:00"/>
        <d v="2020-02-16T00:00:00"/>
        <d v="2020-02-17T00:00:00"/>
        <d v="2020-02-18T00:00:00"/>
        <d v="2020-02-19T00:00:00"/>
        <d v="2020-02-20T00:00:00"/>
        <d v="2020-02-21T00:00:00"/>
        <d v="2020-02-22T00:00:00"/>
        <d v="2020-02-23T00:00:00"/>
        <d v="2020-02-24T00:00:00"/>
        <d v="2020-02-25T00:00:00"/>
        <d v="2020-02-26T00:00:00"/>
        <d v="2020-02-27T00:00:00"/>
        <d v="2020-02-28T00:00:00"/>
        <d v="2020-02-29T00:00:00"/>
        <d v="2020-03-01T00:00:00"/>
        <d v="2020-03-02T00:00:00"/>
        <d v="2020-03-03T00:00:00"/>
        <d v="2020-03-04T00:00:00"/>
        <d v="2020-03-05T00:00:00"/>
        <d v="2020-03-06T00:00:00"/>
        <d v="2020-03-07T00:00:00"/>
        <d v="2020-03-08T00:00:00"/>
        <d v="2020-03-09T00:00:00"/>
        <d v="2020-03-10T00:00:00"/>
        <d v="2020-03-11T00:00:00"/>
        <d v="2020-03-12T00:00:00"/>
        <d v="2020-03-13T00:00:00"/>
        <d v="2020-03-14T00:00:00"/>
        <d v="2020-03-15T00:00:00"/>
        <d v="2020-03-16T00:00:00"/>
        <d v="2020-03-17T00:00:00"/>
        <d v="2020-03-18T00:00:00"/>
        <d v="2020-03-19T00:00:00"/>
        <d v="2020-03-20T00:00:00"/>
        <d v="2020-03-21T00:00:00"/>
        <d v="2020-03-22T00:00:00"/>
        <d v="2020-03-23T00:00:00"/>
        <d v="2020-03-24T00:00:00"/>
        <d v="2020-03-25T00:00:00"/>
        <d v="2020-03-26T00:00:00"/>
        <d v="2020-03-27T00:00:00"/>
        <d v="2020-03-28T00:00:00"/>
        <d v="2020-03-29T00:00:00"/>
        <d v="2020-03-30T00:00:00"/>
        <d v="2020-03-31T00:00:00"/>
        <d v="2020-04-01T00:00:00"/>
        <d v="2020-04-02T00:00:00"/>
        <d v="2020-04-03T00:00:00"/>
        <d v="2020-04-04T00:00:00"/>
        <d v="2020-04-05T00:00:00"/>
        <d v="2020-04-06T00:00:00"/>
        <d v="2020-04-07T00:00:00"/>
        <d v="2020-04-08T00:00:00"/>
        <d v="2020-04-09T00:00:00"/>
        <d v="2020-04-10T00:00:00"/>
        <d v="2020-04-11T00:00:00"/>
        <d v="2020-04-12T00:00:00"/>
        <d v="2020-04-13T00:00:00"/>
        <d v="2020-04-14T00:00:00"/>
        <d v="2020-04-15T00:00:00"/>
        <d v="2020-04-16T00:00:00"/>
        <d v="2020-04-17T00:00:00"/>
        <d v="2020-04-18T00:00:00"/>
        <d v="2020-04-19T00:00:00"/>
        <d v="2020-04-20T00:00:00"/>
        <d v="2020-04-21T00:00:00"/>
        <d v="2020-04-22T00:00:00"/>
        <d v="2020-04-23T00:00:00"/>
        <d v="2020-04-24T00:00:00"/>
        <d v="2020-04-25T00:00:00"/>
        <d v="2020-04-26T00:00:00"/>
        <d v="2020-04-27T00:00:00"/>
        <d v="2020-04-28T00:00:00"/>
        <d v="2020-04-29T00:00:00"/>
        <d v="2020-04-30T00:00:00"/>
        <d v="2020-05-01T00:00:00"/>
        <d v="2020-05-02T00:00:00"/>
        <d v="2020-05-03T00:00:00"/>
        <d v="2020-05-04T00:00:00"/>
        <d v="2020-05-05T00:00:00"/>
        <d v="2020-05-06T00:00:00"/>
        <d v="2020-05-07T00:00:00"/>
        <d v="2020-05-08T00:00:00"/>
        <d v="2020-05-09T00:00:00"/>
        <d v="2020-05-10T00:00:00"/>
        <d v="2020-05-11T00:00:00"/>
        <d v="2020-05-12T00:00:00"/>
        <d v="2020-05-13T00:00:00"/>
        <d v="2020-05-14T00:00:00"/>
        <d v="2020-05-15T00:00:00"/>
        <d v="2020-05-16T00:00:00"/>
        <d v="2020-05-17T00:00:00"/>
        <d v="2020-05-18T00:00:00"/>
        <d v="2020-05-19T00:00:00"/>
        <d v="2020-05-20T00:00:00"/>
        <d v="2020-05-21T00:00:00"/>
        <d v="2020-05-22T00:00:00"/>
        <d v="2020-05-23T00:00:00"/>
        <d v="2020-05-24T00:00:00"/>
        <d v="2020-05-25T00:00:00"/>
        <d v="2020-05-26T00:00:00"/>
        <d v="2020-05-27T00:00:00"/>
        <d v="2020-05-28T00:00:00"/>
        <d v="2020-05-29T00:00:00"/>
        <d v="2020-05-30T00:00:00"/>
        <d v="2020-05-31T00:00:00"/>
        <d v="2020-06-01T00:00:00"/>
        <d v="2020-06-02T00:00:00"/>
        <d v="2020-06-03T00:00:00"/>
        <d v="2020-06-04T00:00:00"/>
        <d v="2020-06-05T00:00:00"/>
        <d v="2020-06-06T00:00:00"/>
        <d v="2020-06-07T00:00:00"/>
        <d v="2020-06-08T00:00:00"/>
        <d v="2020-06-09T00:00:00"/>
        <d v="2020-06-10T00:00:00"/>
        <d v="2020-06-11T00:00:00"/>
        <d v="2020-06-12T00:00:00"/>
        <d v="2020-06-13T00:00:00"/>
        <d v="2020-06-14T00:00:00"/>
        <d v="2020-06-15T00:00:00"/>
        <d v="2020-06-16T00:00:00"/>
        <d v="2020-06-17T00:00:00"/>
        <d v="2020-06-18T00:00:00"/>
        <d v="2020-06-19T00:00:00"/>
        <d v="2020-06-20T00:00:00"/>
        <d v="2020-06-21T00:00:00"/>
        <d v="2020-06-22T00:00:00"/>
        <d v="2020-06-23T00:00:00"/>
        <d v="2020-06-24T00:00:00"/>
        <d v="2020-06-25T00:00:00"/>
        <d v="2020-06-26T00:00:00"/>
        <d v="2020-06-27T00:00:00"/>
        <d v="2020-06-28T00:00:00"/>
        <d v="2020-06-29T00:00:00"/>
        <d v="2020-06-30T00:00:00"/>
        <d v="2020-07-01T00:00:00"/>
        <d v="2020-07-02T00:00:00"/>
        <d v="2020-07-03T00:00:00"/>
        <d v="2020-07-04T00:00:00"/>
        <d v="2020-07-05T00:00:00"/>
        <d v="2020-07-06T00:00:00"/>
        <d v="2020-07-07T00:00:00"/>
        <d v="2020-07-08T00:00:00"/>
        <d v="2020-07-09T00:00:00"/>
        <d v="2020-07-10T00:00:00"/>
        <d v="2020-07-11T00:00:00"/>
        <d v="2020-07-12T00:00:00"/>
        <d v="2020-07-13T00:00:00"/>
        <d v="2020-07-14T00:00:00"/>
        <d v="2020-07-15T00:00:00"/>
        <d v="2020-07-16T00:00:00"/>
        <d v="2020-07-17T00:00:00"/>
        <d v="2020-07-18T00:00:00"/>
        <d v="2020-07-19T00:00:00"/>
        <d v="2020-07-20T00:00:00"/>
        <d v="2020-07-21T00:00:00"/>
        <d v="2020-07-22T00:00:00"/>
        <d v="2020-07-23T00:00:00"/>
        <d v="2020-07-24T00:00:00"/>
        <d v="2020-07-25T00:00:00"/>
        <d v="2020-07-26T00:00:00"/>
        <d v="2020-07-27T00:00:00"/>
        <d v="2020-07-28T00:00:00"/>
        <d v="2020-07-29T00:00:00"/>
        <d v="2020-07-30T00:00:00"/>
        <d v="2020-07-31T00:00:00"/>
        <d v="2020-08-01T00:00:00"/>
        <d v="2020-08-02T00:00:00"/>
        <d v="2020-08-03T00:00:00"/>
        <d v="2020-08-04T00:00:00"/>
        <d v="2020-08-05T00:00:00"/>
        <d v="2020-08-06T00:00:00"/>
        <d v="2020-08-07T00:00:00"/>
        <d v="2020-08-08T00:00:00"/>
        <d v="2020-08-09T00:00:00"/>
        <d v="2020-08-10T00:00:00"/>
        <d v="2020-08-11T00:00:00"/>
        <d v="2020-08-12T00:00:00"/>
        <d v="2020-08-13T00:00:00"/>
        <d v="2020-08-14T00:00:00"/>
        <d v="2020-08-15T00:00:00"/>
        <d v="2020-08-16T00:00:00"/>
        <d v="2020-08-17T00:00:00"/>
        <d v="2020-08-18T00:00:00"/>
        <d v="2020-08-19T00:00:00"/>
        <d v="2020-08-20T00:00:00"/>
        <d v="2020-08-21T00:00:00"/>
        <d v="2020-08-22T00:00:00"/>
        <d v="2020-08-23T00:00:00"/>
        <d v="2020-08-24T00:00:00"/>
        <d v="2020-08-25T00:00:00"/>
        <d v="2020-08-26T00:00:00"/>
        <d v="2020-08-27T00:00:00"/>
        <d v="2020-08-28T00:00:00"/>
        <d v="2020-08-29T00:00:00"/>
        <d v="2020-08-30T00:00:00"/>
        <d v="2020-08-31T00:00:00"/>
        <d v="2020-09-01T00:00:00"/>
        <d v="2020-09-02T00:00:00"/>
        <d v="2020-09-03T00:00:00"/>
        <d v="2020-09-04T00:00:00"/>
        <d v="2020-09-05T00:00:00"/>
        <d v="2020-09-06T00:00:00"/>
        <d v="2020-09-07T00:00:00"/>
        <d v="2020-09-08T00:00:00"/>
        <d v="2020-09-09T00:00:00"/>
        <d v="2020-09-10T00:00:00"/>
        <d v="2020-09-11T00:00:00"/>
        <d v="2020-09-12T00:00:00"/>
        <d v="2020-09-13T00:00:00"/>
        <d v="2020-09-14T00:00:00"/>
        <d v="2020-09-15T00:00:00"/>
        <d v="2020-09-16T00:00:00"/>
        <d v="2020-09-17T00:00:00"/>
        <d v="2020-09-18T00:00:00"/>
        <d v="2020-09-19T00:00:00"/>
        <d v="2020-09-20T00:00:00"/>
        <d v="2020-09-21T00:00:00"/>
        <d v="2020-09-22T00:00:00"/>
        <d v="2020-09-23T00:00:00"/>
        <d v="2020-09-24T00:00:00"/>
        <d v="2020-09-25T00:00:00"/>
        <d v="2020-09-26T00:00:00"/>
        <d v="2020-09-27T00:00:00"/>
        <d v="2020-09-28T00:00:00"/>
        <d v="2020-09-29T00:00:00"/>
        <d v="2020-09-30T00:00:00"/>
        <d v="2020-10-01T00:00:00"/>
        <d v="2020-10-02T00:00:00"/>
        <d v="2020-10-03T00:00:00"/>
        <d v="2020-10-04T00:00:00"/>
        <d v="2020-10-05T00:00:00"/>
        <d v="2020-10-06T00:00:00"/>
        <d v="2020-10-07T00:00:00"/>
        <d v="2020-10-08T00:00:00"/>
        <d v="2020-10-09T00:00:00"/>
        <d v="2020-10-10T00:00:00"/>
        <d v="2020-10-11T00:00:00"/>
        <d v="2020-10-12T00:00:00"/>
        <d v="2020-10-13T00:00:00"/>
        <d v="2020-10-14T00:00:00"/>
        <d v="2020-10-15T00:00:00"/>
        <d v="2020-10-16T00:00:00"/>
        <d v="2020-10-17T00:00:00"/>
        <d v="2020-10-18T00:00:00"/>
        <d v="2020-10-19T00:00:00"/>
        <d v="2020-10-20T00:00:00"/>
        <d v="2020-10-21T00:00:00"/>
        <d v="2020-10-22T00:00:00"/>
        <d v="2020-10-23T00:00:00"/>
        <d v="2020-10-24T00:00:00"/>
        <d v="2020-10-25T00:00:00"/>
        <d v="2020-10-26T00:00:00"/>
        <d v="2020-10-27T00:00:00"/>
        <d v="2020-10-28T00:00:00"/>
        <d v="2020-10-29T00:00:00"/>
        <d v="2020-10-30T00:00:00"/>
        <d v="2020-10-31T00:00:00"/>
        <d v="2020-11-01T00:00:00"/>
        <d v="2020-11-02T00:00:00"/>
        <d v="2020-11-03T00:00:00"/>
        <d v="2020-11-04T00:00:00"/>
        <d v="2020-11-05T00:00:00"/>
        <d v="2020-11-06T00:00:00"/>
        <d v="2020-11-07T00:00:00"/>
        <d v="2020-11-08T00:00:00"/>
        <d v="2020-11-09T00:00:00"/>
        <d v="2020-11-10T00:00:00"/>
        <d v="2020-11-11T00:00:00"/>
        <d v="2020-11-12T00:00:00"/>
        <d v="2020-11-13T00:00:00"/>
        <d v="2020-11-14T00:00:00"/>
        <d v="2020-11-15T00:00:00"/>
        <d v="2020-11-16T00:00:00"/>
        <d v="2020-11-17T00:00:00"/>
        <d v="2020-11-18T00:00:00"/>
        <d v="2020-11-19T00:00:00"/>
        <d v="2020-11-20T00:00:00"/>
        <d v="2020-11-21T00:00:00"/>
        <d v="2020-11-22T00:00:00"/>
        <d v="2020-11-23T00:00:00"/>
        <d v="2020-11-24T00:00:00"/>
        <d v="2020-11-25T00:00:00"/>
        <d v="2020-11-26T00:00:00"/>
        <d v="2020-11-27T00:00:00"/>
        <d v="2020-11-28T00:00:00"/>
        <d v="2020-11-29T00:00:00"/>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d v="2021-03-01T00:00:00"/>
        <d v="2021-03-02T00:00:00"/>
        <d v="2021-03-03T00:00:00"/>
        <d v="2021-03-04T00:00:00"/>
        <d v="2021-03-05T00:00:00"/>
        <d v="2021-03-06T00:00:00"/>
        <d v="2021-03-07T00:00:00"/>
        <d v="2021-03-08T00:00:00"/>
        <d v="2021-03-09T00:00:00"/>
        <d v="2021-03-10T00:00:00"/>
        <d v="2021-03-11T00:00:00"/>
        <d v="2021-03-12T00:00:00"/>
        <d v="2021-03-13T00:00:00"/>
        <d v="2021-03-14T00:00:00"/>
        <d v="2021-03-15T00:00:00"/>
        <d v="2021-03-16T00:00:00"/>
        <d v="2021-03-17T00:00:00"/>
        <d v="2021-03-18T00:00:00"/>
        <d v="2021-03-19T00:00:00"/>
        <d v="2021-03-20T00:00:00"/>
        <d v="2021-03-21T00:00:00"/>
        <d v="2021-03-22T00:00:00"/>
        <d v="2021-03-23T00:00:00"/>
        <d v="2021-03-24T00:00:00"/>
        <d v="2021-03-25T00:00:00"/>
        <d v="2021-03-26T00:00:00"/>
        <d v="2021-03-27T00:00:00"/>
        <d v="2021-03-28T00:00:00"/>
        <d v="2021-03-29T00:00:00"/>
        <d v="2021-03-30T00:00:00"/>
        <d v="2021-03-31T00:00:00"/>
        <d v="2021-04-01T00:00:00"/>
        <d v="2021-04-02T00:00:00"/>
        <d v="2021-04-03T00:00:00"/>
        <d v="2021-04-04T00:00:00"/>
        <d v="2021-04-05T00:00:00"/>
        <d v="2021-04-06T00:00:00"/>
        <d v="2021-04-07T00:00:00"/>
        <d v="2021-04-08T00:00:00"/>
        <d v="2021-04-09T00:00:00"/>
        <d v="2021-04-10T00:00:00"/>
        <d v="2021-04-11T00:00:00"/>
        <d v="2021-04-12T00:00:00"/>
        <d v="2021-04-13T00:00:00"/>
        <d v="2021-04-14T00:00:00"/>
        <d v="2021-04-15T00:00:00"/>
        <d v="2021-04-16T00:00:00"/>
        <d v="2021-04-17T00:00:00"/>
        <d v="2021-04-18T00:00:00"/>
        <d v="2021-04-19T00:00:00"/>
        <d v="2021-04-20T00:00:00"/>
        <d v="2021-04-21T00:00:00"/>
        <d v="2021-04-22T00:00:00"/>
        <d v="2021-04-23T00:00:00"/>
        <d v="2021-04-24T00:00:00"/>
        <d v="2021-04-25T00:00:00"/>
        <d v="2021-04-26T00:00:00"/>
        <d v="2021-04-27T00:00:00"/>
        <d v="2021-04-28T00:00:00"/>
        <d v="2021-04-29T00:00:00"/>
        <d v="2021-04-30T00:00:00"/>
        <d v="2021-05-01T00:00:00"/>
        <d v="2021-05-02T00:00:00"/>
        <d v="2021-05-03T00:00:00"/>
        <d v="2021-05-04T00:00:00"/>
        <d v="2021-05-05T00:00:00"/>
        <d v="2021-05-06T00:00:00"/>
        <d v="2021-05-07T00:00:00"/>
        <d v="2021-05-08T00:00:00"/>
        <d v="2021-05-09T00:00:00"/>
        <d v="2021-05-10T00:00:00"/>
        <d v="2021-05-11T00:00:00"/>
        <d v="2021-05-12T00:00:00"/>
        <d v="2021-05-13T00:00:00"/>
        <d v="2021-05-14T00:00:00"/>
        <d v="2021-05-15T00:00:00"/>
        <d v="2021-05-16T00:00:00"/>
        <d v="2021-05-17T00:00:00"/>
        <d v="2021-05-18T00:00:00"/>
        <d v="2021-05-19T00:00:00"/>
        <d v="2021-05-20T00:00:00"/>
        <d v="2021-05-21T00:00:00"/>
        <d v="2021-05-22T00:00:00"/>
        <d v="2021-05-23T00:00:00"/>
        <d v="2021-05-24T00:00:00"/>
        <d v="2021-05-25T00:00:00"/>
        <d v="2021-05-26T00:00:00"/>
        <d v="2021-05-27T00:00:00"/>
        <d v="2021-05-28T00:00:00"/>
        <d v="2021-05-29T00:00:00"/>
        <d v="2021-05-30T00:00:00"/>
        <d v="2021-05-31T00:00:00"/>
        <d v="2021-06-01T00:00:00"/>
        <d v="2021-06-02T00:00:00"/>
        <d v="2021-06-03T00:00:00"/>
        <d v="2021-06-04T00:00:00"/>
        <d v="2021-06-05T00:00:00"/>
        <d v="2021-06-06T00:00:00"/>
        <d v="2021-06-07T00:00:00"/>
        <d v="2021-06-08T00:00:00"/>
        <d v="2021-06-09T00:00:00"/>
        <d v="2021-06-10T00:00:00"/>
        <d v="2021-06-11T00:00:00"/>
        <d v="2021-06-12T00:00:00"/>
        <d v="2021-06-13T00:00:00"/>
        <d v="2021-06-14T00:00:00"/>
        <d v="2021-06-15T00:00:00"/>
        <d v="2021-06-16T00:00:00"/>
        <d v="2021-06-17T00:00:00"/>
        <d v="2021-06-18T00:00:00"/>
        <d v="2021-06-19T00:00:00"/>
        <d v="2021-06-20T00:00:00"/>
        <d v="2021-06-21T00:00:00"/>
        <d v="2021-06-22T00:00:00"/>
        <d v="2021-06-23T00:00:00"/>
        <d v="2021-06-24T00:00:00"/>
        <d v="2021-06-25T00:00:00"/>
        <d v="2021-06-26T00:00:00"/>
        <d v="2021-06-27T00:00:00"/>
        <d v="2021-06-28T00:00:00"/>
        <d v="2021-06-29T00:00:00"/>
        <d v="2021-06-30T00:00:00"/>
        <d v="2021-07-01T00:00:00"/>
        <d v="2021-07-02T00:00:00"/>
        <d v="2021-07-03T00:00:00"/>
        <d v="2021-07-04T00:00:00"/>
        <d v="2021-07-05T00:00:00"/>
        <d v="2021-07-06T00:00:00"/>
        <d v="2021-07-07T00:00:00"/>
        <d v="2021-07-08T00:00:00"/>
        <d v="2021-07-09T00:00:00"/>
        <d v="2021-07-10T00:00:00"/>
        <d v="2021-07-11T00:00:00"/>
        <d v="2021-07-12T00:00:00"/>
        <d v="2021-07-13T00:00:00"/>
        <d v="2021-07-14T00:00:00"/>
        <d v="2021-07-15T00:00:00"/>
        <d v="2021-07-16T00:00:00"/>
        <d v="2021-07-17T00:00:00"/>
        <d v="2021-07-18T00:00:00"/>
        <d v="2021-07-19T00:00:00"/>
        <d v="2021-07-20T00:00:00"/>
        <d v="2021-07-21T00:00:00"/>
        <d v="2021-07-22T00:00:00"/>
        <d v="2021-07-23T00:00:00"/>
        <d v="2021-07-24T00:00:00"/>
        <d v="2021-07-25T00:00:00"/>
        <d v="2021-07-26T00:00:00"/>
        <d v="2021-07-27T00:00:00"/>
        <d v="2021-07-28T00:00:00"/>
        <d v="2021-07-29T00:00:00"/>
        <d v="2021-07-30T00:00:00"/>
        <d v="2021-07-31T00:00:00"/>
        <d v="2021-08-01T00:00:00"/>
        <d v="2021-08-02T00:00:00"/>
        <d v="2021-08-03T00:00:00"/>
        <d v="2021-08-04T00:00:00"/>
        <d v="2021-08-05T00:00:00"/>
        <d v="2021-08-06T00:00:00"/>
        <d v="2021-08-07T00:00:00"/>
        <d v="2021-08-08T00:00:00"/>
        <d v="2021-08-09T00:00:00"/>
        <d v="2021-08-10T00:00:00"/>
        <d v="2021-08-11T00:00:00"/>
        <d v="2021-08-12T00:00:00"/>
        <d v="2021-08-13T00:00:00"/>
        <d v="2021-08-14T00:00:00"/>
        <d v="2021-08-15T00:00:00"/>
        <d v="2021-08-16T00:00:00"/>
        <d v="2021-08-17T00:00:00"/>
        <d v="2021-08-18T00:00:00"/>
        <d v="2021-08-19T00:00:00"/>
        <d v="2021-08-20T00:00:00"/>
        <d v="2021-08-21T00:00:00"/>
        <d v="2021-08-22T00:00:00"/>
        <d v="2021-08-23T00:00:00"/>
        <d v="2021-08-24T00:00:00"/>
        <d v="2021-08-25T00:00:00"/>
        <d v="2021-08-26T00:00:00"/>
        <d v="2021-08-27T00:00:00"/>
        <d v="2021-08-28T00:00:00"/>
        <d v="2021-08-29T00:00:00"/>
        <d v="2021-08-30T00:00:00"/>
        <d v="2021-08-31T00:00:00"/>
        <d v="2021-09-01T00:00:00"/>
        <d v="2021-09-02T00:00:00"/>
        <d v="2021-09-03T00:00:00"/>
        <d v="2021-09-04T00:00:00"/>
        <d v="2021-09-05T00:00:00"/>
        <d v="2021-09-06T00:00:00"/>
        <d v="2021-09-07T00:00:00"/>
        <d v="2021-09-08T00:00:00"/>
        <d v="2021-09-09T00:00:00"/>
        <d v="2021-09-10T00:00:00"/>
        <d v="2021-09-11T00:00:00"/>
        <d v="2021-09-12T00:00:00"/>
        <d v="2021-09-13T00:00:00"/>
        <d v="2021-09-14T00:00:00"/>
        <d v="2021-09-15T00:00:00"/>
        <d v="2021-09-16T00:00:00"/>
        <d v="2021-09-17T00:00:00"/>
        <d v="2021-09-18T00:00:00"/>
        <d v="2021-09-19T00:00:00"/>
        <d v="2021-09-20T00:00:00"/>
        <d v="2021-09-21T00:00:00"/>
        <d v="2021-09-22T00:00:00"/>
        <d v="2021-09-23T00:00:00"/>
        <d v="2021-09-24T00:00:00"/>
        <d v="2021-09-25T00:00:00"/>
        <d v="2021-09-26T00:00:00"/>
        <d v="2021-09-27T00:00:00"/>
        <d v="2021-09-28T00:00:00"/>
        <d v="2021-09-29T00:00:00"/>
        <d v="2021-09-30T00:00:00"/>
        <d v="2021-10-01T00:00:00"/>
        <d v="2021-10-02T00:00:00"/>
        <d v="2021-10-03T00:00:00"/>
        <d v="2021-10-04T00:00:00"/>
        <d v="2021-10-05T00:00:00"/>
        <d v="2021-10-06T00:00:00"/>
        <d v="2021-10-07T00:00:00"/>
        <d v="2021-10-08T00:00:00"/>
        <d v="2021-10-09T00:00:00"/>
        <d v="2021-10-10T00:00:00"/>
        <d v="2021-10-11T00:00:00"/>
        <d v="2021-10-12T00:00:00"/>
        <d v="2021-10-13T00:00:00"/>
        <d v="2021-10-14T00:00:00"/>
        <d v="2021-10-15T00:00:00"/>
        <d v="2021-10-16T00:00:00"/>
        <d v="2021-10-17T00:00:00"/>
        <d v="2021-10-18T00:00:00"/>
        <d v="2021-10-19T00:00:00"/>
        <d v="2021-10-20T00:00:00"/>
        <d v="2021-10-21T00:00:00"/>
        <d v="2021-10-22T00:00:00"/>
        <d v="2021-10-23T00:00:00"/>
        <d v="2021-10-24T00:00:00"/>
        <d v="2021-10-25T00:00:00"/>
        <d v="2021-10-26T00:00:00"/>
        <d v="2021-10-27T00:00:00"/>
        <d v="2021-10-28T00:00:00"/>
        <d v="2021-10-29T00:00:00"/>
        <d v="2021-10-30T00:00:00"/>
        <d v="2021-10-31T00:00:00"/>
        <d v="2021-11-01T00:00:00"/>
        <d v="2021-11-02T00:00:00"/>
        <d v="2021-11-03T00:00:00"/>
        <d v="2021-11-04T00:00:00"/>
        <d v="2021-11-05T00:00:00"/>
        <d v="2021-11-06T00:00:00"/>
        <d v="2021-11-07T00:00:00"/>
        <d v="2021-11-08T00:00:00"/>
        <d v="2021-11-09T00:00:00"/>
        <d v="2021-11-10T00:00:00"/>
        <d v="2021-11-11T00:00:00"/>
        <d v="2021-11-12T00:00:00"/>
        <d v="2021-11-13T00:00:00"/>
        <d v="2021-11-14T00:00:00"/>
        <d v="2021-11-15T00:00:00"/>
        <d v="2021-11-16T00:00:00"/>
        <d v="2021-11-17T00:00:00"/>
        <d v="2021-11-18T00:00:00"/>
        <d v="2021-11-19T00:00:00"/>
        <d v="2021-11-20T00:00:00"/>
        <d v="2021-11-21T00:00:00"/>
        <d v="2021-11-22T00:00:00"/>
        <d v="2021-11-23T00:00:00"/>
        <d v="2021-11-24T00:00:00"/>
        <d v="2021-11-25T00:00:00"/>
        <d v="2021-11-26T00:00:00"/>
        <d v="2021-11-27T00:00:00"/>
        <d v="2021-11-28T00:00:00"/>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d v="2022-02-28T00:00:00"/>
        <d v="2022-03-01T00:00:00"/>
        <d v="2022-03-02T00:00:00"/>
        <d v="2022-03-03T00:00:00"/>
        <d v="2022-03-04T00:00:00"/>
        <d v="2022-03-05T00:00:00"/>
        <d v="2022-03-06T00:00:00"/>
        <d v="2022-03-07T00:00:00"/>
        <d v="2022-03-08T00:00:00"/>
        <d v="2022-03-09T00:00:00"/>
        <d v="2022-03-10T00:00:00"/>
        <d v="2022-03-11T00:00:00"/>
        <d v="2022-03-12T00:00:00"/>
        <d v="2022-03-13T00:00:00"/>
        <d v="2022-03-14T00:00:00"/>
        <d v="2022-03-15T00:00:00"/>
        <d v="2022-03-16T00:00:00"/>
        <d v="2022-03-17T00:00:00"/>
        <d v="2022-03-18T00:00:00"/>
        <d v="2022-03-19T00:00:00"/>
        <d v="2022-03-20T00:00:00"/>
        <d v="2022-03-21T00:00:00"/>
        <d v="2022-03-22T00:00:00"/>
        <d v="2022-03-23T00:00:00"/>
        <d v="2022-03-24T00:00:00"/>
        <d v="2022-03-25T00:00:00"/>
        <d v="2022-03-26T00:00:00"/>
        <d v="2022-03-27T00:00:00"/>
        <d v="2022-03-28T00:00:00"/>
        <d v="2022-03-29T00:00:00"/>
        <d v="2022-03-30T00:00:00"/>
        <d v="2022-03-31T00:00:00"/>
        <d v="2022-04-01T00:00:00"/>
        <d v="2022-04-02T00:00:00"/>
        <d v="2022-04-03T00:00:00"/>
        <d v="2022-04-04T00:00:00"/>
        <d v="2022-04-05T00:00:00"/>
        <d v="2022-04-06T00:00:00"/>
        <d v="2022-04-07T00:00:00"/>
        <d v="2022-04-08T00:00:00"/>
        <d v="2022-04-09T00:00:00"/>
        <d v="2022-04-10T00:00:00"/>
        <d v="2022-04-11T00:00:00"/>
        <d v="2022-04-12T00:00:00"/>
        <d v="2022-04-13T00:00:00"/>
        <d v="2022-04-14T00:00:00"/>
        <d v="2022-04-15T00:00:00"/>
        <d v="2022-04-16T00:00:00"/>
        <d v="2022-04-17T00:00:00"/>
        <d v="2022-04-18T00:00:00"/>
        <d v="2022-04-19T00:00:00"/>
        <d v="2022-04-20T00:00:00"/>
        <d v="2022-04-21T00:00:00"/>
        <d v="2022-04-22T00:00:00"/>
        <d v="2022-04-23T00:00:00"/>
        <d v="2022-04-24T00:00:00"/>
        <d v="2022-04-25T00:00:00"/>
        <d v="2022-04-26T00:00:00"/>
        <d v="2022-04-27T00:00:00"/>
        <d v="2022-04-28T00:00:00"/>
        <d v="2022-04-29T00:00:00"/>
        <d v="2022-04-30T00:00:00"/>
        <d v="2022-05-01T00:00:00"/>
        <d v="2022-05-02T00:00:00"/>
        <d v="2022-05-03T00:00:00"/>
        <d v="2022-05-04T00:00:00"/>
        <d v="2022-05-05T00:00:00"/>
        <d v="2022-05-06T00:00:00"/>
        <d v="2022-05-07T00:00:00"/>
        <d v="2022-05-08T00:00:00"/>
        <d v="2022-05-09T00:00:00"/>
        <d v="2022-05-10T00:00:00"/>
        <d v="2022-05-11T00:00:00"/>
        <d v="2022-05-12T00:00:00"/>
        <d v="2022-05-13T00:00:00"/>
        <d v="2022-05-14T00:00:00"/>
        <d v="2022-05-15T00:00:00"/>
        <d v="2022-05-16T00:00:00"/>
        <d v="2022-05-17T00:00:00"/>
        <d v="2022-05-18T00:00:00"/>
        <d v="2022-05-19T00:00:00"/>
        <d v="2022-05-20T00:00:00"/>
        <d v="2022-05-21T00:00:00"/>
        <d v="2022-05-22T00:00:00"/>
        <d v="2022-05-23T00:00:00"/>
        <d v="2022-05-24T00:00:00"/>
        <d v="2022-05-25T00:00:00"/>
        <d v="2022-05-26T00:00:00"/>
        <d v="2022-05-27T00:00:00"/>
        <d v="2022-05-28T00:00:00"/>
        <d v="2022-05-29T00:00:00"/>
        <d v="2022-05-30T00:00:00"/>
        <d v="2022-05-31T00:00:00"/>
        <d v="2022-06-01T00:00:00"/>
        <d v="2022-06-02T00:00:00"/>
        <d v="2022-06-03T00:00:00"/>
        <d v="2022-06-04T00:00:00"/>
        <d v="2022-06-05T00:00:00"/>
        <d v="2022-06-06T00:00:00"/>
        <d v="2022-06-07T00:00:00"/>
        <d v="2022-06-08T00:00:00"/>
        <d v="2022-06-09T00:00:00"/>
        <d v="2022-06-10T00:00:00"/>
        <d v="2022-06-11T00:00:00"/>
        <d v="2022-06-12T00:00:00"/>
        <d v="2022-06-13T00:00:00"/>
        <d v="2022-06-14T00:00:00"/>
        <d v="2022-06-15T00:00:00"/>
        <d v="2022-06-16T00:00:00"/>
        <d v="2022-06-17T00:00:00"/>
        <d v="2022-06-18T00:00:00"/>
        <d v="2022-06-19T00:00:00"/>
        <d v="2022-06-20T00:00:00"/>
        <d v="2022-06-21T00:00:00"/>
        <d v="2022-06-22T00:00:00"/>
        <d v="2022-06-23T00:00:00"/>
        <d v="2022-06-24T00:00:00"/>
        <d v="2022-06-25T00:00:00"/>
        <d v="2022-06-26T00:00:00"/>
        <d v="2022-06-27T00:00:00"/>
        <d v="2022-06-28T00:00:00"/>
        <d v="2022-06-29T00:00:00"/>
        <d v="2022-06-30T00:00:00"/>
        <d v="2022-07-01T00:00:00"/>
        <d v="2022-07-02T00:00:00"/>
        <d v="2022-07-03T00:00:00"/>
        <d v="2022-07-04T00:00:00"/>
        <d v="2022-07-05T00:00:00"/>
        <d v="2022-07-06T00:00:00"/>
        <d v="2022-07-07T00:00:00"/>
        <d v="2022-07-08T00:00:00"/>
        <d v="2022-07-09T00:00:00"/>
        <d v="2022-07-10T00:00:00"/>
        <d v="2022-07-11T00:00:00"/>
        <d v="2022-07-12T00:00:00"/>
        <d v="2022-07-13T00:00:00"/>
        <d v="2022-07-14T00:00:00"/>
        <d v="2022-07-15T00:00:00"/>
        <d v="2022-07-16T00:00:00"/>
        <d v="2022-07-17T00:00:00"/>
        <d v="2022-07-18T00:00:00"/>
        <d v="2022-07-19T00:00:00"/>
        <d v="2022-07-20T00:00:00"/>
        <d v="2022-07-21T00:00:00"/>
        <d v="2022-07-22T00:00:00"/>
        <d v="2022-07-23T00:00:00"/>
        <d v="2022-07-24T00:00:00"/>
        <d v="2022-07-25T00:00:00"/>
        <d v="2022-07-26T00:00:00"/>
        <d v="2022-07-27T00:00:00"/>
        <d v="2022-07-28T00:00:00"/>
        <d v="2022-07-29T00:00:00"/>
        <d v="2022-07-30T00:00:00"/>
        <d v="2022-07-31T00:00:00"/>
        <d v="2022-08-01T00:00:00"/>
        <d v="2022-08-02T00:00:00"/>
        <d v="2022-08-03T00:00:00"/>
        <d v="2022-08-04T00:00:00"/>
        <d v="2022-08-05T00:00:00"/>
        <d v="2022-08-06T00:00:00"/>
        <d v="2022-08-07T00:00:00"/>
        <d v="2022-08-08T00:00:00"/>
        <d v="2022-08-09T00:00:00"/>
        <d v="2022-08-10T00:00:00"/>
        <d v="2022-08-11T00:00:00"/>
        <d v="2022-08-12T00:00:00"/>
        <d v="2022-08-13T00:00:00"/>
        <d v="2022-08-14T00:00:00"/>
        <d v="2022-08-15T00:00:00"/>
        <d v="2022-08-16T00:00:00"/>
        <d v="2022-08-17T00:00:00"/>
        <d v="2022-08-18T00:00:00"/>
        <d v="2022-08-19T00:00:00"/>
        <d v="2022-08-20T00:00:00"/>
        <d v="2022-08-21T00:00:00"/>
        <d v="2022-08-22T00:00:00"/>
        <d v="2022-08-23T00:00:00"/>
        <d v="2022-08-24T00:00:00"/>
        <d v="2022-08-25T00:00:00"/>
        <d v="2022-08-26T00:00:00"/>
        <d v="2022-08-27T00:00:00"/>
        <d v="2022-08-28T00:00:00"/>
        <d v="2022-08-29T00:00:00"/>
        <d v="2022-08-30T00:00:00"/>
        <d v="2022-08-31T00:00:00"/>
        <d v="2022-09-01T00:00:00"/>
        <d v="2022-09-02T00:00:00"/>
        <d v="2022-09-03T00:00:00"/>
        <d v="2022-09-04T00:00:00"/>
        <d v="2022-09-05T00:00:00"/>
        <d v="2022-09-06T00:00:00"/>
        <d v="2022-09-07T00:00:00"/>
        <d v="2022-09-08T00:00:00"/>
        <d v="2022-09-09T00:00:00"/>
        <d v="2022-09-10T00:00:00"/>
        <d v="2022-09-11T00:00:00"/>
        <d v="2022-09-12T00:00:00"/>
        <d v="2022-09-13T00:00:00"/>
        <d v="2022-09-14T00:00:00"/>
        <d v="2022-09-15T00:00:00"/>
        <d v="2022-09-16T00:00:00"/>
        <d v="2022-09-17T00:00:00"/>
        <d v="2022-09-18T00:00:00"/>
        <d v="2022-09-19T00:00:00"/>
        <d v="2022-09-20T00:00:00"/>
        <d v="2022-09-21T00:00:00"/>
        <d v="2022-09-22T00:00:00"/>
        <d v="2022-09-23T00:00:00"/>
        <d v="2022-09-24T00:00:00"/>
        <d v="2022-09-25T00:00:00"/>
        <d v="2022-09-26T00:00:00"/>
        <d v="2022-09-27T00:00:00"/>
        <d v="2022-09-28T00:00:00"/>
        <d v="2022-09-29T00:00:00"/>
        <d v="2022-09-30T00:00:00"/>
        <d v="2022-10-01T00:00:00"/>
        <d v="2022-10-02T00:00:00"/>
        <d v="2022-10-03T00:00:00"/>
        <d v="2022-10-04T00:00:00"/>
        <d v="2022-10-05T00:00:00"/>
        <d v="2022-10-06T00:00:00"/>
        <d v="2022-10-07T00:00:00"/>
        <d v="2022-10-08T00:00:00"/>
        <d v="2022-10-09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6T00:00:00"/>
        <d v="2022-12-17T00:00:00"/>
        <d v="2022-12-18T00:00:00"/>
        <d v="2022-12-19T00:00:00"/>
        <d v="2022-12-20T00:00:00"/>
        <d v="2022-12-21T00:00:00"/>
        <d v="2022-12-22T00:00:00"/>
        <d v="2022-12-23T00:00:00"/>
        <d v="2022-12-24T00:00:00"/>
        <d v="2022-12-25T00:00:00"/>
        <d v="2022-12-26T00:00:00"/>
        <d v="2022-12-27T00:00:00"/>
        <d v="2022-12-28T00:00:00"/>
        <d v="2022-12-29T00:00:00"/>
        <d v="2022-12-30T00:00:00"/>
        <d v="2022-12-31T00:00:00"/>
        <d v="2023-01-01T00:00:00"/>
        <d v="2023-01-02T00:00:00"/>
        <d v="2023-01-03T00:00:00"/>
        <d v="2023-01-04T00:00:00"/>
        <d v="2023-01-05T00:00:00"/>
        <d v="2023-01-06T00:00:00"/>
        <d v="2023-01-07T00:00:00"/>
        <d v="2023-01-08T00:00:00"/>
        <d v="2023-01-09T00:00:00"/>
        <d v="2023-01-10T00:00:00"/>
        <d v="2023-01-11T00:00:00"/>
        <d v="2023-01-12T00:00:00"/>
        <d v="2023-01-13T00:00:00"/>
        <d v="2023-01-14T00:00:00"/>
        <d v="2023-01-15T00:00:00"/>
        <d v="2023-01-16T00:00:00"/>
        <d v="2023-01-17T00:00:00"/>
        <d v="2023-01-18T00:00:00"/>
        <d v="2023-01-19T00:00:00"/>
        <d v="2023-01-20T00:00:00"/>
        <d v="2023-01-21T00:00:00"/>
        <d v="2023-01-22T00:00:00"/>
        <d v="2023-01-23T00:00:00"/>
        <d v="2023-01-24T00:00:00"/>
        <d v="2023-01-25T00:00:00"/>
        <d v="2023-01-26T00:00:00"/>
        <d v="2023-01-27T00:00:00"/>
        <d v="2023-01-28T00:00:00"/>
        <d v="2023-01-29T00:00:00"/>
        <d v="2023-01-30T00:00:00"/>
        <d v="2023-01-31T00:00:00"/>
        <d v="2023-02-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3-01T00:00:00"/>
        <d v="2023-03-02T00:00:00"/>
        <d v="2023-03-03T00:00:00"/>
        <d v="2023-03-04T00:00:00"/>
        <d v="2023-03-05T00:00:00"/>
        <d v="2023-03-06T00:00:00"/>
        <d v="2023-03-07T00:00:00"/>
        <d v="2023-03-08T00:00:00"/>
        <d v="2023-03-09T00:00:00"/>
        <d v="2023-03-10T00:00:00"/>
        <d v="2023-03-11T00:00:00"/>
        <d v="2023-03-12T00:00:00"/>
        <d v="2023-03-13T00:00:00"/>
        <d v="2023-03-14T00:00:00"/>
        <d v="2023-03-15T00:00:00"/>
        <d v="2023-03-16T00:00:00"/>
        <d v="2023-03-17T00:00:00"/>
        <d v="2023-03-18T00:00:00"/>
        <d v="2023-03-19T00:00:00"/>
        <d v="2023-03-20T00:00:00"/>
        <d v="2023-03-21T00:00:00"/>
        <d v="2023-03-22T00:00:00"/>
        <d v="2023-03-23T00:00:00"/>
        <d v="2023-03-24T00:00:00"/>
        <d v="2023-03-25T00:00:00"/>
        <d v="2023-03-26T00:00:00"/>
        <d v="2023-03-27T00:00:00"/>
        <d v="2023-03-28T00:00:00"/>
        <d v="2023-03-29T00:00:00"/>
        <d v="2023-03-30T00:00:00"/>
        <d v="2023-03-31T00:00:00"/>
        <d v="2023-04-0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1T00:00:00"/>
        <d v="2023-04-22T00:00:00"/>
        <d v="2023-04-23T00:00:00"/>
        <d v="2023-04-24T00:00:00"/>
        <d v="2023-04-25T00:00:00"/>
        <d v="2023-04-26T00:00:00"/>
        <d v="2023-04-27T00:00:00"/>
        <d v="2023-04-28T00:00:00"/>
        <d v="2023-04-29T00:00:00"/>
        <d v="2023-04-30T00:00:00"/>
        <d v="2023-05-01T00:00:00"/>
        <d v="2023-05-02T00:00:00"/>
        <d v="2023-05-03T00:00:00"/>
        <d v="2023-05-04T00:00:00"/>
        <d v="2023-05-05T00:00:00"/>
        <d v="2023-05-06T00:00:00"/>
        <d v="2023-05-07T00:00:00"/>
        <d v="2023-05-08T00:00:00"/>
        <d v="2023-05-09T00:00:00"/>
        <d v="2023-05-10T00:00:00"/>
        <d v="2023-05-11T00:00:00"/>
        <d v="2023-05-12T00:00:00"/>
        <d v="2023-05-13T00:00:00"/>
        <d v="2023-05-14T00:00:00"/>
        <d v="2023-05-15T00:00:00"/>
        <d v="2023-05-16T00:00:00"/>
        <d v="2023-05-17T00:00:00"/>
        <d v="2023-05-18T00:00:00"/>
        <d v="2023-05-19T00:00:00"/>
        <d v="2023-05-20T00:00:00"/>
        <d v="2023-05-21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6T00:00:00"/>
        <d v="2023-06-07T00:00:00"/>
        <d v="2023-06-08T00:00:00"/>
        <d v="2023-06-09T00:00:00"/>
        <d v="2023-06-10T00:00:00"/>
        <d v="2023-06-11T00:00:00"/>
        <d v="2023-06-12T00:00:00"/>
        <d v="2023-06-13T00:00:00"/>
        <d v="2023-06-14T00:00:00"/>
        <d v="2023-06-15T00:00:00"/>
        <d v="2023-06-16T00:00:00"/>
        <d v="2023-06-17T00:00:00"/>
        <d v="2023-06-18T00:00:00"/>
        <d v="2023-06-19T00:00:00"/>
        <d v="2023-06-20T00:00:00"/>
        <d v="2023-06-21T00:00:00"/>
        <d v="2023-06-22T00:00:00"/>
        <d v="2023-06-23T00:00:00"/>
        <d v="2023-06-24T00:00:00"/>
        <d v="2023-06-25T00:00:00"/>
        <d v="2023-06-26T00:00:00"/>
        <d v="2023-06-27T00:00:00"/>
        <d v="2023-06-28T00:00:00"/>
        <d v="2023-06-29T00:00:00"/>
        <d v="2023-06-30T00:00:00"/>
        <d v="2023-07-01T00:00:00"/>
        <d v="2023-07-02T00:00:00"/>
        <d v="2023-07-03T00:00:00"/>
        <d v="2023-07-04T00:00:00"/>
        <d v="2023-07-05T00:00:00"/>
        <d v="2023-07-06T00:00:00"/>
        <d v="2023-07-07T00:00:00"/>
        <d v="2023-07-08T00:00:00"/>
        <d v="2023-07-09T00:00:00"/>
        <d v="2023-07-10T00:00:00"/>
        <d v="2023-07-11T00:00:00"/>
        <d v="2023-07-12T00:00:00"/>
        <d v="2023-07-13T00:00:00"/>
        <d v="2023-07-14T00:00:00"/>
        <d v="2023-07-15T00:00:00"/>
        <d v="2023-07-16T00:00:00"/>
        <d v="2023-07-17T00:00:00"/>
        <d v="2023-07-18T00:00:00"/>
        <d v="2023-07-19T00:00:00"/>
        <d v="2023-07-20T00:00:00"/>
        <d v="2023-07-21T00:00:00"/>
        <d v="2023-07-22T00:00:00"/>
        <d v="2023-07-23T00:00:00"/>
        <d v="2023-07-24T00:00:00"/>
        <d v="2023-07-25T00:00:00"/>
        <d v="2023-07-26T00:00:00"/>
        <d v="2023-07-27T00:00:00"/>
        <d v="2023-07-28T00:00:00"/>
        <d v="2023-07-29T00:00:00"/>
        <d v="2023-07-30T00:00:00"/>
        <d v="2023-07-31T00:00:00"/>
        <d v="2023-08-01T00:00:00"/>
        <d v="2023-08-02T00:00:00"/>
        <d v="2023-08-03T00:00:00"/>
        <d v="2023-08-04T00:00:00"/>
        <d v="2023-08-05T00:00:00"/>
        <d v="2023-08-06T00:00:00"/>
        <d v="2023-08-07T00:00:00"/>
        <d v="2023-08-08T00:00:00"/>
        <d v="2023-08-09T00:00:00"/>
        <d v="2023-08-10T00:00:00"/>
        <d v="2023-08-11T00:00:00"/>
        <d v="2023-08-12T00:00:00"/>
        <d v="2023-08-13T00:00:00"/>
        <d v="2023-08-14T00:00:00"/>
        <d v="2023-08-15T00:00:00"/>
        <d v="2023-08-16T00:00:00"/>
        <d v="2023-08-17T00:00:00"/>
        <d v="2023-08-18T00:00:00"/>
        <d v="2023-08-19T00:00:00"/>
        <d v="2023-08-20T00:00:00"/>
        <d v="2023-08-21T00:00:00"/>
        <d v="2023-08-22T00:00:00"/>
        <d v="2023-08-23T00:00:00"/>
        <d v="2023-08-24T00:00:00"/>
        <d v="2023-08-25T00:00:00"/>
        <d v="2023-08-26T00:00:00"/>
        <d v="2023-08-27T00:00:00"/>
        <d v="2023-08-28T00:00:00"/>
        <d v="2023-08-29T00:00:00"/>
        <d v="2023-08-30T00:00:00"/>
        <d v="2023-08-31T00:00:00"/>
        <d v="2023-09-01T00:00:00"/>
        <d v="2023-09-02T00:00:00"/>
        <d v="2023-09-03T00:00:00"/>
        <d v="2023-09-04T00:00:00"/>
        <d v="2023-09-05T00:00:00"/>
        <d v="2023-09-06T00:00:00"/>
        <d v="2023-09-07T00:00:00"/>
        <d v="2023-09-08T00:00:00"/>
        <d v="2023-09-09T00:00:00"/>
        <d v="2023-09-10T00:00:00"/>
        <d v="2023-09-11T00:00:00"/>
        <d v="2023-09-12T00:00:00"/>
        <d v="2023-09-13T00:00:00"/>
        <d v="2023-09-14T00:00:00"/>
        <d v="2023-09-15T00:00:00"/>
        <d v="2023-09-16T00:00:00"/>
        <d v="2023-09-17T00:00:00"/>
        <d v="2023-09-18T00:00:00"/>
        <d v="2023-09-19T00:00:00"/>
        <d v="2023-09-20T00:00:00"/>
        <d v="2023-09-21T00:00:00"/>
        <d v="2023-09-22T00:00:00"/>
        <d v="2023-09-23T00:00:00"/>
        <d v="2023-09-24T00:00:00"/>
        <d v="2023-09-25T00:00:00"/>
        <d v="2023-09-26T00:00:00"/>
        <d v="2023-09-27T00:00:00"/>
        <d v="2023-09-28T00:00:00"/>
        <d v="2023-09-29T00:00:00"/>
        <d v="2023-09-30T00:00:00"/>
        <d v="2023-10-01T00:00:00"/>
        <d v="2023-10-02T00:00:00"/>
        <d v="2023-10-03T00:00:00"/>
        <d v="2023-10-04T00:00:00"/>
        <d v="2023-10-05T00:00:00"/>
        <d v="2023-10-06T00:00:00"/>
        <d v="2023-10-07T00:00:00"/>
        <d v="2023-10-08T00:00:00"/>
        <d v="2023-10-09T00:00:00"/>
        <d v="2023-10-10T00:00:00"/>
        <d v="2023-10-11T00:00:00"/>
        <d v="2023-10-12T00:00:00"/>
        <d v="2023-10-13T00:00:00"/>
        <d v="2023-10-14T00:00:00"/>
        <d v="2023-10-15T00:00:00"/>
        <d v="2023-10-16T00:00:00"/>
        <d v="2023-10-17T00:00:00"/>
        <d v="2023-10-18T00:00:00"/>
        <d v="2023-10-19T00:00:00"/>
        <d v="2023-10-20T00:00:00"/>
        <d v="2023-10-21T00:00:00"/>
        <d v="2023-10-22T00:00:00"/>
        <d v="2023-10-23T00:00:00"/>
        <d v="2023-10-24T00:00:00"/>
        <d v="2023-10-25T00:00:00"/>
        <d v="2023-10-26T00:00:00"/>
        <d v="2023-10-27T00:00:00"/>
        <d v="2023-10-28T00:00:00"/>
        <d v="2023-10-29T00:00:00"/>
        <d v="2023-10-30T00:00:00"/>
        <d v="2023-10-31T00:00:00"/>
        <d v="2023-11-01T00:00:00"/>
        <d v="2023-11-02T00:00:00"/>
        <d v="2023-11-03T00:00:00"/>
        <d v="2023-11-04T00:00:00"/>
        <d v="2023-11-05T00:00:00"/>
        <d v="2023-11-06T00:00:00"/>
        <d v="2023-11-07T00:00:00"/>
        <d v="2023-11-08T00:00:00"/>
        <d v="2023-11-09T00:00:00"/>
        <d v="2023-11-10T00:00:00"/>
        <d v="2023-11-11T00:00:00"/>
        <d v="2023-11-12T00:00:00"/>
        <d v="2023-11-13T00:00:00"/>
        <d v="2023-11-14T00:00:00"/>
        <d v="2023-11-15T00:00:00"/>
        <d v="2023-11-16T00:00:00"/>
        <d v="2023-11-17T00:00:00"/>
        <d v="2023-11-18T00:00:00"/>
        <d v="2023-11-19T00:00:00"/>
        <d v="2023-11-20T00:00:00"/>
        <d v="2023-11-21T00:00:00"/>
        <d v="2023-11-22T00:00:00"/>
        <d v="2023-11-23T00:00:00"/>
        <d v="2023-11-24T00:00:00"/>
        <d v="2023-11-25T00:00:00"/>
        <d v="2023-11-26T00:00:00"/>
        <d v="2023-11-27T00:00:00"/>
        <d v="2023-11-28T00:00:00"/>
        <d v="2023-11-29T00:00:00"/>
        <d v="2023-11-30T00:00:00"/>
        <d v="2023-12-01T00:00:00"/>
        <d v="2023-12-02T00:00:00"/>
        <d v="2023-12-03T00:00:00"/>
        <d v="2023-12-04T00:00:00"/>
        <d v="2023-12-05T00:00:00"/>
        <d v="2023-12-06T00:00:00"/>
        <d v="2023-12-07T00:00:00"/>
        <d v="2023-12-08T00:00:00"/>
        <d v="2023-12-09T00:00:00"/>
        <d v="2023-12-10T00:00:00"/>
        <d v="2023-12-11T00:00:00"/>
        <d v="2023-12-12T00:00:00"/>
        <d v="2023-12-13T00:00:00"/>
        <d v="2023-12-14T00:00:00"/>
        <d v="2023-12-15T00:00:00"/>
        <d v="2023-12-16T00:00:00"/>
        <d v="2023-12-17T00:00:00"/>
        <d v="2023-12-18T00:00:00"/>
        <d v="2023-12-19T00:00:00"/>
        <d v="2023-12-20T00:00:00"/>
        <d v="2023-12-21T00:00:00"/>
        <d v="2023-12-22T00:00:00"/>
        <d v="2023-12-23T00:00:00"/>
        <d v="2023-12-24T00:00:00"/>
        <d v="2023-12-25T00:00:00"/>
        <d v="2023-12-26T00:00:00"/>
        <d v="2023-12-27T00:00:00"/>
        <d v="2023-12-28T00:00:00"/>
        <d v="2023-12-29T00:00:00"/>
        <d v="2023-12-30T00:00:00"/>
        <d v="2023-12-31T00:00:00"/>
        <d v="2024-01-01T00:00:00"/>
        <d v="2024-01-02T00:00:00"/>
        <d v="2024-01-03T00:00:00"/>
        <d v="2024-01-04T00:00:00"/>
        <d v="2024-01-05T00:00:00"/>
        <d v="2024-01-06T00:00:00"/>
        <d v="2024-01-07T00:00:00"/>
        <d v="2024-01-08T00:00:00"/>
        <d v="2024-01-09T00:00:00"/>
        <d v="2024-01-10T00:00:00"/>
        <d v="2024-01-11T00:00:00"/>
        <d v="2024-01-12T00:00:00"/>
        <d v="2024-01-13T00:00:00"/>
        <d v="2024-01-14T00:00:00"/>
        <d v="2024-01-15T00:00:00"/>
        <d v="2024-01-16T00:00:00"/>
        <d v="2024-01-17T00:00:00"/>
        <d v="2024-01-18T00:00:00"/>
        <d v="2024-01-19T00:00:00"/>
        <d v="2024-01-20T00:00:00"/>
        <d v="2024-01-21T00:00:00"/>
        <d v="2024-01-22T00:00:00"/>
        <d v="2024-01-23T00:00:00"/>
        <d v="2024-01-24T00:00:00"/>
        <d v="2024-01-25T00:00:00"/>
        <d v="2024-01-26T00:00:00"/>
        <d v="2024-01-27T00:00:00"/>
        <d v="2024-01-28T00:00:00"/>
        <d v="2024-01-29T00:00:00"/>
        <d v="2024-01-30T00:00:00"/>
        <d v="2024-01-31T00:00:00"/>
        <d v="2024-02-01T00:00:00"/>
        <d v="2024-02-02T00:00:00"/>
        <d v="2024-02-03T00:00:00"/>
        <d v="2024-02-04T00:00:00"/>
        <d v="2024-02-05T00:00:00"/>
        <d v="2024-02-06T00:00:00"/>
        <d v="2024-02-07T00:00:00"/>
        <d v="2024-02-08T00:00:00"/>
        <d v="2024-02-09T00:00:00"/>
        <d v="2024-02-10T00:00:00"/>
        <d v="2024-02-11T00:00:00"/>
        <d v="2024-02-12T00:00:00"/>
        <d v="2024-02-13T00:00:00"/>
        <d v="2024-02-14T00:00:00"/>
        <d v="2024-02-15T00:00:00"/>
        <d v="2024-02-16T00:00:00"/>
        <d v="2024-02-17T00:00:00"/>
        <d v="2024-02-18T00:00:00"/>
        <d v="2024-02-19T00:00:00"/>
        <d v="2024-02-20T00:00:00"/>
        <d v="2024-02-21T00:00:00"/>
        <d v="2024-02-22T00:00:00"/>
        <d v="2024-02-23T00:00:00"/>
        <d v="2024-02-24T00:00:00"/>
        <d v="2024-02-25T00:00:00"/>
        <d v="2024-02-26T00:00:00"/>
        <d v="2024-02-27T00:00:00"/>
        <d v="2024-02-28T00:00:00"/>
        <d v="2024-02-29T00:00:00"/>
        <d v="2024-03-01T00:00:00"/>
        <d v="2024-03-02T00:00:00"/>
        <d v="2024-03-03T00:00:00"/>
        <d v="2024-03-04T00:00:00"/>
        <d v="2024-03-05T00:00:00"/>
        <d v="2024-03-06T00:00:00"/>
        <d v="2024-03-07T00:00:00"/>
        <d v="2024-03-08T00:00:00"/>
        <d v="2024-03-09T00:00:00"/>
        <d v="2024-03-10T00:00:00"/>
        <d v="2024-03-11T00:00:00"/>
        <d v="2024-03-12T00:00:00"/>
        <d v="2024-03-13T00:00:00"/>
        <d v="2024-03-14T00:00:00"/>
        <d v="2024-03-15T00:00:00"/>
        <d v="2024-03-16T00:00:00"/>
        <d v="2024-03-17T00:00:00"/>
        <d v="2024-03-18T00:00:00"/>
        <d v="2024-03-19T00:00:00"/>
        <d v="2024-03-20T00:00:00"/>
        <d v="2024-03-21T00:00:00"/>
        <d v="2024-03-22T00:00:00"/>
        <d v="2024-03-23T00:00:00"/>
        <d v="2024-03-24T00:00:00"/>
        <d v="2024-03-25T00:00:00"/>
        <d v="2024-03-26T00:00:00"/>
        <d v="2024-03-27T00:00:00"/>
        <d v="2024-03-28T00:00:00"/>
        <d v="2024-03-29T00:00:00"/>
        <d v="2024-03-30T00:00:00"/>
        <d v="2024-03-31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6T00:00:00"/>
        <d v="2024-10-27T00:00:00"/>
        <d v="2024-10-28T00:00:00"/>
        <d v="2024-10-29T00:00:00"/>
        <d v="2024-10-30T00:00:00"/>
        <d v="2024-10-31T00:00:00"/>
        <d v="2024-11-01T00:00:00"/>
        <d v="2024-11-02T00:00:00"/>
        <d v="2024-11-03T00:00:00"/>
        <d v="2024-11-04T00:00:00"/>
        <d v="2024-11-05T00:00:00"/>
        <d v="2024-11-06T00:00:00"/>
        <d v="2024-11-07T00:00:00"/>
        <d v="2024-11-08T00:00:00"/>
        <d v="2024-11-09T00:00:00"/>
        <d v="2024-11-10T00:00:00"/>
        <d v="2024-11-11T00:00:00"/>
        <d v="2024-11-12T00:00:00"/>
        <d v="2024-11-13T00:00:00"/>
        <d v="2024-11-14T00:00:00"/>
        <d v="2024-11-15T00:00:00"/>
        <d v="2024-11-16T00:00:00"/>
        <d v="2024-11-17T00:00:00"/>
        <d v="2024-11-18T00:00:00"/>
        <d v="2024-11-19T00:00:00"/>
        <d v="2024-11-20T00:00:00"/>
        <d v="2024-11-21T00:00:00"/>
        <d v="2024-11-22T00:00:00"/>
        <d v="2024-11-23T00:00:00"/>
        <d v="2024-11-24T00:00:00"/>
        <d v="2024-11-25T00:00:00"/>
        <d v="2024-11-26T00:00:00"/>
        <d v="2024-11-27T00:00:00"/>
        <d v="2024-11-28T00:00:00"/>
        <d v="2024-11-29T00:00:00"/>
        <d v="2024-11-30T00:00:00"/>
        <d v="2024-12-01T00:00:00"/>
        <d v="2024-12-02T00:00:00"/>
        <d v="2024-12-03T00:00:00"/>
        <d v="2024-12-04T00:00:00"/>
        <d v="2024-12-05T00:00:00"/>
        <d v="2024-12-06T00:00:00"/>
        <d v="2024-12-07T00:00:00"/>
        <d v="2024-12-08T00:00:00"/>
        <d v="2024-12-09T00:00:00"/>
        <d v="2024-12-10T00:00:00"/>
        <d v="2024-12-11T00:00:00"/>
        <d v="2024-12-12T00:00:00"/>
        <d v="2024-12-13T00:00:00"/>
        <d v="2024-12-14T00:00:00"/>
        <d v="2024-12-15T00:00:00"/>
        <d v="2024-12-16T00:00:00"/>
        <d v="2024-12-17T00:00:00"/>
        <d v="2024-12-18T00:00:00"/>
        <d v="2024-12-19T00:00:00"/>
        <d v="2024-12-20T00:00:00"/>
        <d v="2024-12-21T00:00:00"/>
        <d v="2024-12-22T00:00:00"/>
        <d v="2024-12-23T00:00:00"/>
        <d v="2024-12-24T00:00:00"/>
        <d v="2024-12-25T00:00:00"/>
        <d v="2024-12-26T00:00:00"/>
        <d v="2024-12-27T00:00:00"/>
        <d v="2024-12-28T00:00:00"/>
        <d v="2024-12-29T00:00:00"/>
        <d v="2024-12-30T00:00:00"/>
        <d v="2024-12-31T00:00:00"/>
      </sharedItems>
    </cacheField>
    <cacheField name="[Tab_concat].[Dates (mois)].[Dates (mois)]" caption="Dates (mois)" numFmtId="0" hierarchy="19" level="1">
      <sharedItems containsNonDate="0" count="12">
        <s v="janv"/>
        <s v="févr"/>
        <s v="mars"/>
        <s v="avr"/>
        <s v="mai"/>
        <s v="juin"/>
        <s v="juil"/>
        <s v="août"/>
        <s v="sept"/>
        <s v="oct"/>
        <s v="nov"/>
        <s v="déc"/>
      </sharedItems>
    </cacheField>
    <cacheField name="[Tab_concat].[Dates (trimestre)].[Dates (trimestre)]" caption="Dates (trimestre)" numFmtId="0" hierarchy="18" level="1">
      <sharedItems containsNonDate="0" count="4">
        <s v="Trim1"/>
        <s v="Trim2"/>
        <s v="Trim3"/>
        <s v="Trim4"/>
      </sharedItems>
    </cacheField>
    <cacheField name="[Tab_concat].[Dates (année)].[Dates (année)]" caption="Dates (année)" numFmtId="0" hierarchy="17" level="1">
      <sharedItems count="9">
        <s v="2017"/>
        <s v="2018"/>
        <s v="2019"/>
        <s v="2020"/>
        <s v="2021"/>
        <s v="2022"/>
        <s v="2023"/>
        <s v="2024"/>
        <s v="2025"/>
      </sharedItems>
    </cacheField>
    <cacheField name="[Measures].[Moyenne de Cout_unitaire]" caption="Moyenne de Cout_unitaire" numFmtId="0" hierarchy="45" level="32767"/>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fieldsUsage count="2">
        <fieldUsage x="-1"/>
        <fieldUsage x="1"/>
      </fieldsUsage>
    </cacheHierarchy>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2" memberValueDatatype="130" unbalanced="0">
      <fieldsUsage count="2">
        <fieldUsage x="-1"/>
        <fieldUsage x="0"/>
      </fieldsUsage>
    </cacheHierarchy>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4"/>
      </fieldsUsage>
    </cacheHierarchy>
    <cacheHierarchy uniqueName="[Tab_concat].[Dates (trimestre)]" caption="Dates (trimestre)" attribute="1" defaultMemberUniqueName="[Tab_concat].[Dates (trimestre)].[All]" allUniqueName="[Tab_concat].[Dates (trimestre)].[All]" dimensionUniqueName="[Tab_concat]" displayFolder="" count="2" memberValueDatatype="130" unbalanced="0">
      <fieldsUsage count="2">
        <fieldUsage x="-1"/>
        <fieldUsage x="3"/>
      </fieldsUsage>
    </cacheHierarchy>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2"/>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oneField="1" hidden="1">
      <fieldsUsage count="1">
        <fieldUsage x="5"/>
      </fieldsUsage>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pivotCacheId="10562205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36040277775" backgroundQuery="1" createdVersion="7" refreshedVersion="7" minRefreshableVersion="3" recordCount="0" supportSubquery="1" supportAdvancedDrill="1" xr:uid="{4202E796-97C8-4AE4-B1EE-1ABD07356940}">
  <cacheSource type="external" connectionId="10">
    <extLst>
      <ext xmlns:x14="http://schemas.microsoft.com/office/spreadsheetml/2009/9/main" uri="{F057638F-6D5F-4e77-A914-E7F072B9BCA8}">
        <x14:sourceConnection name="ThisWorkbookDataModel"/>
      </ext>
    </extLst>
  </cacheSource>
  <cacheFields count="6">
    <cacheField name="[Measures].[Somme de Demande_jour]" caption="Somme de Demande_jour" numFmtId="0" hierarchy="40" level="32767"/>
    <cacheField name="[Tab_concat].[Dates].[Dates]" caption="Dates" numFmtId="0" hierarchy="1" level="1">
      <sharedItems containsSemiMixedTypes="0" containsNonDate="0" containsDate="1" containsString="0" minDate="2025-05-07T00:00:00" maxDate="2025-09-02T00:00:00" count="118">
        <d v="2025-05-07T00:00:00"/>
        <d v="2025-05-08T00:00:00"/>
        <d v="2025-05-09T00:00:00"/>
        <d v="2025-05-10T00:00:00"/>
        <d v="2025-05-11T00:00:00"/>
        <d v="2025-05-12T00:00:00"/>
        <d v="2025-05-13T00:00:00"/>
        <d v="2025-05-14T00:00:00"/>
        <d v="2025-05-15T00:00:00"/>
        <d v="2025-05-16T00:00:00"/>
        <d v="2025-05-17T00:00:00"/>
        <d v="2025-05-18T00:00:00"/>
        <d v="2025-05-19T00:00:00"/>
        <d v="2025-05-20T00:00:00"/>
        <d v="2025-05-21T00:00:00"/>
        <d v="2025-05-22T00:00:00"/>
        <d v="2025-05-23T00:00:00"/>
        <d v="2025-05-24T00:00:00"/>
        <d v="2025-05-25T00:00:00"/>
        <d v="2025-05-26T00:00:00"/>
        <d v="2025-05-27T00:00:00"/>
        <d v="2025-05-28T00:00:00"/>
        <d v="2025-05-29T00:00:00"/>
        <d v="2025-05-30T00:00:00"/>
        <d v="2025-05-31T00:00:00"/>
        <d v="2025-06-01T00:00:00"/>
        <d v="2025-06-02T00:00:00"/>
        <d v="2025-06-03T00:00:00"/>
        <d v="2025-06-04T00:00:00"/>
        <d v="2025-06-05T00:00:00"/>
        <d v="2025-06-06T00:00:00"/>
        <d v="2025-06-07T00:00:00"/>
        <d v="2025-06-08T00:00:00"/>
        <d v="2025-06-09T00:00:00"/>
        <d v="2025-06-10T00:00:00"/>
        <d v="2025-06-11T00:00:00"/>
        <d v="2025-06-12T00:00:00"/>
        <d v="2025-06-13T00:00:00"/>
        <d v="2025-06-14T00:00:00"/>
        <d v="2025-06-15T00:00:00"/>
        <d v="2025-06-16T00:00:00"/>
        <d v="2025-06-17T00:00:00"/>
        <d v="2025-06-18T00:00:00"/>
        <d v="2025-06-19T00:00:00"/>
        <d v="2025-06-20T00:00:00"/>
        <d v="2025-06-21T00:00:00"/>
        <d v="2025-06-22T00:00:00"/>
        <d v="2025-06-23T00:00:00"/>
        <d v="2025-06-24T00:00:00"/>
        <d v="2025-06-25T00:00:00"/>
        <d v="2025-06-26T00:00:00"/>
        <d v="2025-06-27T00:00:00"/>
        <d v="2025-06-28T00:00:00"/>
        <d v="2025-06-29T00:00:00"/>
        <d v="2025-06-30T00:00:00"/>
        <d v="2025-07-01T00:00:00"/>
        <d v="2025-07-02T00:00:00"/>
        <d v="2025-07-03T00:00:00"/>
        <d v="2025-07-04T00:00:00"/>
        <d v="2025-07-05T00:00:00"/>
        <d v="2025-07-06T00:00:00"/>
        <d v="2025-07-07T00:00:00"/>
        <d v="2025-07-08T00:00:00"/>
        <d v="2025-07-09T00:00:00"/>
        <d v="2025-07-10T00:00:00"/>
        <d v="2025-07-11T00:00:00"/>
        <d v="2025-07-12T00:00:00"/>
        <d v="2025-07-13T00:00:00"/>
        <d v="2025-07-14T00:00:00"/>
        <d v="2025-07-15T00:00:00"/>
        <d v="2025-07-16T00:00:00"/>
        <d v="2025-07-17T00:00:00"/>
        <d v="2025-07-18T00:00:00"/>
        <d v="2025-07-19T00:00:00"/>
        <d v="2025-07-20T00:00:00"/>
        <d v="2025-07-21T00:00:00"/>
        <d v="2025-07-22T00:00:00"/>
        <d v="2025-07-23T00:00:00"/>
        <d v="2025-07-24T00:00:00"/>
        <d v="2025-07-25T00:00:00"/>
        <d v="2025-07-26T00:00:00"/>
        <d v="2025-07-27T00:00:00"/>
        <d v="2025-07-28T00:00:00"/>
        <d v="2025-07-29T00:00:00"/>
        <d v="2025-07-30T00:00:00"/>
        <d v="2025-07-31T00:00:00"/>
        <d v="2025-08-01T00:00:00"/>
        <d v="2025-08-02T00:00:00"/>
        <d v="2025-08-03T00:00:00"/>
        <d v="2025-08-04T00:00:00"/>
        <d v="2025-08-05T00:00:00"/>
        <d v="2025-08-06T00:00:00"/>
        <d v="2025-08-07T00:00:00"/>
        <d v="2025-08-08T00:00:00"/>
        <d v="2025-08-09T00:00:00"/>
        <d v="2025-08-10T00:00:00"/>
        <d v="2025-08-11T00:00:00"/>
        <d v="2025-08-12T00:00:00"/>
        <d v="2025-08-13T00:00:00"/>
        <d v="2025-08-14T00:00:00"/>
        <d v="2025-08-15T00:00:00"/>
        <d v="2025-08-16T00:00:00"/>
        <d v="2025-08-17T00:00:00"/>
        <d v="2025-08-18T00:00:00"/>
        <d v="2025-08-19T00:00:00"/>
        <d v="2025-08-20T00:00:00"/>
        <d v="2025-08-21T00:00:00"/>
        <d v="2025-08-22T00:00:00"/>
        <d v="2025-08-23T00:00:00"/>
        <d v="2025-08-24T00:00:00"/>
        <d v="2025-08-25T00:00:00"/>
        <d v="2025-08-26T00:00:00"/>
        <d v="2025-08-27T00:00:00"/>
        <d v="2025-08-28T00:00:00"/>
        <d v="2025-08-29T00:00:00"/>
        <d v="2025-08-30T00:00:00"/>
        <d v="2025-08-31T00:00:00"/>
        <d v="2025-09-01T00:00:00"/>
      </sharedItems>
    </cacheField>
    <cacheField name="[Tab_concat].[Dates (mois)].[Dates (mois)]" caption="Dates (mois)" numFmtId="0" hierarchy="19" level="1">
      <sharedItems containsNonDate="0" count="12">
        <s v="janv"/>
        <s v="févr"/>
        <s v="mars"/>
        <s v="avr"/>
        <s v="mai"/>
        <s v="juin"/>
        <s v="juil"/>
        <s v="août"/>
        <s v="sept"/>
        <s v="oct"/>
        <s v="nov"/>
        <s v="déc"/>
      </sharedItems>
    </cacheField>
    <cacheField name="[Tab_concat].[Dates (trimestre)].[Dates (trimestre)]" caption="Dates (trimestre)" numFmtId="0" hierarchy="18" level="1">
      <sharedItems containsNonDate="0" count="4">
        <s v="Trim1"/>
        <s v="Trim2"/>
        <s v="Trim3"/>
        <s v="Trim4"/>
      </sharedItems>
    </cacheField>
    <cacheField name="[Tab_concat].[Dates (année)].[Dates (année)]" caption="Dates (année)" numFmtId="0" hierarchy="17" level="1">
      <sharedItems count="5">
        <s v="2021"/>
        <s v="2022"/>
        <s v="2023"/>
        <s v="2024"/>
        <s v="2025"/>
      </sharedItems>
    </cacheField>
    <cacheField name="[Tab_concat].[Nom].[Nom]" caption="Nom" numFmtId="0" hierarchy="11" level="1">
      <sharedItems containsSemiMixedTypes="0" containsNonDate="0" containsString="0"/>
    </cacheField>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fieldsUsage count="2">
        <fieldUsage x="-1"/>
        <fieldUsage x="1"/>
      </fieldsUsage>
    </cacheHierarchy>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5"/>
      </fieldsUsage>
    </cacheHierarchy>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4"/>
      </fieldsUsage>
    </cacheHierarchy>
    <cacheHierarchy uniqueName="[Tab_concat].[Dates (trimestre)]" caption="Dates (trimestre)" attribute="1" defaultMemberUniqueName="[Tab_concat].[Dates (trimestre)].[All]" allUniqueName="[Tab_concat].[Dates (trimestre)].[All]" dimensionUniqueName="[Tab_concat]" displayFolder="" count="2" memberValueDatatype="130" unbalanced="0">
      <fieldsUsage count="2">
        <fieldUsage x="-1"/>
        <fieldUsage x="3"/>
      </fieldsUsage>
    </cacheHierarchy>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2"/>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oneField="1" hidden="1">
      <fieldsUsage count="1">
        <fieldUsage x="0"/>
      </fieldsUsage>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pivotCacheId="212884826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55787035" backgroundQuery="1" createdVersion="3" refreshedVersion="7" minRefreshableVersion="3" recordCount="0" supportSubquery="1" supportAdvancedDrill="1" xr:uid="{96EEBBF1-8591-4F5A-BA59-85C0FD69B156}">
  <cacheSource type="external" connectionId="10">
    <extLst>
      <ext xmlns:x14="http://schemas.microsoft.com/office/spreadsheetml/2009/9/main" uri="{F057638F-6D5F-4e77-A914-E7F072B9BCA8}">
        <x14:sourceConnection name="ThisWorkbookDataModel"/>
      </ext>
    </extLst>
  </cacheSource>
  <cacheFields count="0"/>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pivotCacheId="1741343735"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60995369" backgroundQuery="1" createdVersion="3" refreshedVersion="7" minRefreshableVersion="3" recordCount="0" supportSubquery="1" supportAdvancedDrill="1" xr:uid="{81A53A09-4E18-4F9A-B516-57051C3BB676}">
  <cacheSource type="external" connectionId="10">
    <extLst>
      <ext xmlns:x14="http://schemas.microsoft.com/office/spreadsheetml/2009/9/main" uri="{F057638F-6D5F-4e77-A914-E7F072B9BCA8}">
        <x14:sourceConnection name="ThisWorkbookDataModel"/>
      </ext>
    </extLst>
  </cacheSource>
  <cacheFields count="0"/>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0" memberValueDatatype="130" unbalanced="0"/>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extLst>
    <ext xmlns:x14="http://schemas.microsoft.com/office/spreadsheetml/2009/9/main" uri="{725AE2AE-9491-48be-B2B4-4EB974FC3084}">
      <x14:pivotCacheDefinition pivotCacheId="321124030"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47222221" backgroundQuery="1" createdVersion="7" refreshedVersion="7" minRefreshableVersion="3" recordCount="0" supportSubquery="1" supportAdvancedDrill="1" xr:uid="{702DBED9-2CCE-4138-AF98-236B96268ECF}">
  <cacheSource type="external" connectionId="10"/>
  <cacheFields count="4">
    <cacheField name="[Measures].[Somme de Conso_kWh_PCI]" caption="Somme de Conso_kWh_PCI" numFmtId="0" hierarchy="36" level="32767"/>
    <cacheField name="[Tab_concat].[Dates (année)].[Dates (année)]" caption="Dates (année)" numFmtId="0" hierarchy="17" level="1">
      <sharedItems count="16">
        <s v="2010"/>
        <s v="2011"/>
        <s v="2012"/>
        <s v="2013"/>
        <s v="2014"/>
        <s v="2015"/>
        <s v="2016"/>
        <s v="2017"/>
        <s v="2018"/>
        <s v="2019"/>
        <s v="2020"/>
        <s v="2021"/>
        <s v="2022"/>
        <s v="2023"/>
        <s v="2024"/>
        <s v="2025"/>
      </sharedItems>
    </cacheField>
    <cacheField name="[Tab_concat].[Dates (mois)].[Dates (mois)]" caption="Dates (mois)" numFmtId="0" hierarchy="19" level="1">
      <sharedItems count="12">
        <s v="janv"/>
        <s v="févr"/>
        <s v="mars"/>
        <s v="avr"/>
        <s v="mai"/>
        <s v="juin"/>
        <s v="juil"/>
        <s v="août"/>
        <s v="sept"/>
        <s v="oct"/>
        <s v="nov"/>
        <s v="déc"/>
      </sharedItems>
    </cacheField>
    <cacheField name="[Tab_concat].[Nom].[Nom]" caption="Nom" numFmtId="0" hierarchy="11" level="1">
      <sharedItems containsSemiMixedTypes="0" containsNonDate="0" containsString="0"/>
    </cacheField>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3"/>
      </fieldsUsage>
    </cacheHierarchy>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1"/>
      </fieldsUsage>
    </cacheHierarchy>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2"/>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oneField="1" hidden="1">
      <fieldsUsage count="1">
        <fieldUsage x="0"/>
      </fieldsUsage>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505787" backgroundQuery="1" createdVersion="7" refreshedVersion="7" minRefreshableVersion="3" recordCount="0" supportSubquery="1" supportAdvancedDrill="1" xr:uid="{BD223793-A380-4FC1-86EF-01FA4090C049}">
  <cacheSource type="external" connectionId="10"/>
  <cacheFields count="4">
    <cacheField name="[Measures].[Somme de Conso_kWh_PCI]" caption="Somme de Conso_kWh_PCI" numFmtId="0" hierarchy="36" level="32767"/>
    <cacheField name="[Tab_concat].[Dates (année)].[Dates (année)]" caption="Dates (année)" numFmtId="0" hierarchy="17" level="1">
      <sharedItems count="16">
        <s v="2010"/>
        <s v="2011"/>
        <s v="2012"/>
        <s v="2013"/>
        <s v="2014"/>
        <s v="2015"/>
        <s v="2016"/>
        <s v="2017"/>
        <s v="2018"/>
        <s v="2019"/>
        <s v="2020"/>
        <s v="2021"/>
        <s v="2022"/>
        <s v="2023"/>
        <s v="2024"/>
        <s v="2025"/>
      </sharedItems>
    </cacheField>
    <cacheField name="[Tab_concat].[Dates (mois)].[Dates (mois)]" caption="Dates (mois)" numFmtId="0" hierarchy="19" level="1">
      <sharedItems count="12">
        <s v="janv"/>
        <s v="févr"/>
        <s v="mars"/>
        <s v="avr"/>
        <s v="mai"/>
        <s v="juin"/>
        <s v="juil"/>
        <s v="août"/>
        <s v="sept"/>
        <s v="oct"/>
        <s v="nov"/>
        <s v="déc"/>
      </sharedItems>
    </cacheField>
    <cacheField name="[Tab_concat].[Nom].[Nom]" caption="Nom" numFmtId="0" hierarchy="11" level="1">
      <sharedItems containsSemiMixedTypes="0" containsNonDate="0" containsString="0"/>
    </cacheField>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3"/>
      </fieldsUsage>
    </cacheHierarchy>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1"/>
      </fieldsUsage>
    </cacheHierarchy>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2"/>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oneField="1" hidden="1">
      <fieldsUsage count="1">
        <fieldUsage x="0"/>
      </fieldsUsage>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54050926" backgroundQuery="1" createdVersion="7" refreshedVersion="7" minRefreshableVersion="3" recordCount="0" supportSubquery="1" supportAdvancedDrill="1" xr:uid="{9A1A350F-BFA3-4320-A9C6-435C4C99DF7E}">
  <cacheSource type="external" connectionId="10"/>
  <cacheFields count="4">
    <cacheField name="[Tab_concat].[Dates (année)].[Dates (année)]" caption="Dates (année)" numFmtId="0" hierarchy="17" level="1">
      <sharedItems count="10">
        <s v="2017"/>
        <s v="2018"/>
        <s v="2019"/>
        <s v="2020"/>
        <s v="2021"/>
        <s v="2022"/>
        <s v="2023"/>
        <s v="2024"/>
        <s v="2025"/>
        <s v="2026"/>
      </sharedItems>
    </cacheField>
    <cacheField name="[Tab_concat].[Dates (mois)].[Dates (mois)]" caption="Dates (mois)" numFmtId="0" hierarchy="19" level="1">
      <sharedItems count="12">
        <s v="janv"/>
        <s v="févr"/>
        <s v="mars"/>
        <s v="avr"/>
        <s v="mai"/>
        <s v="juin"/>
        <s v="juil"/>
        <s v="août"/>
        <s v="sept"/>
        <s v="oct"/>
        <s v="nov"/>
        <s v="déc"/>
      </sharedItems>
    </cacheField>
    <cacheField name="[Tab_concat].[Nom].[Nom]" caption="Nom" numFmtId="0" hierarchy="11" level="1">
      <sharedItems containsSemiMixedTypes="0" containsNonDate="0" containsString="0"/>
    </cacheField>
    <cacheField name="[Measures].[Somme de Demande_jour]" caption="Somme de Demande_jour" numFmtId="0" hierarchy="40" level="32767"/>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2"/>
      </fieldsUsage>
    </cacheHierarchy>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0"/>
      </fieldsUsage>
    </cacheHierarchy>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1"/>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oneField="1" hidden="1">
      <fieldsUsage count="1">
        <fieldUsage x="3"/>
      </fieldsUsage>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18357523151" backgroundQuery="1" createdVersion="7" refreshedVersion="7" minRefreshableVersion="3" recordCount="0" supportSubquery="1" supportAdvancedDrill="1" xr:uid="{00AA546A-644D-4B58-B29C-48CB4C89E8D5}">
  <cacheSource type="external" connectionId="10"/>
  <cacheFields count="6">
    <cacheField name="[Tab_concat].[Nom].[Nom]" caption="Nom" numFmtId="0" hierarchy="11" level="1">
      <sharedItems containsSemiMixedTypes="0" containsNonDate="0" containsString="0"/>
    </cacheField>
    <cacheField name="[Tab_concat].[Dates].[Dates]" caption="Dates" numFmtId="0" hierarchy="1" level="1">
      <sharedItems containsSemiMixedTypes="0" containsNonDate="0" containsDate="1" containsString="0" minDate="2013-01-01T00:00:00" maxDate="2025-05-08T00:00:00" count="4510">
        <d v="2013-01-01T00:00:00"/>
        <d v="2013-01-02T00:00:00"/>
        <d v="2013-01-03T00:00:00"/>
        <d v="2013-01-04T00:00:00"/>
        <d v="2013-01-05T00:00:00"/>
        <d v="2013-01-06T00:00:00"/>
        <d v="2013-01-07T00:00:00"/>
        <d v="2013-01-08T00:00:00"/>
        <d v="2013-01-09T00:00:00"/>
        <d v="2013-01-10T00:00:00"/>
        <d v="2013-01-11T00:00:00"/>
        <d v="2013-01-12T00:00:00"/>
        <d v="2013-01-13T00:00:00"/>
        <d v="2013-01-14T00:00:00"/>
        <d v="2013-01-15T00:00:00"/>
        <d v="2013-01-16T00:00:00"/>
        <d v="2013-01-17T00:00:00"/>
        <d v="2013-01-18T00:00:00"/>
        <d v="2013-01-19T00:00:00"/>
        <d v="2013-01-20T00:00:00"/>
        <d v="2013-01-21T00:00:00"/>
        <d v="2013-01-22T00:00:00"/>
        <d v="2013-01-23T00:00:00"/>
        <d v="2013-01-24T00:00:00"/>
        <d v="2013-01-25T00:00:00"/>
        <d v="2013-01-26T00:00:00"/>
        <d v="2013-01-27T00:00:00"/>
        <d v="2013-01-28T00:00:00"/>
        <d v="2013-01-29T00:00:00"/>
        <d v="2013-01-30T00:00:00"/>
        <d v="2013-01-31T00:00:00"/>
        <d v="2013-02-01T00:00:00"/>
        <d v="2013-02-02T00:00:00"/>
        <d v="2013-02-03T00:00:00"/>
        <d v="2013-02-04T00:00:00"/>
        <d v="2013-02-05T00:00:00"/>
        <d v="2013-02-06T00:00:00"/>
        <d v="2013-02-07T00:00:00"/>
        <d v="2013-02-08T00:00:00"/>
        <d v="2013-02-09T00:00:00"/>
        <d v="2013-02-10T00:00:00"/>
        <d v="2013-02-11T00:00:00"/>
        <d v="2013-02-12T00:00:00"/>
        <d v="2013-02-13T00:00:00"/>
        <d v="2013-02-14T00:00:00"/>
        <d v="2013-02-15T00:00:00"/>
        <d v="2013-02-16T00:00:00"/>
        <d v="2013-02-17T00:00:00"/>
        <d v="2013-02-18T00:00:00"/>
        <d v="2013-02-19T00:00:00"/>
        <d v="2013-02-20T00:00:00"/>
        <d v="2013-02-21T00:00:00"/>
        <d v="2013-02-22T00:00:00"/>
        <d v="2013-02-23T00:00:00"/>
        <d v="2013-02-24T00:00:00"/>
        <d v="2013-02-25T00:00:00"/>
        <d v="2013-02-26T00:00:00"/>
        <d v="2013-02-27T00:00:00"/>
        <d v="2013-02-28T00:00:00"/>
        <d v="2013-03-01T00:00:00"/>
        <d v="2013-03-02T00:00:00"/>
        <d v="2013-03-03T00:00:00"/>
        <d v="2013-03-04T00:00:00"/>
        <d v="2013-03-05T00:00:00"/>
        <d v="2013-03-06T00:00:00"/>
        <d v="2013-03-07T00:00:00"/>
        <d v="2013-03-08T00:00:00"/>
        <d v="2013-03-09T00:00:00"/>
        <d v="2013-03-10T00:00:00"/>
        <d v="2013-03-11T00:00:00"/>
        <d v="2013-03-12T00:00:00"/>
        <d v="2013-03-13T00:00:00"/>
        <d v="2013-03-14T00:00:00"/>
        <d v="2013-03-15T00:00:00"/>
        <d v="2013-03-16T00:00:00"/>
        <d v="2013-03-17T00:00:00"/>
        <d v="2013-03-18T00:00:00"/>
        <d v="2013-03-19T00:00:00"/>
        <d v="2013-03-20T00:00:00"/>
        <d v="2013-03-21T00:00:00"/>
        <d v="2013-03-22T00:00:00"/>
        <d v="2013-03-23T00:00:00"/>
        <d v="2013-03-24T00:00:00"/>
        <d v="2013-03-25T00:00:00"/>
        <d v="2013-03-26T00:00:00"/>
        <d v="2013-03-27T00:00:00"/>
        <d v="2013-03-28T00:00:00"/>
        <d v="2013-03-29T00:00:00"/>
        <d v="2013-03-30T00:00:00"/>
        <d v="2013-03-31T00:00:00"/>
        <d v="2013-04-01T00:00:00"/>
        <d v="2013-04-02T00:00:00"/>
        <d v="2013-04-03T00:00:00"/>
        <d v="2013-04-04T00:00:00"/>
        <d v="2013-04-05T00:00:00"/>
        <d v="2013-04-06T00:00:00"/>
        <d v="2013-04-07T00:00:00"/>
        <d v="2013-04-08T00:00:00"/>
        <d v="2013-04-09T00:00:00"/>
        <d v="2013-04-10T00:00:00"/>
        <d v="2013-04-11T00:00:00"/>
        <d v="2013-04-12T00:00:00"/>
        <d v="2013-04-13T00:00:00"/>
        <d v="2013-04-14T00:00:00"/>
        <d v="2013-04-15T00:00:00"/>
        <d v="2013-04-16T00:00:00"/>
        <d v="2013-04-17T00:00:00"/>
        <d v="2013-04-18T00:00:00"/>
        <d v="2013-04-19T00:00:00"/>
        <d v="2013-04-20T00:00:00"/>
        <d v="2013-04-21T00:00:00"/>
        <d v="2013-04-22T00:00:00"/>
        <d v="2013-04-23T00:00:00"/>
        <d v="2013-04-24T00:00:00"/>
        <d v="2013-04-25T00:00:00"/>
        <d v="2013-04-26T00:00:00"/>
        <d v="2013-04-27T00:00:00"/>
        <d v="2013-04-28T00:00:00"/>
        <d v="2013-04-29T00:00:00"/>
        <d v="2013-04-30T00:00:00"/>
        <d v="2013-05-01T00:00:00"/>
        <d v="2013-05-02T00:00:00"/>
        <d v="2013-05-03T00:00:00"/>
        <d v="2013-05-04T00:00:00"/>
        <d v="2013-05-05T00:00:00"/>
        <d v="2013-05-06T00:00:00"/>
        <d v="2013-05-07T00:00:00"/>
        <d v="2013-05-08T00:00:00"/>
        <d v="2013-05-09T00:00:00"/>
        <d v="2013-05-10T00:00:00"/>
        <d v="2013-05-11T00:00:00"/>
        <d v="2013-05-12T00:00:00"/>
        <d v="2013-05-13T00:00:00"/>
        <d v="2013-05-14T00:00:00"/>
        <d v="2013-05-15T00:00:00"/>
        <d v="2013-05-16T00:00:00"/>
        <d v="2013-05-17T00:00:00"/>
        <d v="2013-05-18T00:00:00"/>
        <d v="2013-05-19T00:00:00"/>
        <d v="2013-05-20T00:00:00"/>
        <d v="2013-05-21T00:00:00"/>
        <d v="2013-05-22T00:00:00"/>
        <d v="2013-05-23T00:00:00"/>
        <d v="2013-05-24T00:00:00"/>
        <d v="2013-05-25T00:00:00"/>
        <d v="2013-05-26T00:00:00"/>
        <d v="2013-05-27T00:00:00"/>
        <d v="2013-05-28T00:00:00"/>
        <d v="2013-05-29T00:00:00"/>
        <d v="2013-05-30T00:00:00"/>
        <d v="2013-05-31T00:00:00"/>
        <d v="2013-06-01T00:00:00"/>
        <d v="2013-06-02T00:00:00"/>
        <d v="2013-06-03T00:00:00"/>
        <d v="2013-06-04T00:00:00"/>
        <d v="2013-06-05T00:00:00"/>
        <d v="2013-06-06T00:00:00"/>
        <d v="2013-06-07T00:00:00"/>
        <d v="2013-06-08T00:00:00"/>
        <d v="2013-06-09T00:00:00"/>
        <d v="2013-06-10T00:00:00"/>
        <d v="2013-06-11T00:00:00"/>
        <d v="2013-06-12T00:00:00"/>
        <d v="2013-06-13T00:00:00"/>
        <d v="2013-06-14T00:00:00"/>
        <d v="2013-06-15T00:00:00"/>
        <d v="2013-06-16T00:00:00"/>
        <d v="2013-06-17T00:00:00"/>
        <d v="2013-06-18T00:00:00"/>
        <d v="2013-06-19T00:00:00"/>
        <d v="2013-06-20T00:00:00"/>
        <d v="2013-06-21T00:00:00"/>
        <d v="2013-06-22T00:00:00"/>
        <d v="2013-06-23T00:00:00"/>
        <d v="2013-06-24T00:00:00"/>
        <d v="2013-06-25T00:00:00"/>
        <d v="2013-06-26T00:00:00"/>
        <d v="2013-06-27T00:00:00"/>
        <d v="2013-06-28T00:00:00"/>
        <d v="2013-06-29T00:00:00"/>
        <d v="2013-06-30T00:00:00"/>
        <d v="2013-07-01T00:00:00"/>
        <d v="2013-07-02T00:00:00"/>
        <d v="2013-07-03T00:00:00"/>
        <d v="2013-07-04T00:00:00"/>
        <d v="2013-07-05T00:00:00"/>
        <d v="2013-07-06T00:00:00"/>
        <d v="2013-07-07T00:00:00"/>
        <d v="2013-07-08T00:00:00"/>
        <d v="2013-07-09T00:00:00"/>
        <d v="2013-07-10T00:00:00"/>
        <d v="2013-07-11T00:00:00"/>
        <d v="2013-07-12T00:00:00"/>
        <d v="2013-07-13T00:00:00"/>
        <d v="2013-07-14T00:00:00"/>
        <d v="2013-07-15T00:00:00"/>
        <d v="2013-07-16T00:00:00"/>
        <d v="2013-07-17T00:00:00"/>
        <d v="2013-07-18T00:00:00"/>
        <d v="2013-07-19T00:00:00"/>
        <d v="2013-07-20T00:00:00"/>
        <d v="2013-07-21T00:00:00"/>
        <d v="2013-07-22T00:00:00"/>
        <d v="2013-07-23T00:00:00"/>
        <d v="2013-07-24T00:00:00"/>
        <d v="2013-07-25T00:00:00"/>
        <d v="2013-07-26T00:00:00"/>
        <d v="2013-07-27T00:00:00"/>
        <d v="2013-07-28T00:00:00"/>
        <d v="2013-07-29T00:00:00"/>
        <d v="2013-07-30T00:00:00"/>
        <d v="2013-07-31T00:00:00"/>
        <d v="2013-08-01T00:00:00"/>
        <d v="2013-08-02T00:00:00"/>
        <d v="2013-08-03T00:00:00"/>
        <d v="2013-08-04T00:00:00"/>
        <d v="2013-08-05T00:00:00"/>
        <d v="2013-08-06T00:00:00"/>
        <d v="2013-08-07T00:00:00"/>
        <d v="2013-08-08T00:00:00"/>
        <d v="2013-08-09T00:00:00"/>
        <d v="2013-08-10T00:00:00"/>
        <d v="2013-08-11T00:00:00"/>
        <d v="2013-08-12T00:00:00"/>
        <d v="2013-08-13T00:00:00"/>
        <d v="2013-08-14T00:00:00"/>
        <d v="2013-08-15T00:00:00"/>
        <d v="2013-08-16T00:00:00"/>
        <d v="2013-08-17T00:00:00"/>
        <d v="2013-08-18T00:00:00"/>
        <d v="2013-08-19T00:00:00"/>
        <d v="2013-08-20T00:00:00"/>
        <d v="2013-08-21T00:00:00"/>
        <d v="2013-08-22T00:00:00"/>
        <d v="2013-08-23T00:00:00"/>
        <d v="2013-08-24T00:00:00"/>
        <d v="2013-08-25T00:00:00"/>
        <d v="2013-08-26T00:00:00"/>
        <d v="2013-08-27T00:00:00"/>
        <d v="2013-08-28T00:00:00"/>
        <d v="2013-08-29T00:00:00"/>
        <d v="2013-08-30T00:00:00"/>
        <d v="2013-08-31T00:00:00"/>
        <d v="2013-09-01T00:00:00"/>
        <d v="2013-09-02T00:00:00"/>
        <d v="2013-09-03T00:00:00"/>
        <d v="2013-09-04T00:00:00"/>
        <d v="2013-09-05T00:00:00"/>
        <d v="2013-09-06T00:00:00"/>
        <d v="2013-09-07T00:00:00"/>
        <d v="2013-09-08T00:00:00"/>
        <d v="2013-09-09T00:00:00"/>
        <d v="2013-09-10T00:00:00"/>
        <d v="2013-09-11T00:00:00"/>
        <d v="2013-09-12T00:00:00"/>
        <d v="2013-09-13T00:00:00"/>
        <d v="2013-09-14T00:00:00"/>
        <d v="2013-09-15T00:00:00"/>
        <d v="2013-09-16T00:00:00"/>
        <d v="2013-09-17T00:00:00"/>
        <d v="2013-09-18T00:00:00"/>
        <d v="2013-09-19T00:00:00"/>
        <d v="2013-09-20T00:00:00"/>
        <d v="2013-09-21T00:00:00"/>
        <d v="2013-09-22T00:00:00"/>
        <d v="2013-09-23T00:00:00"/>
        <d v="2013-09-24T00:00:00"/>
        <d v="2013-09-25T00:00:00"/>
        <d v="2013-09-26T00:00:00"/>
        <d v="2013-09-27T00:00:00"/>
        <d v="2013-09-28T00:00:00"/>
        <d v="2013-09-29T00:00:00"/>
        <d v="2013-09-30T00:00:00"/>
        <d v="2013-10-01T00:00:00"/>
        <d v="2013-10-02T00:00:00"/>
        <d v="2013-10-03T00:00:00"/>
        <d v="2013-10-04T00:00:00"/>
        <d v="2013-10-05T00:00:00"/>
        <d v="2013-10-06T00:00:00"/>
        <d v="2013-10-07T00:00:00"/>
        <d v="2013-10-08T00:00:00"/>
        <d v="2013-10-09T00:00:00"/>
        <d v="2013-10-10T00:00:00"/>
        <d v="2013-10-11T00:00:00"/>
        <d v="2013-10-12T00:00:00"/>
        <d v="2013-10-13T00:00:00"/>
        <d v="2013-10-14T00:00:00"/>
        <d v="2013-10-15T00:00:00"/>
        <d v="2013-10-16T00:00:00"/>
        <d v="2013-10-17T00:00:00"/>
        <d v="2013-10-18T00:00:00"/>
        <d v="2013-10-19T00:00:00"/>
        <d v="2013-10-20T00:00:00"/>
        <d v="2013-10-21T00:00:00"/>
        <d v="2013-10-22T00:00:00"/>
        <d v="2013-10-23T00:00:00"/>
        <d v="2013-10-24T00:00:00"/>
        <d v="2013-10-25T00:00:00"/>
        <d v="2013-10-26T00:00:00"/>
        <d v="2013-10-27T00:00:00"/>
        <d v="2013-10-28T00:00:00"/>
        <d v="2013-10-29T00:00:00"/>
        <d v="2013-10-30T00:00:00"/>
        <d v="2013-10-31T00:00:00"/>
        <d v="2013-11-01T00:00:00"/>
        <d v="2013-11-02T00:00:00"/>
        <d v="2013-11-03T00:00:00"/>
        <d v="2013-11-04T00:00:00"/>
        <d v="2013-11-05T00:00:00"/>
        <d v="2013-11-06T00:00:00"/>
        <d v="2013-11-07T00:00:00"/>
        <d v="2013-11-08T00:00:00"/>
        <d v="2013-11-09T00:00:00"/>
        <d v="2013-11-10T00:00:00"/>
        <d v="2013-11-11T00:00:00"/>
        <d v="2013-11-12T00:00:00"/>
        <d v="2013-11-13T00:00:00"/>
        <d v="2013-11-14T00:00:00"/>
        <d v="2013-11-15T00:00:00"/>
        <d v="2013-11-16T00:00:00"/>
        <d v="2013-11-17T00:00:00"/>
        <d v="2013-11-18T00:00:00"/>
        <d v="2013-11-19T00:00:00"/>
        <d v="2013-11-20T00:00:00"/>
        <d v="2013-11-21T00:00:00"/>
        <d v="2013-11-22T00:00:00"/>
        <d v="2013-11-23T00:00:00"/>
        <d v="2013-11-24T00:00:00"/>
        <d v="2013-11-25T00:00:00"/>
        <d v="2013-11-26T00:00:00"/>
        <d v="2013-11-27T00:00:00"/>
        <d v="2013-11-28T00:00:00"/>
        <d v="2013-11-29T00:00:00"/>
        <d v="2013-11-30T00:00:00"/>
        <d v="2013-12-01T00:00:00"/>
        <d v="2013-12-02T00:00:00"/>
        <d v="2013-12-03T00:00:00"/>
        <d v="2013-12-04T00:00:00"/>
        <d v="2013-12-05T00:00:00"/>
        <d v="2013-12-06T00:00:00"/>
        <d v="2013-12-07T00:00:00"/>
        <d v="2013-12-08T00:00:00"/>
        <d v="2013-12-09T00:00:00"/>
        <d v="2013-12-10T00:00:00"/>
        <d v="2013-12-11T00:00:00"/>
        <d v="2013-12-12T00:00:00"/>
        <d v="2013-12-13T00:00:00"/>
        <d v="2013-12-14T00:00:00"/>
        <d v="2013-12-15T00:00:00"/>
        <d v="2013-12-16T00:00:00"/>
        <d v="2013-12-17T00:00:00"/>
        <d v="2013-12-18T00:00:00"/>
        <d v="2013-12-19T00:00:00"/>
        <d v="2013-12-20T00:00:00"/>
        <d v="2013-12-21T00:00:00"/>
        <d v="2013-12-22T00:00:00"/>
        <d v="2013-12-23T00:00:00"/>
        <d v="2013-12-24T00:00:00"/>
        <d v="2013-12-25T00:00:00"/>
        <d v="2013-12-26T00:00:00"/>
        <d v="2013-12-27T00:00:00"/>
        <d v="2013-12-28T00:00:00"/>
        <d v="2013-12-29T00:00:00"/>
        <d v="2013-12-30T00:00:00"/>
        <d v="2013-12-31T00:00:00"/>
        <d v="2014-01-01T00:00:00"/>
        <d v="2014-01-02T00:00:00"/>
        <d v="2014-01-03T00:00:00"/>
        <d v="2014-01-04T00:00:00"/>
        <d v="2014-01-05T00:00:00"/>
        <d v="2014-01-06T00:00:00"/>
        <d v="2014-01-07T00:00:00"/>
        <d v="2014-01-08T00:00:00"/>
        <d v="2014-01-09T00:00:00"/>
        <d v="2014-01-10T00:00:00"/>
        <d v="2014-01-11T00:00:00"/>
        <d v="2014-01-12T00:00:00"/>
        <d v="2014-01-13T00:00:00"/>
        <d v="2014-01-14T00:00:00"/>
        <d v="2014-01-15T00:00:00"/>
        <d v="2014-01-16T00:00:00"/>
        <d v="2014-01-17T00:00:00"/>
        <d v="2014-01-18T00:00:00"/>
        <d v="2014-01-19T00:00:00"/>
        <d v="2014-01-20T00:00:00"/>
        <d v="2014-01-21T00:00:00"/>
        <d v="2014-01-22T00:00:00"/>
        <d v="2014-01-23T00:00:00"/>
        <d v="2014-01-24T00:00:00"/>
        <d v="2014-01-25T00:00:00"/>
        <d v="2014-01-26T00:00:00"/>
        <d v="2014-01-27T00:00:00"/>
        <d v="2014-01-28T00:00:00"/>
        <d v="2014-01-29T00:00:00"/>
        <d v="2014-01-30T00:00:00"/>
        <d v="2014-01-31T00:00:00"/>
        <d v="2014-02-01T00:00:00"/>
        <d v="2014-02-02T00:00:00"/>
        <d v="2014-02-03T00:00:00"/>
        <d v="2014-02-04T00:00:00"/>
        <d v="2014-02-05T00:00:00"/>
        <d v="2014-02-06T00:00:00"/>
        <d v="2014-02-07T00:00:00"/>
        <d v="2014-02-08T00:00:00"/>
        <d v="2014-02-09T00:00:00"/>
        <d v="2014-02-10T00:00:00"/>
        <d v="2014-02-11T00:00:00"/>
        <d v="2014-02-12T00:00:00"/>
        <d v="2014-02-13T00:00:00"/>
        <d v="2014-02-14T00:00:00"/>
        <d v="2014-02-15T00:00:00"/>
        <d v="2014-02-16T00:00:00"/>
        <d v="2014-02-17T00:00:00"/>
        <d v="2014-02-18T00:00:00"/>
        <d v="2014-02-19T00:00:00"/>
        <d v="2014-02-20T00:00:00"/>
        <d v="2014-02-21T00:00:00"/>
        <d v="2014-02-22T00:00:00"/>
        <d v="2014-02-23T00:00:00"/>
        <d v="2014-02-24T00:00:00"/>
        <d v="2014-02-25T00:00:00"/>
        <d v="2014-02-26T00:00:00"/>
        <d v="2014-02-27T00:00:00"/>
        <d v="2014-02-28T00:00:00"/>
        <d v="2014-03-01T00:00:00"/>
        <d v="2014-03-02T00:00:00"/>
        <d v="2014-03-03T00:00:00"/>
        <d v="2014-03-04T00:00:00"/>
        <d v="2014-03-05T00:00:00"/>
        <d v="2014-03-06T00:00:00"/>
        <d v="2014-03-07T00:00:00"/>
        <d v="2014-03-08T00:00:00"/>
        <d v="2014-03-09T00:00:00"/>
        <d v="2014-03-10T00:00:00"/>
        <d v="2014-03-11T00:00:00"/>
        <d v="2014-03-12T00:00:00"/>
        <d v="2014-03-13T00:00:00"/>
        <d v="2014-03-14T00:00:00"/>
        <d v="2014-03-15T00:00:00"/>
        <d v="2014-03-16T00:00:00"/>
        <d v="2014-03-17T00:00:00"/>
        <d v="2014-03-18T00:00:00"/>
        <d v="2014-03-19T00:00:00"/>
        <d v="2014-03-20T00:00:00"/>
        <d v="2014-03-21T00:00:00"/>
        <d v="2014-03-22T00:00:00"/>
        <d v="2014-03-23T00:00:00"/>
        <d v="2014-03-24T00:00:00"/>
        <d v="2014-03-25T00:00:00"/>
        <d v="2014-03-26T00:00:00"/>
        <d v="2014-03-27T00:00:00"/>
        <d v="2014-03-28T00:00:00"/>
        <d v="2014-03-29T00:00:00"/>
        <d v="2014-03-30T00:00:00"/>
        <d v="2014-03-31T00:00:00"/>
        <d v="2014-04-01T00:00:00"/>
        <d v="2014-04-02T00:00:00"/>
        <d v="2014-04-03T00:00:00"/>
        <d v="2014-04-04T00:00:00"/>
        <d v="2014-04-05T00:00:00"/>
        <d v="2014-04-06T00:00:00"/>
        <d v="2014-04-07T00:00:00"/>
        <d v="2014-04-08T00:00:00"/>
        <d v="2014-04-09T00:00:00"/>
        <d v="2014-04-10T00:00:00"/>
        <d v="2014-04-11T00:00:00"/>
        <d v="2014-04-12T00:00:00"/>
        <d v="2014-04-13T00:00:00"/>
        <d v="2014-04-14T00:00:00"/>
        <d v="2014-04-15T00:00:00"/>
        <d v="2014-04-16T00:00:00"/>
        <d v="2014-04-17T00:00:00"/>
        <d v="2014-04-18T00:00:00"/>
        <d v="2014-04-19T00:00:00"/>
        <d v="2014-04-20T00:00:00"/>
        <d v="2014-04-21T00:00:00"/>
        <d v="2014-04-22T00:00:00"/>
        <d v="2014-04-23T00:00:00"/>
        <d v="2014-04-24T00:00:00"/>
        <d v="2014-04-25T00:00:00"/>
        <d v="2014-04-26T00:00:00"/>
        <d v="2014-04-27T00:00:00"/>
        <d v="2014-04-28T00:00:00"/>
        <d v="2014-04-29T00:00:00"/>
        <d v="2014-04-30T00:00:00"/>
        <d v="2014-05-01T00:00:00"/>
        <d v="2014-05-02T00:00:00"/>
        <d v="2014-05-03T00:00:00"/>
        <d v="2014-05-04T00:00:00"/>
        <d v="2014-05-05T00:00:00"/>
        <d v="2014-05-06T00:00:00"/>
        <d v="2014-05-07T00:00:00"/>
        <d v="2014-05-08T00:00:00"/>
        <d v="2014-05-09T00:00:00"/>
        <d v="2014-05-10T00:00:00"/>
        <d v="2014-05-11T00:00:00"/>
        <d v="2014-05-12T00:00:00"/>
        <d v="2014-05-13T00:00:00"/>
        <d v="2014-05-14T00:00:00"/>
        <d v="2014-05-15T00:00:00"/>
        <d v="2014-05-16T00:00:00"/>
        <d v="2014-05-17T00:00:00"/>
        <d v="2014-05-18T00:00:00"/>
        <d v="2014-05-19T00:00:00"/>
        <d v="2014-05-20T00:00:00"/>
        <d v="2014-05-21T00:00:00"/>
        <d v="2014-05-22T00:00:00"/>
        <d v="2014-05-23T00:00:00"/>
        <d v="2014-05-24T00:00:00"/>
        <d v="2014-05-25T00:00:00"/>
        <d v="2014-05-26T00:00:00"/>
        <d v="2014-05-27T00:00:00"/>
        <d v="2014-05-28T00:00:00"/>
        <d v="2014-05-29T00:00:00"/>
        <d v="2014-05-30T00:00:00"/>
        <d v="2014-05-31T00:00:00"/>
        <d v="2014-06-01T00:00:00"/>
        <d v="2014-06-02T00:00:00"/>
        <d v="2014-06-03T00:00:00"/>
        <d v="2014-06-04T00:00:00"/>
        <d v="2014-06-05T00:00:00"/>
        <d v="2014-06-06T00:00:00"/>
        <d v="2014-06-07T00:00:00"/>
        <d v="2014-06-08T00:00:00"/>
        <d v="2014-06-09T00:00:00"/>
        <d v="2014-06-10T00:00:00"/>
        <d v="2014-06-11T00:00:00"/>
        <d v="2014-06-12T00:00:00"/>
        <d v="2014-06-13T00:00:00"/>
        <d v="2014-06-14T00:00:00"/>
        <d v="2014-06-15T00:00:00"/>
        <d v="2014-06-16T00:00:00"/>
        <d v="2014-06-17T00:00:00"/>
        <d v="2014-06-18T00:00:00"/>
        <d v="2014-06-19T00:00:00"/>
        <d v="2014-06-20T00:00:00"/>
        <d v="2014-06-21T00:00:00"/>
        <d v="2014-06-22T00:00:00"/>
        <d v="2014-06-23T00:00:00"/>
        <d v="2014-06-24T00:00:00"/>
        <d v="2014-06-25T00:00:00"/>
        <d v="2014-06-26T00:00:00"/>
        <d v="2014-06-27T00:00:00"/>
        <d v="2014-06-28T00:00:00"/>
        <d v="2014-06-29T00:00:00"/>
        <d v="2014-06-30T00:00:00"/>
        <d v="2014-07-01T00:00:00"/>
        <d v="2014-07-02T00:00:00"/>
        <d v="2014-07-03T00:00:00"/>
        <d v="2014-07-04T00:00:00"/>
        <d v="2014-07-05T00:00:00"/>
        <d v="2014-07-06T00:00:00"/>
        <d v="2014-07-07T00:00:00"/>
        <d v="2014-07-08T00:00:00"/>
        <d v="2014-07-09T00:00:00"/>
        <d v="2014-07-10T00:00:00"/>
        <d v="2014-07-11T00:00:00"/>
        <d v="2014-07-12T00:00:00"/>
        <d v="2014-07-13T00:00:00"/>
        <d v="2014-07-14T00:00:00"/>
        <d v="2014-07-15T00:00:00"/>
        <d v="2014-07-16T00:00:00"/>
        <d v="2014-07-17T00:00:00"/>
        <d v="2014-07-18T00:00:00"/>
        <d v="2014-07-19T00:00:00"/>
        <d v="2014-07-20T00:00:00"/>
        <d v="2014-07-21T00:00:00"/>
        <d v="2014-07-22T00:00:00"/>
        <d v="2014-07-23T00:00:00"/>
        <d v="2014-07-24T00:00:00"/>
        <d v="2014-07-25T00:00:00"/>
        <d v="2014-07-26T00:00:00"/>
        <d v="2014-07-27T00:00:00"/>
        <d v="2014-07-28T00:00:00"/>
        <d v="2014-07-29T00:00:00"/>
        <d v="2014-07-30T00:00:00"/>
        <d v="2014-07-31T00:00:00"/>
        <d v="2014-08-01T00:00:00"/>
        <d v="2014-08-02T00:00:00"/>
        <d v="2014-08-03T00:00:00"/>
        <d v="2014-08-04T00:00:00"/>
        <d v="2014-08-05T00:00:00"/>
        <d v="2014-08-06T00:00:00"/>
        <d v="2014-08-07T00:00:00"/>
        <d v="2014-08-08T00:00:00"/>
        <d v="2014-08-09T00:00:00"/>
        <d v="2014-08-10T00:00:00"/>
        <d v="2014-08-11T00:00:00"/>
        <d v="2014-08-12T00:00:00"/>
        <d v="2014-08-13T00:00:00"/>
        <d v="2014-08-14T00:00:00"/>
        <d v="2014-08-15T00:00:00"/>
        <d v="2014-08-16T00:00:00"/>
        <d v="2014-08-17T00:00:00"/>
        <d v="2014-08-18T00:00:00"/>
        <d v="2014-08-19T00:00:00"/>
        <d v="2014-08-20T00:00:00"/>
        <d v="2014-08-21T00:00:00"/>
        <d v="2014-08-22T00:00:00"/>
        <d v="2014-08-23T00:00:00"/>
        <d v="2014-08-24T00:00:00"/>
        <d v="2014-08-25T00:00:00"/>
        <d v="2014-08-26T00:00:00"/>
        <d v="2014-08-27T00:00:00"/>
        <d v="2014-08-28T00:00:00"/>
        <d v="2014-08-29T00:00:00"/>
        <d v="2014-08-30T00:00:00"/>
        <d v="2014-08-31T00:00:00"/>
        <d v="2014-09-01T00:00:00"/>
        <d v="2014-09-02T00:00:00"/>
        <d v="2014-09-03T00:00:00"/>
        <d v="2014-09-04T00:00:00"/>
        <d v="2014-09-05T00:00:00"/>
        <d v="2014-09-06T00:00:00"/>
        <d v="2014-09-07T00:00:00"/>
        <d v="2014-09-08T00:00:00"/>
        <d v="2014-09-09T00:00:00"/>
        <d v="2014-09-10T00:00:00"/>
        <d v="2014-09-11T00:00:00"/>
        <d v="2014-09-12T00:00:00"/>
        <d v="2014-09-13T00:00:00"/>
        <d v="2014-09-14T00:00:00"/>
        <d v="2014-09-15T00:00:00"/>
        <d v="2014-09-16T00:00:00"/>
        <d v="2014-09-17T00:00:00"/>
        <d v="2014-09-18T00:00:00"/>
        <d v="2014-09-19T00:00:00"/>
        <d v="2014-09-20T00:00:00"/>
        <d v="2014-09-21T00:00:00"/>
        <d v="2014-09-22T00:00:00"/>
        <d v="2014-09-23T00:00:00"/>
        <d v="2014-09-24T00:00:00"/>
        <d v="2014-09-25T00:00:00"/>
        <d v="2014-09-26T00:00:00"/>
        <d v="2014-09-27T00:00:00"/>
        <d v="2014-09-28T00:00:00"/>
        <d v="2014-09-29T00:00:00"/>
        <d v="2014-09-30T00:00:00"/>
        <d v="2014-10-01T00:00:00"/>
        <d v="2014-10-02T00:00:00"/>
        <d v="2014-10-03T00:00:00"/>
        <d v="2014-10-04T00:00:00"/>
        <d v="2014-10-05T00:00:00"/>
        <d v="2014-10-06T00:00:00"/>
        <d v="2014-10-07T00:00:00"/>
        <d v="2014-10-08T00:00:00"/>
        <d v="2014-10-09T00:00:00"/>
        <d v="2014-10-10T00:00:00"/>
        <d v="2014-10-11T00:00:00"/>
        <d v="2014-10-12T00:00:00"/>
        <d v="2014-10-13T00:00:00"/>
        <d v="2014-10-14T00:00:00"/>
        <d v="2014-10-15T00:00:00"/>
        <d v="2014-10-16T00:00:00"/>
        <d v="2014-10-17T00:00:00"/>
        <d v="2014-10-18T00:00:00"/>
        <d v="2014-10-19T00:00:00"/>
        <d v="2014-10-20T00:00:00"/>
        <d v="2014-10-21T00:00:00"/>
        <d v="2014-10-22T00:00:00"/>
        <d v="2014-10-23T00:00:00"/>
        <d v="2014-10-24T00:00:00"/>
        <d v="2014-10-25T00:00:00"/>
        <d v="2014-10-26T00:00:00"/>
        <d v="2014-10-27T00:00:00"/>
        <d v="2014-10-28T00:00:00"/>
        <d v="2014-10-29T00:00:00"/>
        <d v="2014-10-30T00:00:00"/>
        <d v="2014-10-31T00:00:00"/>
        <d v="2014-11-01T00:00:00"/>
        <d v="2014-11-02T00:00:00"/>
        <d v="2014-11-03T00:00:00"/>
        <d v="2014-11-04T00:00:00"/>
        <d v="2014-11-05T00:00:00"/>
        <d v="2014-11-06T00:00:00"/>
        <d v="2014-11-07T00:00:00"/>
        <d v="2014-11-08T00:00:00"/>
        <d v="2014-11-09T00:00:00"/>
        <d v="2014-11-10T00:00:00"/>
        <d v="2014-11-11T00:00:00"/>
        <d v="2014-11-12T00:00:00"/>
        <d v="2014-11-13T00:00:00"/>
        <d v="2014-11-14T00:00:00"/>
        <d v="2014-11-15T00:00:00"/>
        <d v="2014-11-16T00:00:00"/>
        <d v="2014-11-17T00:00:00"/>
        <d v="2014-11-18T00:00:00"/>
        <d v="2014-11-19T00:00:00"/>
        <d v="2014-11-20T00:00:00"/>
        <d v="2014-11-21T00:00:00"/>
        <d v="2014-11-22T00:00:00"/>
        <d v="2014-11-23T00:00:00"/>
        <d v="2014-11-24T00:00:00"/>
        <d v="2014-11-25T00:00:00"/>
        <d v="2014-11-26T00:00:00"/>
        <d v="2014-11-27T00:00:00"/>
        <d v="2014-11-28T00:00:00"/>
        <d v="2014-11-29T00:00:00"/>
        <d v="2014-11-30T00:00:00"/>
        <d v="2014-12-01T00:00:00"/>
        <d v="2014-12-02T00:00:00"/>
        <d v="2014-12-03T00:00:00"/>
        <d v="2014-12-04T00:00:00"/>
        <d v="2014-12-05T00:00:00"/>
        <d v="2014-12-06T00:00:00"/>
        <d v="2014-12-07T00:00:00"/>
        <d v="2014-12-08T00:00:00"/>
        <d v="2014-12-09T00:00:00"/>
        <d v="2014-12-10T00:00:00"/>
        <d v="2014-12-11T00:00:00"/>
        <d v="2014-12-12T00:00:00"/>
        <d v="2014-12-13T00:00:00"/>
        <d v="2014-12-14T00:00:00"/>
        <d v="2014-12-15T00:00:00"/>
        <d v="2014-12-16T00:00:00"/>
        <d v="2014-12-17T00:00:00"/>
        <d v="2014-12-18T00:00:00"/>
        <d v="2014-12-19T00:00:00"/>
        <d v="2014-12-20T00:00:00"/>
        <d v="2014-12-21T00:00:00"/>
        <d v="2014-12-22T00:00:00"/>
        <d v="2014-12-23T00:00:00"/>
        <d v="2014-12-24T00:00:00"/>
        <d v="2014-12-25T00:00:00"/>
        <d v="2014-12-26T00:00:00"/>
        <d v="2014-12-27T00:00:00"/>
        <d v="2014-12-28T00:00:00"/>
        <d v="2014-12-29T00:00:00"/>
        <d v="2014-12-30T00:00:00"/>
        <d v="2014-12-31T00:00:00"/>
        <d v="2015-01-01T00:00:00"/>
        <d v="2015-01-02T00:00:00"/>
        <d v="2015-01-03T00:00:00"/>
        <d v="2015-01-04T00:00:00"/>
        <d v="2015-01-05T00:00:00"/>
        <d v="2015-01-06T00:00:00"/>
        <d v="2015-01-07T00:00:00"/>
        <d v="2015-01-08T00:00:00"/>
        <d v="2015-01-09T00:00:00"/>
        <d v="2015-01-10T00:00:00"/>
        <d v="2015-01-11T00:00:00"/>
        <d v="2015-01-12T00:00:00"/>
        <d v="2015-01-13T00:00:00"/>
        <d v="2015-01-14T00:00:00"/>
        <d v="2015-01-15T00:00:00"/>
        <d v="2015-01-16T00:00:00"/>
        <d v="2015-01-17T00:00:00"/>
        <d v="2015-01-18T00:00:00"/>
        <d v="2015-01-19T00:00:00"/>
        <d v="2015-01-20T00:00:00"/>
        <d v="2015-01-21T00:00:00"/>
        <d v="2015-01-22T00:00:00"/>
        <d v="2015-01-23T00:00:00"/>
        <d v="2015-01-24T00:00:00"/>
        <d v="2015-01-25T00:00:00"/>
        <d v="2015-01-26T00:00:00"/>
        <d v="2015-01-27T00:00:00"/>
        <d v="2015-01-28T00:00:00"/>
        <d v="2015-01-29T00:00:00"/>
        <d v="2015-01-30T00:00:00"/>
        <d v="2015-01-31T00:00:00"/>
        <d v="2015-02-01T00:00:00"/>
        <d v="2015-02-02T00:00:00"/>
        <d v="2015-02-03T00:00:00"/>
        <d v="2015-02-04T00:00:00"/>
        <d v="2015-02-05T00:00:00"/>
        <d v="2015-02-06T00:00:00"/>
        <d v="2015-02-07T00:00:00"/>
        <d v="2015-02-08T00:00:00"/>
        <d v="2015-02-09T00:00:00"/>
        <d v="2015-02-10T00:00:00"/>
        <d v="2015-02-11T00:00:00"/>
        <d v="2015-02-12T00:00:00"/>
        <d v="2015-02-13T00:00:00"/>
        <d v="2015-02-14T00:00:00"/>
        <d v="2015-02-15T00:00:00"/>
        <d v="2015-02-16T00:00:00"/>
        <d v="2015-02-17T00:00:00"/>
        <d v="2015-02-18T00:00:00"/>
        <d v="2015-02-19T00:00:00"/>
        <d v="2015-02-20T00:00:00"/>
        <d v="2015-02-21T00:00:00"/>
        <d v="2015-02-22T00:00:00"/>
        <d v="2015-02-23T00:00:00"/>
        <d v="2015-02-24T00:00:00"/>
        <d v="2015-02-25T00:00:00"/>
        <d v="2015-02-26T00:00:00"/>
        <d v="2015-02-27T00:00:00"/>
        <d v="2015-02-28T00:00:00"/>
        <d v="2015-03-01T00:00:00"/>
        <d v="2015-03-02T00:00:00"/>
        <d v="2015-03-03T00:00:00"/>
        <d v="2015-03-04T00:00:00"/>
        <d v="2015-03-05T00:00:00"/>
        <d v="2015-03-06T00:00:00"/>
        <d v="2015-03-07T00:00:00"/>
        <d v="2015-03-08T00:00:00"/>
        <d v="2015-03-09T00:00:00"/>
        <d v="2015-03-10T00:00:00"/>
        <d v="2015-03-11T00:00:00"/>
        <d v="2015-03-12T00:00:00"/>
        <d v="2015-03-13T00:00:00"/>
        <d v="2015-03-14T00:00:00"/>
        <d v="2015-03-15T00:00:00"/>
        <d v="2015-03-16T00:00:00"/>
        <d v="2015-03-17T00:00:00"/>
        <d v="2015-03-18T00:00:00"/>
        <d v="2015-03-19T00:00:00"/>
        <d v="2015-03-20T00:00:00"/>
        <d v="2015-03-21T00:00:00"/>
        <d v="2015-03-22T00:00:00"/>
        <d v="2015-03-23T00:00:00"/>
        <d v="2015-03-24T00:00:00"/>
        <d v="2015-03-25T00:00:00"/>
        <d v="2015-03-26T00:00:00"/>
        <d v="2015-03-27T00:00:00"/>
        <d v="2015-03-28T00:00:00"/>
        <d v="2015-03-29T00:00:00"/>
        <d v="2015-03-30T00:00:00"/>
        <d v="2015-03-31T00:00:00"/>
        <d v="2015-04-01T00:00:00"/>
        <d v="2015-04-02T00:00:00"/>
        <d v="2015-04-03T00:00:00"/>
        <d v="2015-04-04T00:00:00"/>
        <d v="2015-04-05T00:00:00"/>
        <d v="2015-04-06T00:00:00"/>
        <d v="2015-04-07T00:00:00"/>
        <d v="2015-04-08T00:00:00"/>
        <d v="2015-04-09T00:00:00"/>
        <d v="2015-04-10T00:00:00"/>
        <d v="2015-04-11T00:00:00"/>
        <d v="2015-04-12T00:00:00"/>
        <d v="2015-04-13T00:00:00"/>
        <d v="2015-04-14T00:00:00"/>
        <d v="2015-04-15T00:00:00"/>
        <d v="2015-04-16T00:00:00"/>
        <d v="2015-04-17T00:00:00"/>
        <d v="2015-04-18T00:00:00"/>
        <d v="2015-04-19T00:00:00"/>
        <d v="2015-04-20T00:00:00"/>
        <d v="2015-04-21T00:00:00"/>
        <d v="2015-04-22T00:00:00"/>
        <d v="2015-04-23T00:00:00"/>
        <d v="2015-04-24T00:00:00"/>
        <d v="2015-04-25T00:00:00"/>
        <d v="2015-04-26T00:00:00"/>
        <d v="2015-04-27T00:00:00"/>
        <d v="2015-04-28T00:00:00"/>
        <d v="2015-04-29T00:00:00"/>
        <d v="2015-04-30T00:00:00"/>
        <d v="2015-05-01T00:00:00"/>
        <d v="2015-05-02T00:00:00"/>
        <d v="2015-05-03T00:00:00"/>
        <d v="2015-05-04T00:00:00"/>
        <d v="2015-05-05T00:00:00"/>
        <d v="2015-05-06T00:00:00"/>
        <d v="2015-05-07T00:00:00"/>
        <d v="2015-05-08T00:00:00"/>
        <d v="2015-05-09T00:00:00"/>
        <d v="2015-05-10T00:00:00"/>
        <d v="2015-05-11T00:00:00"/>
        <d v="2015-05-12T00:00:00"/>
        <d v="2015-05-13T00:00:00"/>
        <d v="2015-05-14T00:00:00"/>
        <d v="2015-05-15T00:00:00"/>
        <d v="2015-05-16T00:00:00"/>
        <d v="2015-05-17T00:00:00"/>
        <d v="2015-05-18T00:00:00"/>
        <d v="2015-05-19T00:00:00"/>
        <d v="2015-05-20T00:00:00"/>
        <d v="2015-05-21T00:00:00"/>
        <d v="2015-05-22T00:00:00"/>
        <d v="2015-05-23T00:00:00"/>
        <d v="2015-05-24T00:00:00"/>
        <d v="2015-05-25T00:00:00"/>
        <d v="2015-05-26T00:00:00"/>
        <d v="2015-05-27T00:00:00"/>
        <d v="2015-05-28T00:00:00"/>
        <d v="2015-05-29T00:00:00"/>
        <d v="2015-05-30T00:00:00"/>
        <d v="2015-05-31T00:00:00"/>
        <d v="2015-06-01T00:00:00"/>
        <d v="2015-06-02T00:00:00"/>
        <d v="2015-06-03T00:00:00"/>
        <d v="2015-06-04T00:00:00"/>
        <d v="2015-06-05T00:00:00"/>
        <d v="2015-06-06T00:00:00"/>
        <d v="2015-06-07T00:00:00"/>
        <d v="2015-06-08T00:00:00"/>
        <d v="2015-06-09T00:00:00"/>
        <d v="2015-06-10T00:00:00"/>
        <d v="2015-06-11T00:00:00"/>
        <d v="2015-06-12T00:00:00"/>
        <d v="2015-06-13T00:00:00"/>
        <d v="2015-06-14T00:00:00"/>
        <d v="2015-06-15T00:00:00"/>
        <d v="2015-06-16T00:00:00"/>
        <d v="2015-06-17T00:00:00"/>
        <d v="2015-06-18T00:00:00"/>
        <d v="2015-06-19T00:00:00"/>
        <d v="2015-06-20T00:00:00"/>
        <d v="2015-06-21T00:00:00"/>
        <d v="2015-06-22T00:00:00"/>
        <d v="2015-06-23T00:00:00"/>
        <d v="2015-06-24T00:00:00"/>
        <d v="2015-06-25T00:00:00"/>
        <d v="2015-06-26T00:00:00"/>
        <d v="2015-06-27T00:00:00"/>
        <d v="2015-06-28T00:00:00"/>
        <d v="2015-06-29T00:00:00"/>
        <d v="2015-06-30T00:00:00"/>
        <d v="2015-07-01T00:00:00"/>
        <d v="2015-07-02T00:00:00"/>
        <d v="2015-07-03T00:00:00"/>
        <d v="2015-07-04T00:00:00"/>
        <d v="2015-07-05T00:00:00"/>
        <d v="2015-07-06T00:00:00"/>
        <d v="2015-07-07T00:00:00"/>
        <d v="2015-07-08T00:00:00"/>
        <d v="2015-07-09T00:00:00"/>
        <d v="2015-07-10T00:00:00"/>
        <d v="2015-07-11T00:00:00"/>
        <d v="2015-07-12T00:00:00"/>
        <d v="2015-07-13T00:00:00"/>
        <d v="2015-07-14T00:00:00"/>
        <d v="2015-07-15T00:00:00"/>
        <d v="2015-07-16T00:00:00"/>
        <d v="2015-07-17T00:00:00"/>
        <d v="2015-07-18T00:00:00"/>
        <d v="2015-07-19T00:00:00"/>
        <d v="2015-07-20T00:00:00"/>
        <d v="2015-07-21T00:00:00"/>
        <d v="2015-07-22T00:00:00"/>
        <d v="2015-07-23T00:00:00"/>
        <d v="2015-07-24T00:00:00"/>
        <d v="2015-07-25T00:00:00"/>
        <d v="2015-07-26T00:00:00"/>
        <d v="2015-07-27T00:00:00"/>
        <d v="2015-07-28T00:00:00"/>
        <d v="2015-07-29T00:00:00"/>
        <d v="2015-07-30T00:00:00"/>
        <d v="2015-07-31T00:00:00"/>
        <d v="2015-08-01T00:00:00"/>
        <d v="2015-08-02T00:00:00"/>
        <d v="2015-08-03T00:00:00"/>
        <d v="2015-08-04T00:00:00"/>
        <d v="2015-08-05T00:00:00"/>
        <d v="2015-08-06T00:00:00"/>
        <d v="2015-08-07T00:00:00"/>
        <d v="2015-08-08T00:00:00"/>
        <d v="2015-08-09T00:00:00"/>
        <d v="2015-08-10T00:00:00"/>
        <d v="2015-08-11T00:00:00"/>
        <d v="2015-08-12T00:00:00"/>
        <d v="2015-08-13T00:00:00"/>
        <d v="2015-08-14T00:00:00"/>
        <d v="2015-08-15T00:00:00"/>
        <d v="2015-08-16T00:00:00"/>
        <d v="2015-08-17T00:00:00"/>
        <d v="2015-08-18T00:00:00"/>
        <d v="2015-08-19T00:00:00"/>
        <d v="2015-08-20T00:00:00"/>
        <d v="2015-08-21T00:00:00"/>
        <d v="2015-08-22T00:00:00"/>
        <d v="2015-08-23T00:00:00"/>
        <d v="2015-08-24T00:00:00"/>
        <d v="2015-08-25T00:00:00"/>
        <d v="2015-08-26T00:00:00"/>
        <d v="2015-08-27T00:00:00"/>
        <d v="2015-08-28T00:00:00"/>
        <d v="2015-08-29T00:00:00"/>
        <d v="2015-08-30T00:00:00"/>
        <d v="2015-08-31T00:00:00"/>
        <d v="2015-09-01T00:00:00"/>
        <d v="2015-09-02T00:00:00"/>
        <d v="2015-09-03T00:00:00"/>
        <d v="2015-09-04T00:00:00"/>
        <d v="2015-09-05T00:00:00"/>
        <d v="2015-09-06T00:00:00"/>
        <d v="2015-09-07T00:00:00"/>
        <d v="2015-09-08T00:00:00"/>
        <d v="2015-09-09T00:00:00"/>
        <d v="2015-09-10T00:00:00"/>
        <d v="2015-09-11T00:00:00"/>
        <d v="2015-09-12T00:00:00"/>
        <d v="2015-09-13T00:00:00"/>
        <d v="2015-09-14T00:00:00"/>
        <d v="2015-09-15T00:00:00"/>
        <d v="2015-09-16T00:00:00"/>
        <d v="2015-09-17T00:00:00"/>
        <d v="2015-09-18T00:00:00"/>
        <d v="2015-09-19T00:00:00"/>
        <d v="2015-09-20T00:00:00"/>
        <d v="2015-09-21T00:00:00"/>
        <d v="2015-09-22T00:00:00"/>
        <d v="2015-09-23T00:00:00"/>
        <d v="2015-09-24T00:00:00"/>
        <d v="2015-09-25T00:00:00"/>
        <d v="2015-09-26T00:00:00"/>
        <d v="2015-09-27T00:00:00"/>
        <d v="2015-09-28T00:00:00"/>
        <d v="2015-09-29T00:00:00"/>
        <d v="2015-09-30T00:00:00"/>
        <d v="2015-10-01T00:00:00"/>
        <d v="2015-10-02T00:00:00"/>
        <d v="2015-10-03T00:00:00"/>
        <d v="2015-10-04T00:00:00"/>
        <d v="2015-10-05T00:00:00"/>
        <d v="2015-10-06T00:00:00"/>
        <d v="2015-10-07T00:00:00"/>
        <d v="2015-10-08T00:00:00"/>
        <d v="2015-10-09T00:00:00"/>
        <d v="2015-10-10T00:00:00"/>
        <d v="2015-10-11T00:00:00"/>
        <d v="2015-10-12T00:00:00"/>
        <d v="2015-10-13T00:00:00"/>
        <d v="2015-10-14T00:00:00"/>
        <d v="2015-10-15T00:00:00"/>
        <d v="2015-10-16T00:00:00"/>
        <d v="2015-10-17T00:00:00"/>
        <d v="2015-10-18T00:00:00"/>
        <d v="2015-10-19T00:00:00"/>
        <d v="2015-10-20T00:00:00"/>
        <d v="2015-10-21T00:00:00"/>
        <d v="2015-10-22T00:00:00"/>
        <d v="2015-10-23T00:00:00"/>
        <d v="2015-10-24T00:00:00"/>
        <d v="2015-10-25T00:00:00"/>
        <d v="2015-10-26T00:00:00"/>
        <d v="2015-10-27T00:00:00"/>
        <d v="2015-10-28T00:00:00"/>
        <d v="2015-10-29T00:00:00"/>
        <d v="2015-10-30T00:00:00"/>
        <d v="2015-10-31T00:00:00"/>
        <d v="2015-11-01T00:00:00"/>
        <d v="2015-11-02T00:00:00"/>
        <d v="2015-11-03T00:00:00"/>
        <d v="2015-11-04T00:00:00"/>
        <d v="2015-11-05T00:00:00"/>
        <d v="2015-11-06T00:00:00"/>
        <d v="2015-11-07T00:00:00"/>
        <d v="2015-11-08T00:00:00"/>
        <d v="2015-11-09T00:00:00"/>
        <d v="2015-11-10T00:00:00"/>
        <d v="2015-11-11T00:00:00"/>
        <d v="2015-11-12T00:00:00"/>
        <d v="2015-11-13T00:00:00"/>
        <d v="2015-11-14T00:00:00"/>
        <d v="2015-11-15T00:00:00"/>
        <d v="2015-11-16T00:00:00"/>
        <d v="2015-11-17T00:00:00"/>
        <d v="2015-11-18T00:00:00"/>
        <d v="2015-11-19T00:00:00"/>
        <d v="2015-11-20T00:00:00"/>
        <d v="2015-11-21T00:00:00"/>
        <d v="2015-11-22T00:00:00"/>
        <d v="2015-11-23T00:00:00"/>
        <d v="2015-11-24T00:00:00"/>
        <d v="2015-11-25T00:00:00"/>
        <d v="2015-11-26T00:00:00"/>
        <d v="2015-11-27T00:00:00"/>
        <d v="2015-11-28T00:00:00"/>
        <d v="2015-11-29T00:00:00"/>
        <d v="2015-11-30T00:00:00"/>
        <d v="2015-12-01T00:00:00"/>
        <d v="2015-12-02T00:00:00"/>
        <d v="2015-12-03T00:00:00"/>
        <d v="2015-12-04T00:00:00"/>
        <d v="2015-12-05T00:00:00"/>
        <d v="2015-12-06T00:00:00"/>
        <d v="2015-12-07T00:00:00"/>
        <d v="2015-12-08T00:00:00"/>
        <d v="2015-12-09T00:00:00"/>
        <d v="2015-12-10T00:00:00"/>
        <d v="2015-12-11T00:00:00"/>
        <d v="2015-12-12T00:00:00"/>
        <d v="2015-12-13T00:00:00"/>
        <d v="2015-12-14T00:00:00"/>
        <d v="2015-12-15T00:00:00"/>
        <d v="2015-12-16T00:00:00"/>
        <d v="2015-12-17T00:00:00"/>
        <d v="2015-12-18T00:00:00"/>
        <d v="2015-12-19T00:00:00"/>
        <d v="2015-12-20T00:00:00"/>
        <d v="2015-12-21T00:00:00"/>
        <d v="2015-12-22T00:00:00"/>
        <d v="2015-12-23T00:00:00"/>
        <d v="2015-12-24T00:00:00"/>
        <d v="2015-12-25T00:00:00"/>
        <d v="2015-12-26T00:00:00"/>
        <d v="2015-12-27T00:00:00"/>
        <d v="2015-12-28T00:00:00"/>
        <d v="2015-12-29T00:00:00"/>
        <d v="2015-12-30T00:00:00"/>
        <d v="2015-12-31T00:00:00"/>
        <d v="2016-01-01T00:00:00"/>
        <d v="2016-01-02T00:00:00"/>
        <d v="2016-01-03T00:00:00"/>
        <d v="2016-01-04T00:00:00"/>
        <d v="2016-01-05T00:00:00"/>
        <d v="2016-01-06T00:00:00"/>
        <d v="2016-01-07T00:00:00"/>
        <d v="2016-01-08T00:00:00"/>
        <d v="2016-01-09T00:00:00"/>
        <d v="2016-01-10T00:00:00"/>
        <d v="2016-01-11T00:00:00"/>
        <d v="2016-01-12T00:00:00"/>
        <d v="2016-01-13T00:00:00"/>
        <d v="2016-01-14T00:00:00"/>
        <d v="2016-01-15T00:00:00"/>
        <d v="2016-01-16T00:00:00"/>
        <d v="2016-01-17T00:00:00"/>
        <d v="2016-01-18T00:00:00"/>
        <d v="2016-01-19T00:00:00"/>
        <d v="2016-01-20T00:00:00"/>
        <d v="2016-01-21T00:00:00"/>
        <d v="2016-01-22T00:00:00"/>
        <d v="2016-01-23T00:00:00"/>
        <d v="2016-01-24T00:00:00"/>
        <d v="2016-01-25T00:00:00"/>
        <d v="2016-01-26T00:00:00"/>
        <d v="2016-01-27T00:00:00"/>
        <d v="2016-01-28T00:00:00"/>
        <d v="2016-01-29T00:00:00"/>
        <d v="2016-01-30T00:00:00"/>
        <d v="2016-01-31T00:00:00"/>
        <d v="2016-02-01T00:00:00"/>
        <d v="2016-02-02T00:00:00"/>
        <d v="2016-02-03T00:00:00"/>
        <d v="2016-02-04T00:00:00"/>
        <d v="2016-02-05T00:00:00"/>
        <d v="2016-02-06T00:00:00"/>
        <d v="2016-02-07T00:00:00"/>
        <d v="2016-02-08T00:00:00"/>
        <d v="2016-02-09T00:00:00"/>
        <d v="2016-02-10T00:00:00"/>
        <d v="2016-02-11T00:00:00"/>
        <d v="2016-02-12T00:00:00"/>
        <d v="2016-02-13T00:00:00"/>
        <d v="2016-02-14T00:00:00"/>
        <d v="2016-02-15T00:00:00"/>
        <d v="2016-02-16T00:00:00"/>
        <d v="2016-02-17T00:00:00"/>
        <d v="2016-02-18T00:00:00"/>
        <d v="2016-02-19T00:00:00"/>
        <d v="2016-02-20T00:00:00"/>
        <d v="2016-02-21T00:00:00"/>
        <d v="2016-02-22T00:00:00"/>
        <d v="2016-02-23T00:00:00"/>
        <d v="2016-02-24T00:00:00"/>
        <d v="2016-02-25T00:00:00"/>
        <d v="2016-02-26T00:00:00"/>
        <d v="2016-02-27T00:00:00"/>
        <d v="2016-02-28T00:00:00"/>
        <d v="2016-02-29T00:00:00"/>
        <d v="2016-03-01T00:00:00"/>
        <d v="2016-03-02T00:00:00"/>
        <d v="2016-03-03T00:00:00"/>
        <d v="2016-03-04T00:00:00"/>
        <d v="2016-03-05T00:00:00"/>
        <d v="2016-03-06T00:00:00"/>
        <d v="2016-03-07T00:00:00"/>
        <d v="2016-03-08T00:00:00"/>
        <d v="2016-03-09T00:00:00"/>
        <d v="2016-03-10T00:00:00"/>
        <d v="2016-03-11T00:00:00"/>
        <d v="2016-03-12T00:00:00"/>
        <d v="2016-03-13T00:00:00"/>
        <d v="2016-03-14T00:00:00"/>
        <d v="2016-03-15T00:00:00"/>
        <d v="2016-03-16T00:00:00"/>
        <d v="2016-03-17T00:00:00"/>
        <d v="2016-03-18T00:00:00"/>
        <d v="2016-03-19T00:00:00"/>
        <d v="2016-03-20T00:00:00"/>
        <d v="2016-03-21T00:00:00"/>
        <d v="2016-03-22T00:00:00"/>
        <d v="2016-03-23T00:00:00"/>
        <d v="2016-03-24T00:00:00"/>
        <d v="2016-03-25T00:00:00"/>
        <d v="2016-03-26T00:00:00"/>
        <d v="2016-03-27T00:00:00"/>
        <d v="2016-03-28T00:00:00"/>
        <d v="2016-03-29T00:00:00"/>
        <d v="2016-03-30T00:00:00"/>
        <d v="2016-03-31T00:00:00"/>
        <d v="2016-04-01T00:00:00"/>
        <d v="2016-04-02T00:00:00"/>
        <d v="2016-04-03T00:00:00"/>
        <d v="2016-04-04T00:00:00"/>
        <d v="2016-04-05T00:00:00"/>
        <d v="2016-04-06T00:00:00"/>
        <d v="2016-04-07T00:00:00"/>
        <d v="2016-04-08T00:00:00"/>
        <d v="2016-04-09T00:00:00"/>
        <d v="2016-04-10T00:00:00"/>
        <d v="2016-04-11T00:00:00"/>
        <d v="2016-04-12T00:00:00"/>
        <d v="2016-04-13T00:00:00"/>
        <d v="2016-04-14T00:00:00"/>
        <d v="2016-04-15T00:00:00"/>
        <d v="2016-04-16T00:00:00"/>
        <d v="2016-04-17T00:00:00"/>
        <d v="2016-04-18T00:00:00"/>
        <d v="2016-04-19T00:00:00"/>
        <d v="2016-04-20T00:00:00"/>
        <d v="2016-04-21T00:00:00"/>
        <d v="2016-04-22T00:00:00"/>
        <d v="2016-04-23T00:00:00"/>
        <d v="2016-04-24T00:00:00"/>
        <d v="2016-04-25T00:00:00"/>
        <d v="2016-04-26T00:00:00"/>
        <d v="2016-04-27T00:00:00"/>
        <d v="2016-04-28T00:00:00"/>
        <d v="2016-04-29T00:00:00"/>
        <d v="2016-04-30T00:00:00"/>
        <d v="2016-05-01T00:00:00"/>
        <d v="2016-05-02T00:00:00"/>
        <d v="2016-05-03T00:00:00"/>
        <d v="2016-05-04T00:00:00"/>
        <d v="2016-05-05T00:00:00"/>
        <d v="2016-05-06T00:00:00"/>
        <d v="2016-05-07T00:00:00"/>
        <d v="2016-05-08T00:00:00"/>
        <d v="2016-05-09T00:00:00"/>
        <d v="2016-05-10T00:00:00"/>
        <d v="2016-05-11T00:00:00"/>
        <d v="2016-05-12T00:00:00"/>
        <d v="2016-05-13T00:00:00"/>
        <d v="2016-05-14T00:00:00"/>
        <d v="2016-05-15T00:00:00"/>
        <d v="2016-05-16T00:00:00"/>
        <d v="2016-05-17T00:00:00"/>
        <d v="2016-05-18T00:00:00"/>
        <d v="2016-05-19T00:00:00"/>
        <d v="2016-05-20T00:00:00"/>
        <d v="2016-05-21T00:00:00"/>
        <d v="2016-05-22T00:00:00"/>
        <d v="2016-05-23T00:00:00"/>
        <d v="2016-05-24T00:00:00"/>
        <d v="2016-05-25T00:00:00"/>
        <d v="2016-05-26T00:00:00"/>
        <d v="2016-05-27T00:00:00"/>
        <d v="2016-05-28T00:00:00"/>
        <d v="2016-05-29T00:00:00"/>
        <d v="2016-05-30T00:00:00"/>
        <d v="2016-05-31T00:00:00"/>
        <d v="2016-06-01T00:00:00"/>
        <d v="2016-06-02T00:00:00"/>
        <d v="2016-06-03T00:00:00"/>
        <d v="2016-06-04T00:00:00"/>
        <d v="2016-06-05T00:00:00"/>
        <d v="2016-06-06T00:00:00"/>
        <d v="2016-06-07T00:00:00"/>
        <d v="2016-06-08T00:00:00"/>
        <d v="2016-06-09T00:00:00"/>
        <d v="2016-06-10T00:00:00"/>
        <d v="2016-06-11T00:00:00"/>
        <d v="2016-06-12T00:00:00"/>
        <d v="2016-06-13T00:00:00"/>
        <d v="2016-06-14T00:00:00"/>
        <d v="2016-06-15T00:00:00"/>
        <d v="2016-06-16T00:00:00"/>
        <d v="2016-06-17T00:00:00"/>
        <d v="2016-06-18T00:00:00"/>
        <d v="2016-06-19T00:00:00"/>
        <d v="2016-06-20T00:00:00"/>
        <d v="2016-06-21T00:00:00"/>
        <d v="2016-06-22T00:00:00"/>
        <d v="2016-06-23T00:00:00"/>
        <d v="2016-06-24T00:00:00"/>
        <d v="2016-06-25T00:00:00"/>
        <d v="2016-06-26T00:00:00"/>
        <d v="2016-06-27T00:00:00"/>
        <d v="2016-06-28T00:00:00"/>
        <d v="2016-06-29T00:00:00"/>
        <d v="2016-06-30T00:00:00"/>
        <d v="2016-07-01T00:00:00"/>
        <d v="2016-07-02T00:00:00"/>
        <d v="2016-07-03T00:00:00"/>
        <d v="2016-07-04T00:00:00"/>
        <d v="2016-07-05T00:00:00"/>
        <d v="2016-07-06T00:00:00"/>
        <d v="2016-07-07T00:00:00"/>
        <d v="2016-07-08T00:00:00"/>
        <d v="2016-07-09T00:00:00"/>
        <d v="2016-07-10T00:00:00"/>
        <d v="2016-07-11T00:00:00"/>
        <d v="2016-07-12T00:00:00"/>
        <d v="2016-07-13T00:00:00"/>
        <d v="2016-07-14T00:00:00"/>
        <d v="2016-07-15T00:00:00"/>
        <d v="2016-07-16T00:00:00"/>
        <d v="2016-07-17T00:00:00"/>
        <d v="2016-07-18T00:00:00"/>
        <d v="2016-07-19T00:00:00"/>
        <d v="2016-07-20T00:00:00"/>
        <d v="2016-07-21T00:00:00"/>
        <d v="2016-07-22T00:00:00"/>
        <d v="2016-07-23T00:00:00"/>
        <d v="2016-07-24T00:00:00"/>
        <d v="2016-07-25T00:00:00"/>
        <d v="2016-07-26T00:00:00"/>
        <d v="2016-07-27T00:00:00"/>
        <d v="2016-07-28T00:00:00"/>
        <d v="2016-07-29T00:00:00"/>
        <d v="2016-07-30T00:00:00"/>
        <d v="2016-07-31T00:00:00"/>
        <d v="2016-08-01T00:00:00"/>
        <d v="2016-08-02T00:00:00"/>
        <d v="2016-08-03T00:00:00"/>
        <d v="2016-08-04T00:00:00"/>
        <d v="2016-08-05T00:00:00"/>
        <d v="2016-08-06T00:00:00"/>
        <d v="2016-08-07T00:00:00"/>
        <d v="2016-08-08T00:00:00"/>
        <d v="2016-08-09T00:00:00"/>
        <d v="2016-08-10T00:00:00"/>
        <d v="2016-08-11T00:00:00"/>
        <d v="2016-08-12T00:00:00"/>
        <d v="2016-08-13T00:00:00"/>
        <d v="2016-08-14T00:00:00"/>
        <d v="2016-08-15T00:00:00"/>
        <d v="2016-08-16T00:00:00"/>
        <d v="2016-08-17T00:00:00"/>
        <d v="2016-08-18T00:00:00"/>
        <d v="2016-08-19T00:00:00"/>
        <d v="2016-08-20T00:00:00"/>
        <d v="2016-08-21T00:00:00"/>
        <d v="2016-08-22T00:00:00"/>
        <d v="2016-08-23T00:00:00"/>
        <d v="2016-08-24T00:00:00"/>
        <d v="2016-08-25T00:00:00"/>
        <d v="2016-08-26T00:00:00"/>
        <d v="2016-08-27T00:00:00"/>
        <d v="2016-08-28T00:00:00"/>
        <d v="2016-08-29T00:00:00"/>
        <d v="2016-08-30T00:00:00"/>
        <d v="2016-08-31T00:00:00"/>
        <d v="2016-09-01T00:00:00"/>
        <d v="2016-09-02T00:00:00"/>
        <d v="2016-09-03T00:00:00"/>
        <d v="2016-09-04T00:00:00"/>
        <d v="2016-09-05T00:00:00"/>
        <d v="2016-09-06T00:00:00"/>
        <d v="2016-09-07T00:00:00"/>
        <d v="2016-09-08T00:00:00"/>
        <d v="2016-09-09T00:00:00"/>
        <d v="2016-09-10T00:00:00"/>
        <d v="2016-09-11T00:00:00"/>
        <d v="2016-09-12T00:00:00"/>
        <d v="2016-09-13T00:00:00"/>
        <d v="2016-09-14T00:00:00"/>
        <d v="2016-09-15T00:00:00"/>
        <d v="2016-09-16T00:00:00"/>
        <d v="2016-09-17T00:00:00"/>
        <d v="2016-09-18T00:00:00"/>
        <d v="2016-09-19T00:00:00"/>
        <d v="2016-09-20T00:00:00"/>
        <d v="2016-09-21T00:00:00"/>
        <d v="2016-09-22T00:00:00"/>
        <d v="2016-09-23T00:00:00"/>
        <d v="2016-09-24T00:00:00"/>
        <d v="2016-09-25T00:00:00"/>
        <d v="2016-09-26T00:00:00"/>
        <d v="2016-09-27T00:00:00"/>
        <d v="2016-09-28T00:00:00"/>
        <d v="2016-09-29T00:00:00"/>
        <d v="2016-09-30T00:00:00"/>
        <d v="2016-10-01T00:00:00"/>
        <d v="2016-10-02T00:00:00"/>
        <d v="2016-10-03T00:00:00"/>
        <d v="2016-10-04T00:00:00"/>
        <d v="2016-10-05T00:00:00"/>
        <d v="2016-10-06T00:00:00"/>
        <d v="2016-10-07T00:00:00"/>
        <d v="2016-10-08T00:00:00"/>
        <d v="2016-10-09T00:00:00"/>
        <d v="2016-10-10T00:00:00"/>
        <d v="2016-10-11T00:00:00"/>
        <d v="2016-10-12T00:00:00"/>
        <d v="2016-10-13T00:00:00"/>
        <d v="2016-10-14T00:00:00"/>
        <d v="2016-10-15T00:00:00"/>
        <d v="2016-10-16T00:00:00"/>
        <d v="2016-10-17T00:00:00"/>
        <d v="2016-10-18T00:00:00"/>
        <d v="2016-10-19T00:00:00"/>
        <d v="2016-10-20T00:00:00"/>
        <d v="2016-10-21T00:00:00"/>
        <d v="2016-10-22T00:00:00"/>
        <d v="2016-10-23T00:00:00"/>
        <d v="2016-10-24T00:00:00"/>
        <d v="2016-10-25T00:00:00"/>
        <d v="2016-10-26T00:00:00"/>
        <d v="2016-10-27T00:00:00"/>
        <d v="2016-10-28T00:00:00"/>
        <d v="2016-10-29T00:00:00"/>
        <d v="2016-10-30T00:00:00"/>
        <d v="2016-10-31T00:00:00"/>
        <d v="2016-11-01T00:00:00"/>
        <d v="2016-11-02T00:00:00"/>
        <d v="2016-11-03T00:00:00"/>
        <d v="2016-11-04T00:00:00"/>
        <d v="2016-11-05T00:00:00"/>
        <d v="2016-11-06T00:00:00"/>
        <d v="2016-11-07T00:00:00"/>
        <d v="2016-11-08T00:00:00"/>
        <d v="2016-11-09T00:00:00"/>
        <d v="2016-11-10T00:00:00"/>
        <d v="2016-11-11T00:00:00"/>
        <d v="2016-11-12T00:00:00"/>
        <d v="2016-11-13T00:00:00"/>
        <d v="2016-11-14T00:00:00"/>
        <d v="2016-11-15T00:00:00"/>
        <d v="2016-11-16T00:00:00"/>
        <d v="2016-11-17T00:00:00"/>
        <d v="2016-11-18T00:00:00"/>
        <d v="2016-11-19T00:00:00"/>
        <d v="2016-11-20T00:00:00"/>
        <d v="2016-11-21T00:00:00"/>
        <d v="2016-11-22T00:00:00"/>
        <d v="2016-11-23T00:00:00"/>
        <d v="2016-11-24T00:00:00"/>
        <d v="2016-11-25T00:00:00"/>
        <d v="2016-11-26T00:00:00"/>
        <d v="2016-11-27T00:00:00"/>
        <d v="2016-11-28T00:00:00"/>
        <d v="2016-11-29T00:00:00"/>
        <d v="2016-11-30T00:00:00"/>
        <d v="2016-12-01T00:00:00"/>
        <d v="2016-12-02T00:00:00"/>
        <d v="2016-12-03T00:00:00"/>
        <d v="2016-12-04T00:00:00"/>
        <d v="2016-12-05T00:00:00"/>
        <d v="2016-12-06T00:00:00"/>
        <d v="2016-12-07T00:00:00"/>
        <d v="2016-12-08T00:00:00"/>
        <d v="2016-12-09T00:00:00"/>
        <d v="2016-12-10T00:00:00"/>
        <d v="2016-12-11T00:00:00"/>
        <d v="2016-12-12T00:00:00"/>
        <d v="2016-12-13T00:00:00"/>
        <d v="2016-12-14T00:00:00"/>
        <d v="2016-12-15T00:00:00"/>
        <d v="2016-12-16T00:00:00"/>
        <d v="2016-12-17T00:00:00"/>
        <d v="2016-12-18T00:00:00"/>
        <d v="2016-12-19T00:00:00"/>
        <d v="2016-12-20T00:00:00"/>
        <d v="2016-12-21T00:00:00"/>
        <d v="2016-12-22T00:00:00"/>
        <d v="2016-12-23T00:00:00"/>
        <d v="2016-12-24T00:00:00"/>
        <d v="2016-12-25T00:00:00"/>
        <d v="2016-12-26T00:00:00"/>
        <d v="2016-12-27T00:00:00"/>
        <d v="2016-12-28T00:00:00"/>
        <d v="2016-12-29T00:00:00"/>
        <d v="2016-12-30T00:00:00"/>
        <d v="2016-12-31T00:00:00"/>
        <d v="2017-01-01T00:00:00"/>
        <d v="2017-01-02T00:00:00"/>
        <d v="2017-01-03T00:00:00"/>
        <d v="2017-01-04T00:00:00"/>
        <d v="2017-01-05T00:00:00"/>
        <d v="2017-01-06T00:00:00"/>
        <d v="2017-01-07T00:00:00"/>
        <d v="2017-01-08T00:00:00"/>
        <d v="2017-01-09T00:00:00"/>
        <d v="2017-01-10T00:00:00"/>
        <d v="2017-01-11T00:00:00"/>
        <d v="2017-01-12T00:00:00"/>
        <d v="2017-01-13T00:00:00"/>
        <d v="2017-01-14T00:00:00"/>
        <d v="2017-01-15T00:00:00"/>
        <d v="2017-01-16T00:00:00"/>
        <d v="2017-01-17T00:00:00"/>
        <d v="2017-01-18T00:00:00"/>
        <d v="2017-01-19T00:00:00"/>
        <d v="2017-01-20T00:00:00"/>
        <d v="2017-01-21T00:00:00"/>
        <d v="2017-01-22T00:00:00"/>
        <d v="2017-01-23T00:00:00"/>
        <d v="2017-01-24T00:00:00"/>
        <d v="2017-01-25T00:00:00"/>
        <d v="2017-01-26T00:00:00"/>
        <d v="2017-01-27T00:00:00"/>
        <d v="2017-01-28T00:00:00"/>
        <d v="2017-01-29T00:00:00"/>
        <d v="2017-01-30T00:00:00"/>
        <d v="2017-01-31T00:00:00"/>
        <d v="2017-02-01T00:00:00"/>
        <d v="2017-02-02T00:00:00"/>
        <d v="2017-02-03T00:00:00"/>
        <d v="2017-02-04T00:00:00"/>
        <d v="2017-02-05T00:00:00"/>
        <d v="2017-02-06T00:00:00"/>
        <d v="2017-02-07T00:00:00"/>
        <d v="2017-02-08T00:00:00"/>
        <d v="2017-02-09T00:00:00"/>
        <d v="2017-02-10T00:00:00"/>
        <d v="2017-02-11T00:00:00"/>
        <d v="2017-02-12T00:00:00"/>
        <d v="2017-02-13T00:00:00"/>
        <d v="2017-02-14T00:00:00"/>
        <d v="2017-02-15T00:00:00"/>
        <d v="2017-02-16T00:00:00"/>
        <d v="2017-02-17T00:00:00"/>
        <d v="2017-02-18T00:00:00"/>
        <d v="2017-02-19T00:00:00"/>
        <d v="2017-02-20T00:00:00"/>
        <d v="2017-02-21T00:00:00"/>
        <d v="2017-02-22T00:00:00"/>
        <d v="2017-02-23T00:00:00"/>
        <d v="2017-02-24T00:00:00"/>
        <d v="2017-02-25T00:00:00"/>
        <d v="2017-02-26T00:00:00"/>
        <d v="2017-02-27T00:00:00"/>
        <d v="2017-02-28T00:00:00"/>
        <d v="2017-03-01T00:00:00"/>
        <d v="2017-03-02T00:00:00"/>
        <d v="2017-03-03T00:00:00"/>
        <d v="2017-03-04T00:00:00"/>
        <d v="2017-03-05T00:00:00"/>
        <d v="2017-03-06T00:00:00"/>
        <d v="2017-03-07T00:00:00"/>
        <d v="2017-03-08T00:00:00"/>
        <d v="2017-03-09T00:00:00"/>
        <d v="2017-03-10T00:00:00"/>
        <d v="2017-03-11T00:00:00"/>
        <d v="2017-03-12T00:00:00"/>
        <d v="2017-03-13T00:00:00"/>
        <d v="2017-03-14T00:00:00"/>
        <d v="2017-03-15T00:00:00"/>
        <d v="2017-03-16T00:00:00"/>
        <d v="2017-03-17T00:00:00"/>
        <d v="2017-03-18T00:00:00"/>
        <d v="2017-03-19T00:00:00"/>
        <d v="2017-03-20T00:00:00"/>
        <d v="2017-03-21T00:00:00"/>
        <d v="2017-03-22T00:00:00"/>
        <d v="2017-03-23T00:00:00"/>
        <d v="2017-03-24T00:00:00"/>
        <d v="2017-03-25T00:00:00"/>
        <d v="2017-03-26T00:00:00"/>
        <d v="2017-03-27T00:00:00"/>
        <d v="2017-03-28T00:00:00"/>
        <d v="2017-03-29T00:00:00"/>
        <d v="2017-03-30T00:00:00"/>
        <d v="2017-03-31T00:00:00"/>
        <d v="2017-04-01T00:00:00"/>
        <d v="2017-04-02T00:00:00"/>
        <d v="2017-04-03T00:00:00"/>
        <d v="2017-04-04T00:00:00"/>
        <d v="2017-04-05T00:00:00"/>
        <d v="2017-04-06T00:00:00"/>
        <d v="2017-04-07T00:00:00"/>
        <d v="2017-04-08T00:00:00"/>
        <d v="2017-04-09T00:00:00"/>
        <d v="2017-04-10T00:00:00"/>
        <d v="2017-04-11T00:00:00"/>
        <d v="2017-04-12T00:00:00"/>
        <d v="2017-04-13T00:00:00"/>
        <d v="2017-04-14T00:00:00"/>
        <d v="2017-04-15T00:00:00"/>
        <d v="2017-04-16T00:00:00"/>
        <d v="2017-04-17T00:00:00"/>
        <d v="2017-04-18T00:00:00"/>
        <d v="2017-04-19T00:00:00"/>
        <d v="2017-04-20T00:00:00"/>
        <d v="2017-04-21T00:00:00"/>
        <d v="2017-04-22T00:00:00"/>
        <d v="2017-04-23T00:00:00"/>
        <d v="2017-04-24T00:00:00"/>
        <d v="2017-04-25T00:00:00"/>
        <d v="2017-04-26T00:00:00"/>
        <d v="2017-04-27T00:00:00"/>
        <d v="2017-04-28T00:00:00"/>
        <d v="2017-04-29T00:00:00"/>
        <d v="2017-04-30T00:00:00"/>
        <d v="2017-05-01T00:00:00"/>
        <d v="2017-05-02T00:00:00"/>
        <d v="2017-05-03T00:00:00"/>
        <d v="2017-05-04T00:00:00"/>
        <d v="2017-05-05T00:00:00"/>
        <d v="2017-05-06T00:00:00"/>
        <d v="2017-05-07T00:00:00"/>
        <d v="2017-05-08T00:00:00"/>
        <d v="2017-05-09T00:00:00"/>
        <d v="2017-05-10T00:00:00"/>
        <d v="2017-05-11T00:00:00"/>
        <d v="2017-05-12T00:00:00"/>
        <d v="2017-05-13T00:00:00"/>
        <d v="2017-05-14T00:00:00"/>
        <d v="2017-05-15T00:00:00"/>
        <d v="2017-05-16T00:00:00"/>
        <d v="2017-05-17T00:00:00"/>
        <d v="2017-05-18T00:00:00"/>
        <d v="2017-05-19T00:00:00"/>
        <d v="2017-05-20T00:00:00"/>
        <d v="2017-05-21T00:00:00"/>
        <d v="2017-05-22T00:00:00"/>
        <d v="2017-05-23T00:00:00"/>
        <d v="2017-05-24T00:00:00"/>
        <d v="2017-05-25T00:00:00"/>
        <d v="2017-05-26T00:00:00"/>
        <d v="2017-05-27T00:00:00"/>
        <d v="2017-05-28T00:00:00"/>
        <d v="2017-05-29T00:00:00"/>
        <d v="2017-05-30T00:00:00"/>
        <d v="2017-05-31T00:00:00"/>
        <d v="2017-06-01T00:00:00"/>
        <d v="2017-06-02T00:00:00"/>
        <d v="2017-06-03T00:00:00"/>
        <d v="2017-06-04T00:00:00"/>
        <d v="2017-06-05T00:00:00"/>
        <d v="2017-06-06T00:00:00"/>
        <d v="2017-06-07T00:00:00"/>
        <d v="2017-06-08T00:00:00"/>
        <d v="2017-06-09T00:00:00"/>
        <d v="2017-06-10T00:00:00"/>
        <d v="2017-06-11T00:00:00"/>
        <d v="2017-06-12T00:00:00"/>
        <d v="2017-06-13T00:00:00"/>
        <d v="2017-06-14T00:00:00"/>
        <d v="2017-06-15T00:00:00"/>
        <d v="2017-06-16T00:00:00"/>
        <d v="2017-06-17T00:00:00"/>
        <d v="2017-06-18T00:00:00"/>
        <d v="2017-06-19T00:00:00"/>
        <d v="2017-06-20T00:00:00"/>
        <d v="2017-06-21T00:00:00"/>
        <d v="2017-06-22T00:00:00"/>
        <d v="2017-06-23T00:00:00"/>
        <d v="2017-06-24T00:00:00"/>
        <d v="2017-06-25T00:00:00"/>
        <d v="2017-06-26T00:00:00"/>
        <d v="2017-06-27T00:00:00"/>
        <d v="2017-06-28T00:00:00"/>
        <d v="2017-06-29T00:00:00"/>
        <d v="2017-06-30T00:00:00"/>
        <d v="2017-07-01T00:00:00"/>
        <d v="2017-07-02T00:00:00"/>
        <d v="2017-07-03T00:00:00"/>
        <d v="2017-07-04T00:00:00"/>
        <d v="2017-07-05T00:00:00"/>
        <d v="2017-07-06T00:00:00"/>
        <d v="2017-07-07T00:00:00"/>
        <d v="2017-07-08T00:00:00"/>
        <d v="2017-07-09T00:00:00"/>
        <d v="2017-07-10T00:00:00"/>
        <d v="2017-07-11T00:00:00"/>
        <d v="2017-07-12T00:00:00"/>
        <d v="2017-07-13T00:00:00"/>
        <d v="2017-07-14T00:00:00"/>
        <d v="2017-07-15T00:00:00"/>
        <d v="2017-07-16T00:00:00"/>
        <d v="2017-07-17T00:00:00"/>
        <d v="2017-07-18T00:00:00"/>
        <d v="2017-07-19T00:00:00"/>
        <d v="2017-07-20T00:00:00"/>
        <d v="2017-07-21T00:00:00"/>
        <d v="2017-07-22T00:00:00"/>
        <d v="2017-07-23T00:00:00"/>
        <d v="2017-07-24T00:00:00"/>
        <d v="2017-07-25T00:00:00"/>
        <d v="2017-07-26T00:00:00"/>
        <d v="2017-07-27T00:00:00"/>
        <d v="2017-07-28T00:00:00"/>
        <d v="2017-07-29T00:00:00"/>
        <d v="2017-07-30T00:00:00"/>
        <d v="2017-07-31T00:00:00"/>
        <d v="2017-08-01T00:00:00"/>
        <d v="2017-08-02T00:00:00"/>
        <d v="2017-08-03T00:00:00"/>
        <d v="2017-08-04T00:00:00"/>
        <d v="2017-08-05T00:00:00"/>
        <d v="2017-08-06T00:00:00"/>
        <d v="2017-08-07T00:00:00"/>
        <d v="2017-08-08T00:00:00"/>
        <d v="2017-08-09T00:00:00"/>
        <d v="2017-08-10T00:00:00"/>
        <d v="2017-08-11T00:00:00"/>
        <d v="2017-08-12T00:00:00"/>
        <d v="2017-08-13T00:00:00"/>
        <d v="2017-08-14T00:00:00"/>
        <d v="2017-08-15T00:00:00"/>
        <d v="2017-08-16T00:00:00"/>
        <d v="2017-08-17T00:00:00"/>
        <d v="2017-08-18T00:00:00"/>
        <d v="2017-08-19T00:00:00"/>
        <d v="2017-08-20T00:00:00"/>
        <d v="2017-08-21T00:00:00"/>
        <d v="2017-08-22T00:00:00"/>
        <d v="2017-08-23T00:00:00"/>
        <d v="2017-08-24T00:00:00"/>
        <d v="2017-08-25T00:00:00"/>
        <d v="2017-08-26T00:00:00"/>
        <d v="2017-08-27T00:00:00"/>
        <d v="2017-08-28T00:00:00"/>
        <d v="2017-08-29T00:00:00"/>
        <d v="2017-08-30T00:00:00"/>
        <d v="2017-08-31T00:00:00"/>
        <d v="2017-09-01T00:00:00"/>
        <d v="2017-09-02T00:00:00"/>
        <d v="2017-09-03T00:00:00"/>
        <d v="2017-09-04T00:00:00"/>
        <d v="2017-09-05T00:00:00"/>
        <d v="2017-09-06T00:00:00"/>
        <d v="2017-09-07T00:00:00"/>
        <d v="2017-09-08T00:00:00"/>
        <d v="2017-09-09T00:00:00"/>
        <d v="2017-09-10T00:00:00"/>
        <d v="2017-09-11T00:00:00"/>
        <d v="2017-09-12T00:00:00"/>
        <d v="2017-09-13T00:00:00"/>
        <d v="2017-09-14T00:00:00"/>
        <d v="2017-09-15T00:00:00"/>
        <d v="2017-09-16T00:00:00"/>
        <d v="2017-09-17T00:00:00"/>
        <d v="2017-09-18T00:00:00"/>
        <d v="2017-09-19T00:00:00"/>
        <d v="2017-09-20T00:00:00"/>
        <d v="2017-09-21T00:00:00"/>
        <d v="2017-09-22T00:00:00"/>
        <d v="2017-09-23T00:00:00"/>
        <d v="2017-09-24T00:00:00"/>
        <d v="2017-09-25T00:00:00"/>
        <d v="2017-09-26T00:00:00"/>
        <d v="2017-09-27T00:00:00"/>
        <d v="2017-09-28T00:00:00"/>
        <d v="2017-09-29T00:00:00"/>
        <d v="2017-09-30T00:00:00"/>
        <d v="2017-10-01T00:00:00"/>
        <d v="2017-10-02T00:00:00"/>
        <d v="2017-10-03T00:00:00"/>
        <d v="2017-10-04T00:00:00"/>
        <d v="2017-10-05T00:00:00"/>
        <d v="2017-10-06T00:00:00"/>
        <d v="2017-10-07T00:00:00"/>
        <d v="2017-10-08T00:00:00"/>
        <d v="2017-10-09T00:00:00"/>
        <d v="2017-10-10T00:00:00"/>
        <d v="2017-10-11T00:00:00"/>
        <d v="2017-10-12T00:00:00"/>
        <d v="2017-10-13T00:00:00"/>
        <d v="2017-10-14T00:00:00"/>
        <d v="2017-10-15T00:00:00"/>
        <d v="2017-10-16T00:00:00"/>
        <d v="2017-10-17T00:00:00"/>
        <d v="2017-10-18T00:00:00"/>
        <d v="2017-10-19T00:00:00"/>
        <d v="2017-10-20T00:00:00"/>
        <d v="2017-10-21T00:00:00"/>
        <d v="2017-10-22T00:00:00"/>
        <d v="2017-10-23T00:00:00"/>
        <d v="2017-10-24T00:00:00"/>
        <d v="2017-10-25T00:00:00"/>
        <d v="2017-10-26T00:00:00"/>
        <d v="2017-10-27T00:00:00"/>
        <d v="2017-10-28T00:00:00"/>
        <d v="2017-10-29T00:00:00"/>
        <d v="2017-10-30T00:00:00"/>
        <d v="2017-10-31T00:00:00"/>
        <d v="2017-11-01T00:00:00"/>
        <d v="2017-11-02T00:00:00"/>
        <d v="2017-11-03T00:00:00"/>
        <d v="2017-11-04T00:00:00"/>
        <d v="2017-11-05T00:00:00"/>
        <d v="2017-11-06T00:00:00"/>
        <d v="2017-11-07T00:00:00"/>
        <d v="2017-11-08T00:00:00"/>
        <d v="2017-11-09T00:00:00"/>
        <d v="2017-11-10T00:00:00"/>
        <d v="2017-11-11T00:00:00"/>
        <d v="2017-11-12T00:00:00"/>
        <d v="2017-11-13T00:00:00"/>
        <d v="2017-11-14T00:00:00"/>
        <d v="2017-11-15T00:00:00"/>
        <d v="2017-11-16T00:00:00"/>
        <d v="2017-11-17T00:00:00"/>
        <d v="2017-11-18T00:00:00"/>
        <d v="2017-11-19T00:00:00"/>
        <d v="2017-11-20T00:00:00"/>
        <d v="2017-11-21T00:00:00"/>
        <d v="2017-11-22T00:00:00"/>
        <d v="2017-11-23T00:00:00"/>
        <d v="2017-11-24T00:00:00"/>
        <d v="2017-11-25T00:00:00"/>
        <d v="2017-11-26T00:00:00"/>
        <d v="2017-11-27T00:00:00"/>
        <d v="2017-11-28T00:00:00"/>
        <d v="2017-11-29T00:00:00"/>
        <d v="2017-11-30T00:00:00"/>
        <d v="2017-12-01T00:00:00"/>
        <d v="2017-12-02T00:00:00"/>
        <d v="2017-12-03T00:00:00"/>
        <d v="2017-12-04T00:00:00"/>
        <d v="2017-12-05T00:00:00"/>
        <d v="2017-12-06T00:00:00"/>
        <d v="2017-12-07T00:00:00"/>
        <d v="2017-12-08T00:00:00"/>
        <d v="2017-12-09T00:00:00"/>
        <d v="2017-12-10T00:00:00"/>
        <d v="2017-12-11T00:00:00"/>
        <d v="2017-12-12T00:00:00"/>
        <d v="2017-12-13T00:00:00"/>
        <d v="2017-12-14T00:00:00"/>
        <d v="2017-12-15T00:00:00"/>
        <d v="2017-12-16T00:00:00"/>
        <d v="2017-12-17T00:00:00"/>
        <d v="2017-12-18T00:00:00"/>
        <d v="2017-12-19T00:00:00"/>
        <d v="2017-12-20T00:00:00"/>
        <d v="2017-12-21T00:00:00"/>
        <d v="2017-12-22T00:00:00"/>
        <d v="2017-12-23T00:00:00"/>
        <d v="2017-12-24T00:00:00"/>
        <d v="2017-12-25T00:00:00"/>
        <d v="2017-12-26T00:00:00"/>
        <d v="2017-12-27T00:00:00"/>
        <d v="2017-12-28T00:00:00"/>
        <d v="2017-12-29T00:00:00"/>
        <d v="2017-12-30T00:00:00"/>
        <d v="2017-12-31T00:00:00"/>
        <d v="2018-01-01T00:00:00"/>
        <d v="2018-01-02T00:00:00"/>
        <d v="2018-01-03T00:00:00"/>
        <d v="2018-01-04T00:00:00"/>
        <d v="2018-01-05T00:00:00"/>
        <d v="2018-01-06T00:00:00"/>
        <d v="2018-01-07T00:00:00"/>
        <d v="2018-01-08T00:00:00"/>
        <d v="2018-01-09T00:00:00"/>
        <d v="2018-01-10T00:00:00"/>
        <d v="2018-01-11T00:00:00"/>
        <d v="2018-01-12T00:00:00"/>
        <d v="2018-01-13T00:00:00"/>
        <d v="2018-01-14T00:00:00"/>
        <d v="2018-01-15T00:00:00"/>
        <d v="2018-01-16T00:00:00"/>
        <d v="2018-01-17T00:00:00"/>
        <d v="2018-01-18T00:00:00"/>
        <d v="2018-01-19T00:00:00"/>
        <d v="2018-01-20T00:00:00"/>
        <d v="2018-01-21T00:00:00"/>
        <d v="2018-01-22T00:00:00"/>
        <d v="2018-01-23T00:00:00"/>
        <d v="2018-01-24T00:00:00"/>
        <d v="2018-01-25T00:00:00"/>
        <d v="2018-01-26T00:00:00"/>
        <d v="2018-01-27T00:00:00"/>
        <d v="2018-01-28T00:00:00"/>
        <d v="2018-01-29T00:00:00"/>
        <d v="2018-01-30T00:00:00"/>
        <d v="2018-01-31T00:00:00"/>
        <d v="2018-02-01T00:00:00"/>
        <d v="2018-02-02T00:00:00"/>
        <d v="2018-02-03T00:00:00"/>
        <d v="2018-02-04T00:00:00"/>
        <d v="2018-02-05T00:00:00"/>
        <d v="2018-02-06T00:00:00"/>
        <d v="2018-02-07T00:00:00"/>
        <d v="2018-02-08T00:00:00"/>
        <d v="2018-02-09T00:00:00"/>
        <d v="2018-02-10T00:00:00"/>
        <d v="2018-02-11T00:00:00"/>
        <d v="2018-02-12T00:00:00"/>
        <d v="2018-02-13T00:00:00"/>
        <d v="2018-02-14T00:00:00"/>
        <d v="2018-02-15T00:00:00"/>
        <d v="2018-02-16T00:00:00"/>
        <d v="2018-02-17T00:00:00"/>
        <d v="2018-02-18T00:00:00"/>
        <d v="2018-02-19T00:00:00"/>
        <d v="2018-02-20T00:00:00"/>
        <d v="2018-02-21T00:00:00"/>
        <d v="2018-02-22T00:00:00"/>
        <d v="2018-02-23T00:00:00"/>
        <d v="2018-02-24T00:00:00"/>
        <d v="2018-02-25T00:00:00"/>
        <d v="2018-02-26T00:00:00"/>
        <d v="2018-02-27T00:00:00"/>
        <d v="2018-02-28T00:00:00"/>
        <d v="2018-03-01T00:00:00"/>
        <d v="2018-03-02T00:00:00"/>
        <d v="2018-03-03T00:00:00"/>
        <d v="2018-03-04T00:00:00"/>
        <d v="2018-03-05T00:00:00"/>
        <d v="2018-03-06T00:00:00"/>
        <d v="2018-03-07T00:00:00"/>
        <d v="2018-03-08T00:00:00"/>
        <d v="2018-03-09T00:00:00"/>
        <d v="2018-03-10T00:00:00"/>
        <d v="2018-03-11T00:00:00"/>
        <d v="2018-03-12T00:00:00"/>
        <d v="2018-03-13T00:00:00"/>
        <d v="2018-03-14T00:00:00"/>
        <d v="2018-03-15T00:00:00"/>
        <d v="2018-03-16T00:00:00"/>
        <d v="2018-03-17T00:00:00"/>
        <d v="2018-03-18T00:00:00"/>
        <d v="2018-03-19T00:00:00"/>
        <d v="2018-03-20T00:00:00"/>
        <d v="2018-03-21T00:00:00"/>
        <d v="2018-03-22T00:00:00"/>
        <d v="2018-03-23T00:00:00"/>
        <d v="2018-03-24T00:00:00"/>
        <d v="2018-03-25T00:00:00"/>
        <d v="2018-03-26T00:00:00"/>
        <d v="2018-03-27T00:00:00"/>
        <d v="2018-03-28T00:00:00"/>
        <d v="2018-03-29T00:00:00"/>
        <d v="2018-03-30T00:00:00"/>
        <d v="2018-03-31T00:00:00"/>
        <d v="2018-04-01T00:00:00"/>
        <d v="2018-04-02T00:00:00"/>
        <d v="2018-04-03T00:00:00"/>
        <d v="2018-04-04T00:00:00"/>
        <d v="2018-04-05T00:00:00"/>
        <d v="2018-04-06T00:00:00"/>
        <d v="2018-04-07T00:00:00"/>
        <d v="2018-04-08T00:00:00"/>
        <d v="2018-04-09T00:00:00"/>
        <d v="2018-04-10T00:00:00"/>
        <d v="2018-04-11T00:00:00"/>
        <d v="2018-04-12T00:00:00"/>
        <d v="2018-04-13T00:00:00"/>
        <d v="2018-04-14T00:00:00"/>
        <d v="2018-04-15T00:00:00"/>
        <d v="2018-04-16T00:00:00"/>
        <d v="2018-04-17T00:00:00"/>
        <d v="2018-04-18T00:00:00"/>
        <d v="2018-04-19T00:00:00"/>
        <d v="2018-04-20T00:00:00"/>
        <d v="2018-04-21T00:00:00"/>
        <d v="2018-04-22T00:00:00"/>
        <d v="2018-04-23T00:00:00"/>
        <d v="2018-04-24T00:00:00"/>
        <d v="2018-04-25T00:00:00"/>
        <d v="2018-04-26T00:00:00"/>
        <d v="2018-04-27T00:00:00"/>
        <d v="2018-04-28T00:00:00"/>
        <d v="2018-04-29T00:00:00"/>
        <d v="2018-04-30T00:00:00"/>
        <d v="2018-05-01T00:00:00"/>
        <d v="2018-05-02T00:00:00"/>
        <d v="2018-05-03T00:00:00"/>
        <d v="2018-05-04T00:00:00"/>
        <d v="2018-05-05T00:00:00"/>
        <d v="2018-05-06T00:00:00"/>
        <d v="2018-05-07T00:00:00"/>
        <d v="2018-05-08T00:00:00"/>
        <d v="2018-05-09T00:00:00"/>
        <d v="2018-05-10T00:00:00"/>
        <d v="2018-05-11T00:00:00"/>
        <d v="2018-05-12T00:00:00"/>
        <d v="2018-05-13T00:00:00"/>
        <d v="2018-05-14T00:00:00"/>
        <d v="2018-05-15T00:00:00"/>
        <d v="2018-05-16T00:00:00"/>
        <d v="2018-05-17T00:00:00"/>
        <d v="2018-05-18T00:00:00"/>
        <d v="2018-05-19T00:00:00"/>
        <d v="2018-05-20T00:00:00"/>
        <d v="2018-05-21T00:00:00"/>
        <d v="2018-05-22T00:00:00"/>
        <d v="2018-05-23T00:00:00"/>
        <d v="2018-05-24T00:00:00"/>
        <d v="2018-05-25T00:00:00"/>
        <d v="2018-05-26T00:00:00"/>
        <d v="2018-05-27T00:00:00"/>
        <d v="2018-05-28T00:00:00"/>
        <d v="2018-05-29T00:00:00"/>
        <d v="2018-05-30T00:00:00"/>
        <d v="2018-05-31T00:00:00"/>
        <d v="2018-06-01T00:00:00"/>
        <d v="2018-06-02T00:00:00"/>
        <d v="2018-06-03T00:00:00"/>
        <d v="2018-06-04T00:00:00"/>
        <d v="2018-06-05T00:00:00"/>
        <d v="2018-06-06T00:00:00"/>
        <d v="2018-06-07T00:00:00"/>
        <d v="2018-06-08T00:00:00"/>
        <d v="2018-06-09T00:00:00"/>
        <d v="2018-06-10T00:00:00"/>
        <d v="2018-06-11T00:00:00"/>
        <d v="2018-06-12T00:00:00"/>
        <d v="2018-06-13T00:00:00"/>
        <d v="2018-06-14T00:00:00"/>
        <d v="2018-06-15T00:00:00"/>
        <d v="2018-06-16T00:00:00"/>
        <d v="2018-06-17T00:00:00"/>
        <d v="2018-06-18T00:00:00"/>
        <d v="2018-06-19T00:00:00"/>
        <d v="2018-06-20T00:00:00"/>
        <d v="2018-06-21T00:00:00"/>
        <d v="2018-06-22T00:00:00"/>
        <d v="2018-06-23T00:00:00"/>
        <d v="2018-06-24T00:00:00"/>
        <d v="2018-06-25T00:00:00"/>
        <d v="2018-06-26T00:00:00"/>
        <d v="2018-06-27T00:00:00"/>
        <d v="2018-06-28T00:00:00"/>
        <d v="2018-06-29T00:00:00"/>
        <d v="2018-06-30T00:00:00"/>
        <d v="2018-07-01T00:00:00"/>
        <d v="2018-07-02T00:00:00"/>
        <d v="2018-07-03T00:00:00"/>
        <d v="2018-07-04T00:00:00"/>
        <d v="2018-07-05T00:00:00"/>
        <d v="2018-07-06T00:00:00"/>
        <d v="2018-07-07T00:00:00"/>
        <d v="2018-07-08T00:00:00"/>
        <d v="2018-07-09T00:00:00"/>
        <d v="2018-07-10T00:00:00"/>
        <d v="2018-07-11T00:00:00"/>
        <d v="2018-07-12T00:00:00"/>
        <d v="2018-07-13T00:00:00"/>
        <d v="2018-07-14T00:00:00"/>
        <d v="2018-07-15T00:00:00"/>
        <d v="2018-07-16T00:00:00"/>
        <d v="2018-07-17T00:00:00"/>
        <d v="2018-07-18T00:00:00"/>
        <d v="2018-07-19T00:00:00"/>
        <d v="2018-07-20T00:00:00"/>
        <d v="2018-07-21T00:00:00"/>
        <d v="2018-07-22T00:00:00"/>
        <d v="2018-07-23T00:00:00"/>
        <d v="2018-07-24T00:00:00"/>
        <d v="2018-07-25T00:00:00"/>
        <d v="2018-07-26T00:00:00"/>
        <d v="2018-07-27T00:00:00"/>
        <d v="2018-07-28T00:00:00"/>
        <d v="2018-07-29T00:00:00"/>
        <d v="2018-07-30T00:00:00"/>
        <d v="2018-07-31T00:00:00"/>
        <d v="2018-08-01T00:00:00"/>
        <d v="2018-08-02T00:00:00"/>
        <d v="2018-08-03T00:00:00"/>
        <d v="2018-08-04T00:00:00"/>
        <d v="2018-08-05T00:00:00"/>
        <d v="2018-08-06T00:00:00"/>
        <d v="2018-08-07T00:00:00"/>
        <d v="2018-08-08T00:00:00"/>
        <d v="2018-08-09T00:00:00"/>
        <d v="2018-08-10T00:00:00"/>
        <d v="2018-08-11T00:00:00"/>
        <d v="2018-08-12T00:00:00"/>
        <d v="2018-08-13T00:00:00"/>
        <d v="2018-08-14T00:00:00"/>
        <d v="2018-08-15T00:00:00"/>
        <d v="2018-08-16T00:00:00"/>
        <d v="2018-08-17T00:00:00"/>
        <d v="2018-08-18T00:00:00"/>
        <d v="2018-08-19T00:00:00"/>
        <d v="2018-08-20T00:00:00"/>
        <d v="2018-08-21T00:00:00"/>
        <d v="2018-08-22T00:00:00"/>
        <d v="2018-08-23T00:00:00"/>
        <d v="2018-08-24T00:00:00"/>
        <d v="2018-08-25T00:00:00"/>
        <d v="2018-08-26T00:00:00"/>
        <d v="2018-08-27T00:00:00"/>
        <d v="2018-08-28T00:00:00"/>
        <d v="2018-08-29T00:00:00"/>
        <d v="2018-08-30T00:00:00"/>
        <d v="2018-08-31T00:00:00"/>
        <d v="2018-09-01T00:00:00"/>
        <d v="2018-09-02T00:00:00"/>
        <d v="2018-09-03T00:00:00"/>
        <d v="2018-09-04T00:00:00"/>
        <d v="2018-09-05T00:00:00"/>
        <d v="2018-09-06T00:00:00"/>
        <d v="2018-09-07T00:00:00"/>
        <d v="2018-09-08T00:00:00"/>
        <d v="2018-09-09T00:00:00"/>
        <d v="2018-09-10T00:00:00"/>
        <d v="2018-09-11T00:00:00"/>
        <d v="2018-09-12T00:00:00"/>
        <d v="2018-09-13T00:00:00"/>
        <d v="2018-09-14T00:00:00"/>
        <d v="2018-09-15T00:00:00"/>
        <d v="2018-09-16T00:00:00"/>
        <d v="2018-09-17T00:00:00"/>
        <d v="2018-09-18T00:00:00"/>
        <d v="2018-09-19T00:00:00"/>
        <d v="2018-09-20T00:00:00"/>
        <d v="2018-09-21T00:00:00"/>
        <d v="2018-09-22T00:00:00"/>
        <d v="2018-09-23T00:00:00"/>
        <d v="2018-09-24T00:00:00"/>
        <d v="2018-09-25T00:00:00"/>
        <d v="2018-09-26T00:00:00"/>
        <d v="2018-09-27T00:00:00"/>
        <d v="2018-09-28T00:00:00"/>
        <d v="2018-09-29T00:00:00"/>
        <d v="2018-09-30T00:00:00"/>
        <d v="2018-10-01T00:00:00"/>
        <d v="2018-10-02T00:00:00"/>
        <d v="2018-10-03T00:00:00"/>
        <d v="2018-10-04T00:00:00"/>
        <d v="2018-10-05T00:00:00"/>
        <d v="2018-10-06T00:00:00"/>
        <d v="2018-10-07T00:00:00"/>
        <d v="2018-10-08T00:00:00"/>
        <d v="2018-10-09T00:00:00"/>
        <d v="2018-10-10T00:00:00"/>
        <d v="2018-10-11T00:00:00"/>
        <d v="2018-10-12T00:00:00"/>
        <d v="2018-10-13T00:00:00"/>
        <d v="2018-10-14T00:00:00"/>
        <d v="2018-10-15T00:00:00"/>
        <d v="2018-10-16T00:00:00"/>
        <d v="2018-10-17T00:00:00"/>
        <d v="2018-10-18T00:00:00"/>
        <d v="2018-10-19T00:00:00"/>
        <d v="2018-10-20T00:00:00"/>
        <d v="2018-10-21T00:00:00"/>
        <d v="2018-10-22T00:00:00"/>
        <d v="2018-10-23T00:00:00"/>
        <d v="2018-10-24T00:00:00"/>
        <d v="2018-10-25T00:00:00"/>
        <d v="2018-10-26T00:00:00"/>
        <d v="2018-10-27T00:00:00"/>
        <d v="2018-10-28T00:00:00"/>
        <d v="2018-10-29T00:00:00"/>
        <d v="2018-10-30T00:00:00"/>
        <d v="2018-10-31T00:00:00"/>
        <d v="2018-11-01T00:00:00"/>
        <d v="2018-11-02T00:00:00"/>
        <d v="2018-11-03T00:00:00"/>
        <d v="2018-11-04T00:00:00"/>
        <d v="2018-11-05T00:00:00"/>
        <d v="2018-11-06T00:00:00"/>
        <d v="2018-11-07T00:00:00"/>
        <d v="2018-11-08T00:00:00"/>
        <d v="2018-11-09T00:00:00"/>
        <d v="2018-11-10T00:00:00"/>
        <d v="2018-11-11T00:00:00"/>
        <d v="2018-11-12T00:00:00"/>
        <d v="2018-11-13T00:00:00"/>
        <d v="2018-11-14T00:00:00"/>
        <d v="2018-11-15T00:00:00"/>
        <d v="2018-11-16T00:00:00"/>
        <d v="2018-11-17T00:00:00"/>
        <d v="2018-11-18T00:00:00"/>
        <d v="2018-11-19T00:00:00"/>
        <d v="2018-11-20T00:00:00"/>
        <d v="2018-11-21T00:00:00"/>
        <d v="2018-11-22T00:00:00"/>
        <d v="2018-11-23T00:00:00"/>
        <d v="2018-11-24T00:00:00"/>
        <d v="2018-11-25T00:00:00"/>
        <d v="2018-11-26T00:00:00"/>
        <d v="2018-11-27T00:00:00"/>
        <d v="2018-11-28T00:00:00"/>
        <d v="2018-11-29T00:00:00"/>
        <d v="2018-11-30T00:00:00"/>
        <d v="2018-12-01T00:00:00"/>
        <d v="2018-12-02T00:00:00"/>
        <d v="2018-12-03T00:00:00"/>
        <d v="2018-12-04T00:00:00"/>
        <d v="2018-12-05T00:00:00"/>
        <d v="2018-12-06T00:00:00"/>
        <d v="2018-12-07T00:00:00"/>
        <d v="2018-12-08T00:00:00"/>
        <d v="2018-12-09T00:00:00"/>
        <d v="2018-12-10T00:00:00"/>
        <d v="2018-12-11T00:00:00"/>
        <d v="2018-12-12T00:00:00"/>
        <d v="2018-12-13T00:00:00"/>
        <d v="2018-12-14T00:00:00"/>
        <d v="2018-12-15T00:00:00"/>
        <d v="2018-12-16T00:00:00"/>
        <d v="2018-12-17T00:00:00"/>
        <d v="2018-12-18T00:00:00"/>
        <d v="2018-12-19T00:00:00"/>
        <d v="2018-12-20T00:00:00"/>
        <d v="2018-12-21T00:00:00"/>
        <d v="2018-12-22T00:00:00"/>
        <d v="2018-12-23T00:00:00"/>
        <d v="2018-12-24T00:00:00"/>
        <d v="2018-12-25T00:00:00"/>
        <d v="2018-12-26T00:00:00"/>
        <d v="2018-12-27T00:00:00"/>
        <d v="2018-12-28T00:00:00"/>
        <d v="2018-12-29T00:00:00"/>
        <d v="2018-12-30T00:00:00"/>
        <d v="2018-12-31T00:00:00"/>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2T00:00:00"/>
        <d v="2019-01-23T00:00:00"/>
        <d v="2019-01-24T00:00:00"/>
        <d v="2019-01-25T00:00:00"/>
        <d v="2019-01-26T00:00:00"/>
        <d v="2019-01-27T00:00:00"/>
        <d v="2019-01-28T00:00:00"/>
        <d v="2019-01-29T00:00:00"/>
        <d v="2019-01-30T00:00:00"/>
        <d v="2019-01-31T00:00:00"/>
        <d v="2019-02-01T00:00:00"/>
        <d v="2019-02-02T00:00:00"/>
        <d v="2019-02-03T00:00:00"/>
        <d v="2019-02-04T00:00:00"/>
        <d v="2019-02-05T00:00:00"/>
        <d v="2019-02-06T00:00:00"/>
        <d v="2019-02-07T00:00:00"/>
        <d v="2019-02-08T00:00:00"/>
        <d v="2019-02-09T00:00:00"/>
        <d v="2019-02-10T00:00:00"/>
        <d v="2019-02-11T00:00:00"/>
        <d v="2019-02-12T00:00:00"/>
        <d v="2019-02-13T00:00:00"/>
        <d v="2019-02-14T00:00:00"/>
        <d v="2019-02-15T00:00:00"/>
        <d v="2019-02-16T00:00:00"/>
        <d v="2019-02-17T00:00:00"/>
        <d v="2019-02-18T00:00:00"/>
        <d v="2019-02-19T00:00:00"/>
        <d v="2019-02-20T00:00:00"/>
        <d v="2019-02-21T00:00:00"/>
        <d v="2019-02-22T00:00:00"/>
        <d v="2019-02-23T00:00:00"/>
        <d v="2019-02-24T00:00:00"/>
        <d v="2019-02-25T00:00:00"/>
        <d v="2019-02-26T00:00:00"/>
        <d v="2019-02-27T00:00:00"/>
        <d v="2019-02-28T00:00:00"/>
        <d v="2019-03-01T00:00:00"/>
        <d v="2019-03-02T00:00:00"/>
        <d v="2019-03-03T00:00:00"/>
        <d v="2019-03-04T00:00:00"/>
        <d v="2019-03-05T00:00:00"/>
        <d v="2019-03-06T00:00:00"/>
        <d v="2019-03-07T00:00:00"/>
        <d v="2019-03-08T00:00:00"/>
        <d v="2019-03-09T00:00:00"/>
        <d v="2019-03-10T00:00:00"/>
        <d v="2019-03-11T00:00:00"/>
        <d v="2019-03-12T00:00:00"/>
        <d v="2019-03-13T00:00:00"/>
        <d v="2019-03-14T00:00:00"/>
        <d v="2019-03-15T00:00:00"/>
        <d v="2019-03-16T00:00:00"/>
        <d v="2019-03-17T00:00:00"/>
        <d v="2019-03-18T00:00:00"/>
        <d v="2019-03-19T00:00:00"/>
        <d v="2019-03-20T00:00:00"/>
        <d v="2019-03-21T00:00:00"/>
        <d v="2019-03-22T00:00:00"/>
        <d v="2019-03-23T00:00:00"/>
        <d v="2019-03-24T00:00:00"/>
        <d v="2019-03-25T00:00:00"/>
        <d v="2019-03-26T00:00:00"/>
        <d v="2019-03-27T00:00:00"/>
        <d v="2019-03-28T00:00:00"/>
        <d v="2019-03-29T00:00:00"/>
        <d v="2019-03-30T00:00:00"/>
        <d v="2019-03-31T00:00:00"/>
        <d v="2019-04-01T00:00:00"/>
        <d v="2019-04-02T00:00:00"/>
        <d v="2019-04-03T00:00:00"/>
        <d v="2019-04-04T00:00:00"/>
        <d v="2019-04-05T00:00:00"/>
        <d v="2019-04-06T00:00:00"/>
        <d v="2019-04-07T00:00:00"/>
        <d v="2019-04-08T00:00:00"/>
        <d v="2019-04-09T00:00:00"/>
        <d v="2019-04-10T00:00:00"/>
        <d v="2019-04-11T00:00:00"/>
        <d v="2019-04-12T00:00:00"/>
        <d v="2019-04-13T00:00:00"/>
        <d v="2019-04-14T00:00:00"/>
        <d v="2019-04-15T00:00:00"/>
        <d v="2019-04-16T00:00:00"/>
        <d v="2019-04-17T00:00:00"/>
        <d v="2019-04-18T00:00:00"/>
        <d v="2019-04-19T00:00:00"/>
        <d v="2019-04-20T00:00:00"/>
        <d v="2019-04-21T00:00:00"/>
        <d v="2019-04-22T00:00:00"/>
        <d v="2019-04-23T00:00:00"/>
        <d v="2019-04-24T00:00:00"/>
        <d v="2019-04-25T00:00:00"/>
        <d v="2019-04-26T00:00:00"/>
        <d v="2019-04-27T00:00:00"/>
        <d v="2019-04-28T00:00:00"/>
        <d v="2019-04-29T00:00:00"/>
        <d v="2019-04-30T00:00:00"/>
        <d v="2019-05-01T00:00:00"/>
        <d v="2019-05-02T00:00:00"/>
        <d v="2019-05-03T00:00:00"/>
        <d v="2019-05-04T00:00:00"/>
        <d v="2019-05-05T00:00:00"/>
        <d v="2019-05-06T00:00:00"/>
        <d v="2019-05-07T00:00:00"/>
        <d v="2019-05-08T00:00:00"/>
        <d v="2019-05-09T00:00:00"/>
        <d v="2019-05-10T00:00:00"/>
        <d v="2019-05-11T00:00:00"/>
        <d v="2019-05-12T00:00:00"/>
        <d v="2019-05-13T00:00:00"/>
        <d v="2019-05-14T00:00:00"/>
        <d v="2019-05-15T00:00:00"/>
        <d v="2019-05-16T00:00:00"/>
        <d v="2019-05-17T00:00:00"/>
        <d v="2019-05-18T00:00:00"/>
        <d v="2019-05-19T00:00:00"/>
        <d v="2019-05-20T00:00:00"/>
        <d v="2019-05-21T00:00:00"/>
        <d v="2019-05-22T00:00:00"/>
        <d v="2019-05-23T00:00:00"/>
        <d v="2019-05-24T00:00:00"/>
        <d v="2019-05-25T00:00:00"/>
        <d v="2019-05-26T00:00:00"/>
        <d v="2019-05-27T00:00:00"/>
        <d v="2019-05-28T00:00:00"/>
        <d v="2019-05-29T00:00:00"/>
        <d v="2019-05-30T00:00:00"/>
        <d v="2019-05-31T00:00:00"/>
        <d v="2019-06-01T00:00:00"/>
        <d v="2019-06-02T00:00:00"/>
        <d v="2019-06-03T00:00:00"/>
        <d v="2019-06-04T00:00:00"/>
        <d v="2019-06-05T00:00:00"/>
        <d v="2019-06-06T00:00:00"/>
        <d v="2019-06-07T00:00:00"/>
        <d v="2019-06-08T00:00:00"/>
        <d v="2019-06-09T00:00:00"/>
        <d v="2019-06-10T00:00:00"/>
        <d v="2019-06-11T00:00:00"/>
        <d v="2019-06-12T00:00:00"/>
        <d v="2019-06-13T00:00:00"/>
        <d v="2019-06-14T00:00:00"/>
        <d v="2019-06-15T00:00:00"/>
        <d v="2019-06-16T00:00:00"/>
        <d v="2019-06-17T00:00:00"/>
        <d v="2019-06-18T00:00:00"/>
        <d v="2019-06-19T00:00:00"/>
        <d v="2019-06-20T00:00:00"/>
        <d v="2019-06-21T00:00:00"/>
        <d v="2019-06-22T00:00:00"/>
        <d v="2019-06-23T00:00:00"/>
        <d v="2019-06-24T00:00:00"/>
        <d v="2019-06-25T00:00:00"/>
        <d v="2019-06-26T00:00:00"/>
        <d v="2019-06-27T00:00:00"/>
        <d v="2019-06-28T00:00:00"/>
        <d v="2019-06-29T00:00:00"/>
        <d v="2019-06-30T00:00:00"/>
        <d v="2019-07-01T00:00:00"/>
        <d v="2019-07-02T00:00:00"/>
        <d v="2019-07-03T00:00:00"/>
        <d v="2019-07-04T00:00:00"/>
        <d v="2019-07-05T00:00:00"/>
        <d v="2019-07-06T00:00:00"/>
        <d v="2019-07-07T00:00:00"/>
        <d v="2019-07-08T00:00:00"/>
        <d v="2019-07-09T00:00:00"/>
        <d v="2019-07-10T00:00:00"/>
        <d v="2019-07-11T00:00:00"/>
        <d v="2019-07-12T00:00:00"/>
        <d v="2019-07-13T00:00:00"/>
        <d v="2019-07-14T00:00:00"/>
        <d v="2019-07-15T00:00:00"/>
        <d v="2019-07-16T00:00:00"/>
        <d v="2019-07-17T00:00:00"/>
        <d v="2019-07-18T00:00:00"/>
        <d v="2019-07-19T00:00:00"/>
        <d v="2019-07-20T00:00:00"/>
        <d v="2019-07-21T00:00:00"/>
        <d v="2019-07-22T00:00:00"/>
        <d v="2019-07-23T00:00:00"/>
        <d v="2019-07-24T00:00:00"/>
        <d v="2019-07-25T00:00:00"/>
        <d v="2019-07-26T00:00:00"/>
        <d v="2019-07-27T00:00:00"/>
        <d v="2019-07-28T00:00:00"/>
        <d v="2019-07-29T00:00:00"/>
        <d v="2019-07-30T00:00:00"/>
        <d v="2019-07-31T00:00:00"/>
        <d v="2019-08-01T00:00:00"/>
        <d v="2019-08-02T00:00:00"/>
        <d v="2019-08-03T00:00:00"/>
        <d v="2019-08-04T00:00:00"/>
        <d v="2019-08-05T00:00:00"/>
        <d v="2019-08-06T00:00:00"/>
        <d v="2019-08-07T00:00:00"/>
        <d v="2019-08-08T00:00:00"/>
        <d v="2019-08-09T00:00:00"/>
        <d v="2019-08-10T00:00:00"/>
        <d v="2019-08-11T00:00:00"/>
        <d v="2019-08-12T00:00:00"/>
        <d v="2019-08-13T00:00:00"/>
        <d v="2019-08-14T00:00:00"/>
        <d v="2019-08-15T00:00:00"/>
        <d v="2019-08-16T00:00:00"/>
        <d v="2019-08-17T00:00:00"/>
        <d v="2019-08-18T00:00:00"/>
        <d v="2019-08-19T00:00:00"/>
        <d v="2019-08-20T00:00:00"/>
        <d v="2019-08-21T00:00:00"/>
        <d v="2019-08-22T00:00:00"/>
        <d v="2019-08-23T00:00:00"/>
        <d v="2019-08-24T00:00:00"/>
        <d v="2019-08-25T00:00:00"/>
        <d v="2019-08-26T00:00:00"/>
        <d v="2019-08-27T00:00:00"/>
        <d v="2019-08-28T00:00:00"/>
        <d v="2019-08-29T00:00:00"/>
        <d v="2019-08-30T00:00:00"/>
        <d v="2019-08-31T00:00:00"/>
        <d v="2019-09-01T00:00:00"/>
        <d v="2019-09-02T00:00:00"/>
        <d v="2019-09-03T00:00:00"/>
        <d v="2019-09-04T00:00:00"/>
        <d v="2019-09-05T00:00:00"/>
        <d v="2019-09-06T00:00:00"/>
        <d v="2019-09-07T00:00:00"/>
        <d v="2019-09-08T00:00:00"/>
        <d v="2019-09-09T00:00:00"/>
        <d v="2019-09-10T00:00:00"/>
        <d v="2019-09-11T00:00:00"/>
        <d v="2019-09-12T00:00:00"/>
        <d v="2019-09-13T00:00:00"/>
        <d v="2019-09-14T00:00:00"/>
        <d v="2019-09-15T00:00:00"/>
        <d v="2019-09-16T00:00:00"/>
        <d v="2019-09-17T00:00:00"/>
        <d v="2019-09-18T00:00:00"/>
        <d v="2019-09-19T00:00:00"/>
        <d v="2019-09-20T00:00:00"/>
        <d v="2019-09-21T00:00:00"/>
        <d v="2019-09-22T00:00:00"/>
        <d v="2019-09-23T00:00:00"/>
        <d v="2019-09-24T00:00:00"/>
        <d v="2019-09-25T00:00:00"/>
        <d v="2019-09-26T00:00:00"/>
        <d v="2019-09-27T00:00:00"/>
        <d v="2019-09-28T00:00:00"/>
        <d v="2019-09-29T00:00:00"/>
        <d v="2019-09-30T00:00:00"/>
        <d v="2019-10-01T00:00:00"/>
        <d v="2019-10-02T00:00:00"/>
        <d v="2019-10-03T00:00:00"/>
        <d v="2019-10-04T00:00:00"/>
        <d v="2019-10-05T00:00:00"/>
        <d v="2019-10-06T00:00:00"/>
        <d v="2019-10-07T00:00:00"/>
        <d v="2019-10-08T00:00:00"/>
        <d v="2019-10-09T00:00:00"/>
        <d v="2019-10-10T00:00:00"/>
        <d v="2019-10-11T00:00:00"/>
        <d v="2019-10-12T00:00:00"/>
        <d v="2019-10-13T00:00:00"/>
        <d v="2019-10-14T00:00:00"/>
        <d v="2019-10-15T00:00:00"/>
        <d v="2019-10-16T00:00:00"/>
        <d v="2019-10-17T00:00:00"/>
        <d v="2019-10-18T00:00:00"/>
        <d v="2019-10-19T00:00:00"/>
        <d v="2019-10-20T00:00:00"/>
        <d v="2019-10-21T00:00:00"/>
        <d v="2019-10-22T00:00:00"/>
        <d v="2019-10-23T00:00:00"/>
        <d v="2019-10-24T00:00:00"/>
        <d v="2019-10-25T00:00:00"/>
        <d v="2019-10-26T00:00:00"/>
        <d v="2019-10-27T00:00:00"/>
        <d v="2019-10-28T00:00:00"/>
        <d v="2019-10-29T00:00:00"/>
        <d v="2019-10-30T00:00:00"/>
        <d v="2019-10-31T00:00:00"/>
        <d v="2019-11-01T00:00:00"/>
        <d v="2019-11-02T00:00:00"/>
        <d v="2019-11-03T00:00:00"/>
        <d v="2019-11-04T00:00:00"/>
        <d v="2019-11-05T00:00:00"/>
        <d v="2019-11-06T00:00:00"/>
        <d v="2019-11-07T00:00:00"/>
        <d v="2019-11-08T00:00:00"/>
        <d v="2019-11-09T00:00:00"/>
        <d v="2019-11-10T00:00:00"/>
        <d v="2019-11-11T00:00:00"/>
        <d v="2019-11-12T00:00:00"/>
        <d v="2019-11-13T00:00:00"/>
        <d v="2019-11-14T00:00:00"/>
        <d v="2019-11-15T00:00:00"/>
        <d v="2019-11-16T00:00:00"/>
        <d v="2019-11-17T00:00:00"/>
        <d v="2019-11-18T00:00:00"/>
        <d v="2019-11-19T00:00:00"/>
        <d v="2019-11-20T00:00:00"/>
        <d v="2019-11-21T00:00:00"/>
        <d v="2019-11-22T00:00:00"/>
        <d v="2019-11-23T00:00:00"/>
        <d v="2019-11-24T00:00:00"/>
        <d v="2019-11-25T00:00:00"/>
        <d v="2019-11-26T00:00:00"/>
        <d v="2019-11-27T00:00:00"/>
        <d v="2019-11-28T00:00:00"/>
        <d v="2019-11-29T00:00:00"/>
        <d v="2019-11-30T00:00:00"/>
        <d v="2019-12-01T00:00:00"/>
        <d v="2019-12-02T00:00:00"/>
        <d v="2019-12-03T00:00:00"/>
        <d v="2019-12-04T00:00:00"/>
        <d v="2019-12-05T00:00:00"/>
        <d v="2019-12-06T00:00:00"/>
        <d v="2019-12-07T00:00:00"/>
        <d v="2019-12-08T00:00:00"/>
        <d v="2019-12-09T00:00:00"/>
        <d v="2019-12-10T00:00:00"/>
        <d v="2019-12-11T00:00:00"/>
        <d v="2019-12-12T00:00:00"/>
        <d v="2019-12-13T00:00:00"/>
        <d v="2019-12-14T00:00:00"/>
        <d v="2019-12-15T00:00:00"/>
        <d v="2019-12-16T00:00:00"/>
        <d v="2019-12-17T00:00:00"/>
        <d v="2019-12-18T00:00:00"/>
        <d v="2019-12-19T00:00:00"/>
        <d v="2019-12-20T00:00:00"/>
        <d v="2019-12-21T00:00:00"/>
        <d v="2019-12-22T00:00:00"/>
        <d v="2019-12-23T00:00:00"/>
        <d v="2019-12-24T00:00:00"/>
        <d v="2019-12-25T00:00:00"/>
        <d v="2019-12-26T00:00:00"/>
        <d v="2019-12-27T00:00:00"/>
        <d v="2019-12-28T00:00:00"/>
        <d v="2019-12-29T00:00:00"/>
        <d v="2019-12-30T00:00:00"/>
        <d v="2019-12-31T00:00:00"/>
        <d v="2020-01-01T00:00:00"/>
        <d v="2020-01-02T00:00:00"/>
        <d v="2020-01-03T00:00:00"/>
        <d v="2020-01-04T00:00:00"/>
        <d v="2020-01-05T00:00:00"/>
        <d v="2020-01-06T00:00:00"/>
        <d v="2020-01-07T00:00:00"/>
        <d v="2020-01-08T00:00:00"/>
        <d v="2020-01-09T00:00:00"/>
        <d v="2020-01-10T00:00:00"/>
        <d v="2020-01-11T00:00:00"/>
        <d v="2020-01-12T00:00:00"/>
        <d v="2020-01-13T00:00:00"/>
        <d v="2020-01-14T00:00:00"/>
        <d v="2020-01-15T00:00:00"/>
        <d v="2020-01-16T00:00:00"/>
        <d v="2020-01-17T00:00:00"/>
        <d v="2020-01-18T00:00:00"/>
        <d v="2020-01-19T00:00:00"/>
        <d v="2020-01-20T00:00:00"/>
        <d v="2020-01-21T00:00:00"/>
        <d v="2020-01-22T00:00:00"/>
        <d v="2020-01-23T00:00:00"/>
        <d v="2020-01-24T00:00:00"/>
        <d v="2020-01-25T00:00:00"/>
        <d v="2020-01-26T00:00:00"/>
        <d v="2020-01-27T00:00:00"/>
        <d v="2020-01-28T00:00:00"/>
        <d v="2020-01-29T00:00:00"/>
        <d v="2020-01-30T00:00:00"/>
        <d v="2020-01-31T00:00:00"/>
        <d v="2020-02-01T00:00:00"/>
        <d v="2020-02-02T00:00:00"/>
        <d v="2020-02-03T00:00:00"/>
        <d v="2020-02-04T00:00:00"/>
        <d v="2020-02-05T00:00:00"/>
        <d v="2020-02-06T00:00:00"/>
        <d v="2020-02-07T00:00:00"/>
        <d v="2020-02-08T00:00:00"/>
        <d v="2020-02-09T00:00:00"/>
        <d v="2020-02-10T00:00:00"/>
        <d v="2020-02-11T00:00:00"/>
        <d v="2020-02-12T00:00:00"/>
        <d v="2020-02-13T00:00:00"/>
        <d v="2020-02-14T00:00:00"/>
        <d v="2020-02-15T00:00:00"/>
        <d v="2020-02-16T00:00:00"/>
        <d v="2020-02-17T00:00:00"/>
        <d v="2020-02-18T00:00:00"/>
        <d v="2020-02-19T00:00:00"/>
        <d v="2020-02-20T00:00:00"/>
        <d v="2020-02-21T00:00:00"/>
        <d v="2020-02-22T00:00:00"/>
        <d v="2020-02-23T00:00:00"/>
        <d v="2020-02-24T00:00:00"/>
        <d v="2020-02-25T00:00:00"/>
        <d v="2020-02-26T00:00:00"/>
        <d v="2020-02-27T00:00:00"/>
        <d v="2020-02-28T00:00:00"/>
        <d v="2020-02-29T00:00:00"/>
        <d v="2020-03-01T00:00:00"/>
        <d v="2020-03-02T00:00:00"/>
        <d v="2020-03-03T00:00:00"/>
        <d v="2020-03-04T00:00:00"/>
        <d v="2020-03-05T00:00:00"/>
        <d v="2020-03-06T00:00:00"/>
        <d v="2020-03-07T00:00:00"/>
        <d v="2020-03-08T00:00:00"/>
        <d v="2020-03-09T00:00:00"/>
        <d v="2020-03-10T00:00:00"/>
        <d v="2020-03-11T00:00:00"/>
        <d v="2020-03-12T00:00:00"/>
        <d v="2020-03-13T00:00:00"/>
        <d v="2020-03-14T00:00:00"/>
        <d v="2020-03-15T00:00:00"/>
        <d v="2020-03-16T00:00:00"/>
        <d v="2020-03-17T00:00:00"/>
        <d v="2020-03-18T00:00:00"/>
        <d v="2020-03-19T00:00:00"/>
        <d v="2020-03-20T00:00:00"/>
        <d v="2020-03-21T00:00:00"/>
        <d v="2020-03-22T00:00:00"/>
        <d v="2020-03-23T00:00:00"/>
        <d v="2020-03-24T00:00:00"/>
        <d v="2020-03-25T00:00:00"/>
        <d v="2020-03-26T00:00:00"/>
        <d v="2020-03-27T00:00:00"/>
        <d v="2020-03-28T00:00:00"/>
        <d v="2020-03-29T00:00:00"/>
        <d v="2020-03-30T00:00:00"/>
        <d v="2020-03-31T00:00:00"/>
        <d v="2020-04-01T00:00:00"/>
        <d v="2020-04-02T00:00:00"/>
        <d v="2020-04-03T00:00:00"/>
        <d v="2020-04-04T00:00:00"/>
        <d v="2020-04-05T00:00:00"/>
        <d v="2020-04-06T00:00:00"/>
        <d v="2020-04-07T00:00:00"/>
        <d v="2020-04-08T00:00:00"/>
        <d v="2020-04-09T00:00:00"/>
        <d v="2020-04-10T00:00:00"/>
        <d v="2020-04-11T00:00:00"/>
        <d v="2020-04-12T00:00:00"/>
        <d v="2020-04-13T00:00:00"/>
        <d v="2020-04-14T00:00:00"/>
        <d v="2020-04-15T00:00:00"/>
        <d v="2020-04-16T00:00:00"/>
        <d v="2020-04-17T00:00:00"/>
        <d v="2020-04-18T00:00:00"/>
        <d v="2020-04-19T00:00:00"/>
        <d v="2020-04-20T00:00:00"/>
        <d v="2020-04-21T00:00:00"/>
        <d v="2020-04-22T00:00:00"/>
        <d v="2020-04-23T00:00:00"/>
        <d v="2020-04-24T00:00:00"/>
        <d v="2020-04-25T00:00:00"/>
        <d v="2020-04-26T00:00:00"/>
        <d v="2020-04-27T00:00:00"/>
        <d v="2020-04-28T00:00:00"/>
        <d v="2020-04-29T00:00:00"/>
        <d v="2020-04-30T00:00:00"/>
        <d v="2020-05-01T00:00:00"/>
        <d v="2020-05-02T00:00:00"/>
        <d v="2020-05-03T00:00:00"/>
        <d v="2020-05-04T00:00:00"/>
        <d v="2020-05-05T00:00:00"/>
        <d v="2020-05-06T00:00:00"/>
        <d v="2020-05-07T00:00:00"/>
        <d v="2020-05-08T00:00:00"/>
        <d v="2020-05-09T00:00:00"/>
        <d v="2020-05-10T00:00:00"/>
        <d v="2020-05-11T00:00:00"/>
        <d v="2020-05-12T00:00:00"/>
        <d v="2020-05-13T00:00:00"/>
        <d v="2020-05-14T00:00:00"/>
        <d v="2020-05-15T00:00:00"/>
        <d v="2020-05-16T00:00:00"/>
        <d v="2020-05-17T00:00:00"/>
        <d v="2020-05-18T00:00:00"/>
        <d v="2020-05-19T00:00:00"/>
        <d v="2020-05-20T00:00:00"/>
        <d v="2020-05-21T00:00:00"/>
        <d v="2020-05-22T00:00:00"/>
        <d v="2020-05-23T00:00:00"/>
        <d v="2020-05-24T00:00:00"/>
        <d v="2020-05-25T00:00:00"/>
        <d v="2020-05-26T00:00:00"/>
        <d v="2020-05-27T00:00:00"/>
        <d v="2020-05-28T00:00:00"/>
        <d v="2020-05-29T00:00:00"/>
        <d v="2020-05-30T00:00:00"/>
        <d v="2020-05-31T00:00:00"/>
        <d v="2020-06-01T00:00:00"/>
        <d v="2020-06-02T00:00:00"/>
        <d v="2020-06-03T00:00:00"/>
        <d v="2020-06-04T00:00:00"/>
        <d v="2020-06-05T00:00:00"/>
        <d v="2020-06-06T00:00:00"/>
        <d v="2020-06-07T00:00:00"/>
        <d v="2020-06-08T00:00:00"/>
        <d v="2020-06-09T00:00:00"/>
        <d v="2020-06-10T00:00:00"/>
        <d v="2020-06-11T00:00:00"/>
        <d v="2020-06-12T00:00:00"/>
        <d v="2020-06-13T00:00:00"/>
        <d v="2020-06-14T00:00:00"/>
        <d v="2020-06-15T00:00:00"/>
        <d v="2020-06-16T00:00:00"/>
        <d v="2020-06-17T00:00:00"/>
        <d v="2020-06-18T00:00:00"/>
        <d v="2020-06-19T00:00:00"/>
        <d v="2020-06-20T00:00:00"/>
        <d v="2020-06-21T00:00:00"/>
        <d v="2020-06-22T00:00:00"/>
        <d v="2020-06-23T00:00:00"/>
        <d v="2020-06-24T00:00:00"/>
        <d v="2020-06-25T00:00:00"/>
        <d v="2020-06-26T00:00:00"/>
        <d v="2020-06-27T00:00:00"/>
        <d v="2020-06-28T00:00:00"/>
        <d v="2020-06-29T00:00:00"/>
        <d v="2020-06-30T00:00:00"/>
        <d v="2020-07-01T00:00:00"/>
        <d v="2020-07-02T00:00:00"/>
        <d v="2020-07-03T00:00:00"/>
        <d v="2020-07-04T00:00:00"/>
        <d v="2020-07-05T00:00:00"/>
        <d v="2020-07-06T00:00:00"/>
        <d v="2020-07-07T00:00:00"/>
        <d v="2020-07-08T00:00:00"/>
        <d v="2020-07-09T00:00:00"/>
        <d v="2020-07-10T00:00:00"/>
        <d v="2020-07-11T00:00:00"/>
        <d v="2020-07-12T00:00:00"/>
        <d v="2020-07-13T00:00:00"/>
        <d v="2020-07-14T00:00:00"/>
        <d v="2020-07-15T00:00:00"/>
        <d v="2020-07-16T00:00:00"/>
        <d v="2020-07-17T00:00:00"/>
        <d v="2020-07-18T00:00:00"/>
        <d v="2020-07-19T00:00:00"/>
        <d v="2020-07-20T00:00:00"/>
        <d v="2020-07-21T00:00:00"/>
        <d v="2020-07-22T00:00:00"/>
        <d v="2020-07-23T00:00:00"/>
        <d v="2020-07-24T00:00:00"/>
        <d v="2020-07-25T00:00:00"/>
        <d v="2020-07-26T00:00:00"/>
        <d v="2020-07-27T00:00:00"/>
        <d v="2020-07-28T00:00:00"/>
        <d v="2020-07-29T00:00:00"/>
        <d v="2020-07-30T00:00:00"/>
        <d v="2020-07-31T00:00:00"/>
        <d v="2020-08-01T00:00:00"/>
        <d v="2020-08-02T00:00:00"/>
        <d v="2020-08-03T00:00:00"/>
        <d v="2020-08-04T00:00:00"/>
        <d v="2020-08-05T00:00:00"/>
        <d v="2020-08-06T00:00:00"/>
        <d v="2020-08-07T00:00:00"/>
        <d v="2020-08-08T00:00:00"/>
        <d v="2020-08-09T00:00:00"/>
        <d v="2020-08-10T00:00:00"/>
        <d v="2020-08-11T00:00:00"/>
        <d v="2020-08-12T00:00:00"/>
        <d v="2020-08-13T00:00:00"/>
        <d v="2020-08-14T00:00:00"/>
        <d v="2020-08-15T00:00:00"/>
        <d v="2020-08-16T00:00:00"/>
        <d v="2020-08-17T00:00:00"/>
        <d v="2020-08-18T00:00:00"/>
        <d v="2020-08-19T00:00:00"/>
        <d v="2020-08-20T00:00:00"/>
        <d v="2020-08-21T00:00:00"/>
        <d v="2020-08-22T00:00:00"/>
        <d v="2020-08-23T00:00:00"/>
        <d v="2020-08-24T00:00:00"/>
        <d v="2020-08-25T00:00:00"/>
        <d v="2020-08-26T00:00:00"/>
        <d v="2020-08-27T00:00:00"/>
        <d v="2020-08-28T00:00:00"/>
        <d v="2020-08-29T00:00:00"/>
        <d v="2020-08-30T00:00:00"/>
        <d v="2020-08-31T00:00:00"/>
        <d v="2020-09-01T00:00:00"/>
        <d v="2020-09-02T00:00:00"/>
        <d v="2020-09-03T00:00:00"/>
        <d v="2020-09-04T00:00:00"/>
        <d v="2020-09-05T00:00:00"/>
        <d v="2020-09-06T00:00:00"/>
        <d v="2020-09-07T00:00:00"/>
        <d v="2020-09-08T00:00:00"/>
        <d v="2020-09-09T00:00:00"/>
        <d v="2020-09-10T00:00:00"/>
        <d v="2020-09-11T00:00:00"/>
        <d v="2020-09-12T00:00:00"/>
        <d v="2020-09-13T00:00:00"/>
        <d v="2020-09-14T00:00:00"/>
        <d v="2020-09-15T00:00:00"/>
        <d v="2020-09-16T00:00:00"/>
        <d v="2020-09-17T00:00:00"/>
        <d v="2020-09-18T00:00:00"/>
        <d v="2020-09-19T00:00:00"/>
        <d v="2020-09-20T00:00:00"/>
        <d v="2020-09-21T00:00:00"/>
        <d v="2020-09-22T00:00:00"/>
        <d v="2020-09-23T00:00:00"/>
        <d v="2020-09-24T00:00:00"/>
        <d v="2020-09-25T00:00:00"/>
        <d v="2020-09-26T00:00:00"/>
        <d v="2020-09-27T00:00:00"/>
        <d v="2020-09-28T00:00:00"/>
        <d v="2020-09-29T00:00:00"/>
        <d v="2020-09-30T00:00:00"/>
        <d v="2020-10-01T00:00:00"/>
        <d v="2020-10-02T00:00:00"/>
        <d v="2020-10-03T00:00:00"/>
        <d v="2020-10-04T00:00:00"/>
        <d v="2020-10-05T00:00:00"/>
        <d v="2020-10-06T00:00:00"/>
        <d v="2020-10-07T00:00:00"/>
        <d v="2020-10-08T00:00:00"/>
        <d v="2020-10-09T00:00:00"/>
        <d v="2020-10-10T00:00:00"/>
        <d v="2020-10-11T00:00:00"/>
        <d v="2020-10-12T00:00:00"/>
        <d v="2020-10-13T00:00:00"/>
        <d v="2020-10-14T00:00:00"/>
        <d v="2020-10-15T00:00:00"/>
        <d v="2020-10-16T00:00:00"/>
        <d v="2020-10-17T00:00:00"/>
        <d v="2020-10-18T00:00:00"/>
        <d v="2020-10-19T00:00:00"/>
        <d v="2020-10-20T00:00:00"/>
        <d v="2020-10-21T00:00:00"/>
        <d v="2020-10-22T00:00:00"/>
        <d v="2020-10-23T00:00:00"/>
        <d v="2020-10-24T00:00:00"/>
        <d v="2020-10-25T00:00:00"/>
        <d v="2020-10-26T00:00:00"/>
        <d v="2020-10-27T00:00:00"/>
        <d v="2020-10-28T00:00:00"/>
        <d v="2020-10-29T00:00:00"/>
        <d v="2020-10-30T00:00:00"/>
        <d v="2020-10-31T00:00:00"/>
        <d v="2020-11-01T00:00:00"/>
        <d v="2020-11-02T00:00:00"/>
        <d v="2020-11-03T00:00:00"/>
        <d v="2020-11-04T00:00:00"/>
        <d v="2020-11-05T00:00:00"/>
        <d v="2020-11-06T00:00:00"/>
        <d v="2020-11-07T00:00:00"/>
        <d v="2020-11-08T00:00:00"/>
        <d v="2020-11-09T00:00:00"/>
        <d v="2020-11-10T00:00:00"/>
        <d v="2020-11-11T00:00:00"/>
        <d v="2020-11-12T00:00:00"/>
        <d v="2020-11-13T00:00:00"/>
        <d v="2020-11-14T00:00:00"/>
        <d v="2020-11-15T00:00:00"/>
        <d v="2020-11-16T00:00:00"/>
        <d v="2020-11-17T00:00:00"/>
        <d v="2020-11-18T00:00:00"/>
        <d v="2020-11-19T00:00:00"/>
        <d v="2020-11-20T00:00:00"/>
        <d v="2020-11-21T00:00:00"/>
        <d v="2020-11-22T00:00:00"/>
        <d v="2020-11-23T00:00:00"/>
        <d v="2020-11-24T00:00:00"/>
        <d v="2020-11-25T00:00:00"/>
        <d v="2020-11-26T00:00:00"/>
        <d v="2020-11-27T00:00:00"/>
        <d v="2020-11-28T00:00:00"/>
        <d v="2020-11-29T00:00:00"/>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d v="2021-03-01T00:00:00"/>
        <d v="2021-03-02T00:00:00"/>
        <d v="2021-03-03T00:00:00"/>
        <d v="2021-03-04T00:00:00"/>
        <d v="2021-03-05T00:00:00"/>
        <d v="2021-03-06T00:00:00"/>
        <d v="2021-03-07T00:00:00"/>
        <d v="2021-03-08T00:00:00"/>
        <d v="2021-03-09T00:00:00"/>
        <d v="2021-03-10T00:00:00"/>
        <d v="2021-03-11T00:00:00"/>
        <d v="2021-03-12T00:00:00"/>
        <d v="2021-03-13T00:00:00"/>
        <d v="2021-03-14T00:00:00"/>
        <d v="2021-03-15T00:00:00"/>
        <d v="2021-03-16T00:00:00"/>
        <d v="2021-03-17T00:00:00"/>
        <d v="2021-03-18T00:00:00"/>
        <d v="2021-03-19T00:00:00"/>
        <d v="2021-03-20T00:00:00"/>
        <d v="2021-03-21T00:00:00"/>
        <d v="2021-03-22T00:00:00"/>
        <d v="2021-03-23T00:00:00"/>
        <d v="2021-03-24T00:00:00"/>
        <d v="2021-03-25T00:00:00"/>
        <d v="2021-03-26T00:00:00"/>
        <d v="2021-03-27T00:00:00"/>
        <d v="2021-03-28T00:00:00"/>
        <d v="2021-03-29T00:00:00"/>
        <d v="2021-03-30T00:00:00"/>
        <d v="2021-03-31T00:00:00"/>
        <d v="2021-04-01T00:00:00"/>
        <d v="2021-04-02T00:00:00"/>
        <d v="2021-04-03T00:00:00"/>
        <d v="2021-04-04T00:00:00"/>
        <d v="2021-04-05T00:00:00"/>
        <d v="2021-04-06T00:00:00"/>
        <d v="2021-04-07T00:00:00"/>
        <d v="2021-04-08T00:00:00"/>
        <d v="2021-04-09T00:00:00"/>
        <d v="2021-04-10T00:00:00"/>
        <d v="2021-04-11T00:00:00"/>
        <d v="2021-04-12T00:00:00"/>
        <d v="2021-04-13T00:00:00"/>
        <d v="2021-04-14T00:00:00"/>
        <d v="2021-04-15T00:00:00"/>
        <d v="2021-04-16T00:00:00"/>
        <d v="2021-04-17T00:00:00"/>
        <d v="2021-04-18T00:00:00"/>
        <d v="2021-04-19T00:00:00"/>
        <d v="2021-04-20T00:00:00"/>
        <d v="2021-04-21T00:00:00"/>
        <d v="2021-04-22T00:00:00"/>
        <d v="2021-04-23T00:00:00"/>
        <d v="2021-04-24T00:00:00"/>
        <d v="2021-04-25T00:00:00"/>
        <d v="2021-04-26T00:00:00"/>
        <d v="2021-04-27T00:00:00"/>
        <d v="2021-04-28T00:00:00"/>
        <d v="2021-04-29T00:00:00"/>
        <d v="2021-04-30T00:00:00"/>
        <d v="2021-05-01T00:00:00"/>
        <d v="2021-05-02T00:00:00"/>
        <d v="2021-05-03T00:00:00"/>
        <d v="2021-05-04T00:00:00"/>
        <d v="2021-05-05T00:00:00"/>
        <d v="2021-05-06T00:00:00"/>
        <d v="2021-05-07T00:00:00"/>
        <d v="2021-05-08T00:00:00"/>
        <d v="2021-05-09T00:00:00"/>
        <d v="2021-05-10T00:00:00"/>
        <d v="2021-05-11T00:00:00"/>
        <d v="2021-05-12T00:00:00"/>
        <d v="2021-05-13T00:00:00"/>
        <d v="2021-05-14T00:00:00"/>
        <d v="2021-05-15T00:00:00"/>
        <d v="2021-05-16T00:00:00"/>
        <d v="2021-05-17T00:00:00"/>
        <d v="2021-05-18T00:00:00"/>
        <d v="2021-05-19T00:00:00"/>
        <d v="2021-05-20T00:00:00"/>
        <d v="2021-05-21T00:00:00"/>
        <d v="2021-05-22T00:00:00"/>
        <d v="2021-05-23T00:00:00"/>
        <d v="2021-05-24T00:00:00"/>
        <d v="2021-05-25T00:00:00"/>
        <d v="2021-05-26T00:00:00"/>
        <d v="2021-05-27T00:00:00"/>
        <d v="2021-05-28T00:00:00"/>
        <d v="2021-05-29T00:00:00"/>
        <d v="2021-05-30T00:00:00"/>
        <d v="2021-05-31T00:00:00"/>
        <d v="2021-06-01T00:00:00"/>
        <d v="2021-06-02T00:00:00"/>
        <d v="2021-06-03T00:00:00"/>
        <d v="2021-06-04T00:00:00"/>
        <d v="2021-06-05T00:00:00"/>
        <d v="2021-06-06T00:00:00"/>
        <d v="2021-06-07T00:00:00"/>
        <d v="2021-06-08T00:00:00"/>
        <d v="2021-06-09T00:00:00"/>
        <d v="2021-06-10T00:00:00"/>
        <d v="2021-06-11T00:00:00"/>
        <d v="2021-06-12T00:00:00"/>
        <d v="2021-06-13T00:00:00"/>
        <d v="2021-06-14T00:00:00"/>
        <d v="2021-06-15T00:00:00"/>
        <d v="2021-06-16T00:00:00"/>
        <d v="2021-06-17T00:00:00"/>
        <d v="2021-06-18T00:00:00"/>
        <d v="2021-06-19T00:00:00"/>
        <d v="2021-06-20T00:00:00"/>
        <d v="2021-06-21T00:00:00"/>
        <d v="2021-06-22T00:00:00"/>
        <d v="2021-06-23T00:00:00"/>
        <d v="2021-06-24T00:00:00"/>
        <d v="2021-06-25T00:00:00"/>
        <d v="2021-06-26T00:00:00"/>
        <d v="2021-06-27T00:00:00"/>
        <d v="2021-06-28T00:00:00"/>
        <d v="2021-06-29T00:00:00"/>
        <d v="2021-06-30T00:00:00"/>
        <d v="2021-07-01T00:00:00"/>
        <d v="2021-07-02T00:00:00"/>
        <d v="2021-07-03T00:00:00"/>
        <d v="2021-07-04T00:00:00"/>
        <d v="2021-07-05T00:00:00"/>
        <d v="2021-07-06T00:00:00"/>
        <d v="2021-07-07T00:00:00"/>
        <d v="2021-07-08T00:00:00"/>
        <d v="2021-07-09T00:00:00"/>
        <d v="2021-07-10T00:00:00"/>
        <d v="2021-07-11T00:00:00"/>
        <d v="2021-07-12T00:00:00"/>
        <d v="2021-07-13T00:00:00"/>
        <d v="2021-07-14T00:00:00"/>
        <d v="2021-07-15T00:00:00"/>
        <d v="2021-07-16T00:00:00"/>
        <d v="2021-07-17T00:00:00"/>
        <d v="2021-07-18T00:00:00"/>
        <d v="2021-07-19T00:00:00"/>
        <d v="2021-07-20T00:00:00"/>
        <d v="2021-07-21T00:00:00"/>
        <d v="2021-07-22T00:00:00"/>
        <d v="2021-07-23T00:00:00"/>
        <d v="2021-07-24T00:00:00"/>
        <d v="2021-07-25T00:00:00"/>
        <d v="2021-07-26T00:00:00"/>
        <d v="2021-07-27T00:00:00"/>
        <d v="2021-07-28T00:00:00"/>
        <d v="2021-07-29T00:00:00"/>
        <d v="2021-07-30T00:00:00"/>
        <d v="2021-07-31T00:00:00"/>
        <d v="2021-08-01T00:00:00"/>
        <d v="2021-08-02T00:00:00"/>
        <d v="2021-08-03T00:00:00"/>
        <d v="2021-08-04T00:00:00"/>
        <d v="2021-08-05T00:00:00"/>
        <d v="2021-08-06T00:00:00"/>
        <d v="2021-08-07T00:00:00"/>
        <d v="2021-08-08T00:00:00"/>
        <d v="2021-08-09T00:00:00"/>
        <d v="2021-08-10T00:00:00"/>
        <d v="2021-08-11T00:00:00"/>
        <d v="2021-08-12T00:00:00"/>
        <d v="2021-08-13T00:00:00"/>
        <d v="2021-08-14T00:00:00"/>
        <d v="2021-08-15T00:00:00"/>
        <d v="2021-08-16T00:00:00"/>
        <d v="2021-08-17T00:00:00"/>
        <d v="2021-08-18T00:00:00"/>
        <d v="2021-08-19T00:00:00"/>
        <d v="2021-08-20T00:00:00"/>
        <d v="2021-08-21T00:00:00"/>
        <d v="2021-08-22T00:00:00"/>
        <d v="2021-08-23T00:00:00"/>
        <d v="2021-08-24T00:00:00"/>
        <d v="2021-08-25T00:00:00"/>
        <d v="2021-08-26T00:00:00"/>
        <d v="2021-08-27T00:00:00"/>
        <d v="2021-08-28T00:00:00"/>
        <d v="2021-08-29T00:00:00"/>
        <d v="2021-08-30T00:00:00"/>
        <d v="2021-08-31T00:00:00"/>
        <d v="2021-09-01T00:00:00"/>
        <d v="2021-09-02T00:00:00"/>
        <d v="2021-09-03T00:00:00"/>
        <d v="2021-09-04T00:00:00"/>
        <d v="2021-09-05T00:00:00"/>
        <d v="2021-09-06T00:00:00"/>
        <d v="2021-09-07T00:00:00"/>
        <d v="2021-09-08T00:00:00"/>
        <d v="2021-09-09T00:00:00"/>
        <d v="2021-09-10T00:00:00"/>
        <d v="2021-09-11T00:00:00"/>
        <d v="2021-09-12T00:00:00"/>
        <d v="2021-09-13T00:00:00"/>
        <d v="2021-09-14T00:00:00"/>
        <d v="2021-09-15T00:00:00"/>
        <d v="2021-09-16T00:00:00"/>
        <d v="2021-09-17T00:00:00"/>
        <d v="2021-09-18T00:00:00"/>
        <d v="2021-09-19T00:00:00"/>
        <d v="2021-09-20T00:00:00"/>
        <d v="2021-09-21T00:00:00"/>
        <d v="2021-09-22T00:00:00"/>
        <d v="2021-09-23T00:00:00"/>
        <d v="2021-09-24T00:00:00"/>
        <d v="2021-09-25T00:00:00"/>
        <d v="2021-09-26T00:00:00"/>
        <d v="2021-09-27T00:00:00"/>
        <d v="2021-09-28T00:00:00"/>
        <d v="2021-09-29T00:00:00"/>
        <d v="2021-09-30T00:00:00"/>
        <d v="2021-10-01T00:00:00"/>
        <d v="2021-10-02T00:00:00"/>
        <d v="2021-10-03T00:00:00"/>
        <d v="2021-10-04T00:00:00"/>
        <d v="2021-10-05T00:00:00"/>
        <d v="2021-10-06T00:00:00"/>
        <d v="2021-10-07T00:00:00"/>
        <d v="2021-10-08T00:00:00"/>
        <d v="2021-10-09T00:00:00"/>
        <d v="2021-10-10T00:00:00"/>
        <d v="2021-10-11T00:00:00"/>
        <d v="2021-10-12T00:00:00"/>
        <d v="2021-10-13T00:00:00"/>
        <d v="2021-10-14T00:00:00"/>
        <d v="2021-10-15T00:00:00"/>
        <d v="2021-10-16T00:00:00"/>
        <d v="2021-10-17T00:00:00"/>
        <d v="2021-10-18T00:00:00"/>
        <d v="2021-10-19T00:00:00"/>
        <d v="2021-10-20T00:00:00"/>
        <d v="2021-10-21T00:00:00"/>
        <d v="2021-10-22T00:00:00"/>
        <d v="2021-10-23T00:00:00"/>
        <d v="2021-10-24T00:00:00"/>
        <d v="2021-10-25T00:00:00"/>
        <d v="2021-10-26T00:00:00"/>
        <d v="2021-10-27T00:00:00"/>
        <d v="2021-10-28T00:00:00"/>
        <d v="2021-10-29T00:00:00"/>
        <d v="2021-10-30T00:00:00"/>
        <d v="2021-10-31T00:00:00"/>
        <d v="2021-11-01T00:00:00"/>
        <d v="2021-11-02T00:00:00"/>
        <d v="2021-11-03T00:00:00"/>
        <d v="2021-11-04T00:00:00"/>
        <d v="2021-11-05T00:00:00"/>
        <d v="2021-11-06T00:00:00"/>
        <d v="2021-11-07T00:00:00"/>
        <d v="2021-11-08T00:00:00"/>
        <d v="2021-11-09T00:00:00"/>
        <d v="2021-11-10T00:00:00"/>
        <d v="2021-11-11T00:00:00"/>
        <d v="2021-11-12T00:00:00"/>
        <d v="2021-11-13T00:00:00"/>
        <d v="2021-11-14T00:00:00"/>
        <d v="2021-11-15T00:00:00"/>
        <d v="2021-11-16T00:00:00"/>
        <d v="2021-11-17T00:00:00"/>
        <d v="2021-11-18T00:00:00"/>
        <d v="2021-11-19T00:00:00"/>
        <d v="2021-11-20T00:00:00"/>
        <d v="2021-11-21T00:00:00"/>
        <d v="2021-11-22T00:00:00"/>
        <d v="2021-11-23T00:00:00"/>
        <d v="2021-11-24T00:00:00"/>
        <d v="2021-11-25T00:00:00"/>
        <d v="2021-11-26T00:00:00"/>
        <d v="2021-11-27T00:00:00"/>
        <d v="2021-11-28T00:00:00"/>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d v="2022-02-28T00:00:00"/>
        <d v="2022-03-01T00:00:00"/>
        <d v="2022-03-02T00:00:00"/>
        <d v="2022-03-03T00:00:00"/>
        <d v="2022-03-04T00:00:00"/>
        <d v="2022-03-05T00:00:00"/>
        <d v="2022-03-06T00:00:00"/>
        <d v="2022-03-07T00:00:00"/>
        <d v="2022-03-08T00:00:00"/>
        <d v="2022-03-09T00:00:00"/>
        <d v="2022-03-10T00:00:00"/>
        <d v="2022-03-11T00:00:00"/>
        <d v="2022-03-12T00:00:00"/>
        <d v="2022-03-13T00:00:00"/>
        <d v="2022-03-14T00:00:00"/>
        <d v="2022-03-15T00:00:00"/>
        <d v="2022-03-16T00:00:00"/>
        <d v="2022-03-17T00:00:00"/>
        <d v="2022-03-18T00:00:00"/>
        <d v="2022-03-19T00:00:00"/>
        <d v="2022-03-20T00:00:00"/>
        <d v="2022-03-21T00:00:00"/>
        <d v="2022-03-22T00:00:00"/>
        <d v="2022-03-23T00:00:00"/>
        <d v="2022-03-24T00:00:00"/>
        <d v="2022-03-25T00:00:00"/>
        <d v="2022-03-26T00:00:00"/>
        <d v="2022-03-27T00:00:00"/>
        <d v="2022-03-28T00:00:00"/>
        <d v="2022-03-29T00:00:00"/>
        <d v="2022-03-30T00:00:00"/>
        <d v="2022-03-31T00:00:00"/>
        <d v="2022-04-01T00:00:00"/>
        <d v="2022-04-02T00:00:00"/>
        <d v="2022-04-03T00:00:00"/>
        <d v="2022-04-04T00:00:00"/>
        <d v="2022-04-05T00:00:00"/>
        <d v="2022-04-06T00:00:00"/>
        <d v="2022-04-07T00:00:00"/>
        <d v="2022-04-08T00:00:00"/>
        <d v="2022-04-09T00:00:00"/>
        <d v="2022-04-10T00:00:00"/>
        <d v="2022-04-11T00:00:00"/>
        <d v="2022-04-12T00:00:00"/>
        <d v="2022-04-13T00:00:00"/>
        <d v="2022-04-14T00:00:00"/>
        <d v="2022-04-15T00:00:00"/>
        <d v="2022-04-16T00:00:00"/>
        <d v="2022-04-17T00:00:00"/>
        <d v="2022-04-18T00:00:00"/>
        <d v="2022-04-19T00:00:00"/>
        <d v="2022-04-20T00:00:00"/>
        <d v="2022-04-21T00:00:00"/>
        <d v="2022-04-22T00:00:00"/>
        <d v="2022-04-23T00:00:00"/>
        <d v="2022-04-24T00:00:00"/>
        <d v="2022-04-25T00:00:00"/>
        <d v="2022-04-26T00:00:00"/>
        <d v="2022-04-27T00:00:00"/>
        <d v="2022-04-28T00:00:00"/>
        <d v="2022-04-29T00:00:00"/>
        <d v="2022-04-30T00:00:00"/>
        <d v="2022-05-01T00:00:00"/>
        <d v="2022-05-02T00:00:00"/>
        <d v="2022-05-03T00:00:00"/>
        <d v="2022-05-04T00:00:00"/>
        <d v="2022-05-05T00:00:00"/>
        <d v="2022-05-06T00:00:00"/>
        <d v="2022-05-07T00:00:00"/>
        <d v="2022-05-08T00:00:00"/>
        <d v="2022-05-09T00:00:00"/>
        <d v="2022-05-10T00:00:00"/>
        <d v="2022-05-11T00:00:00"/>
        <d v="2022-05-12T00:00:00"/>
        <d v="2022-05-13T00:00:00"/>
        <d v="2022-05-14T00:00:00"/>
        <d v="2022-05-15T00:00:00"/>
        <d v="2022-05-16T00:00:00"/>
        <d v="2022-05-17T00:00:00"/>
        <d v="2022-05-18T00:00:00"/>
        <d v="2022-05-19T00:00:00"/>
        <d v="2022-05-20T00:00:00"/>
        <d v="2022-05-21T00:00:00"/>
        <d v="2022-05-22T00:00:00"/>
        <d v="2022-05-23T00:00:00"/>
        <d v="2022-05-24T00:00:00"/>
        <d v="2022-05-25T00:00:00"/>
        <d v="2022-05-26T00:00:00"/>
        <d v="2022-05-27T00:00:00"/>
        <d v="2022-05-28T00:00:00"/>
        <d v="2022-05-29T00:00:00"/>
        <d v="2022-05-30T00:00:00"/>
        <d v="2022-05-31T00:00:00"/>
        <d v="2022-06-01T00:00:00"/>
        <d v="2022-06-02T00:00:00"/>
        <d v="2022-06-03T00:00:00"/>
        <d v="2022-06-04T00:00:00"/>
        <d v="2022-06-05T00:00:00"/>
        <d v="2022-06-06T00:00:00"/>
        <d v="2022-06-07T00:00:00"/>
        <d v="2022-06-08T00:00:00"/>
        <d v="2022-06-09T00:00:00"/>
        <d v="2022-06-10T00:00:00"/>
        <d v="2022-06-11T00:00:00"/>
        <d v="2022-06-12T00:00:00"/>
        <d v="2022-06-13T00:00:00"/>
        <d v="2022-06-14T00:00:00"/>
        <d v="2022-06-15T00:00:00"/>
        <d v="2022-06-16T00:00:00"/>
        <d v="2022-06-17T00:00:00"/>
        <d v="2022-06-18T00:00:00"/>
        <d v="2022-06-19T00:00:00"/>
        <d v="2022-06-20T00:00:00"/>
        <d v="2022-06-21T00:00:00"/>
        <d v="2022-06-22T00:00:00"/>
        <d v="2022-06-23T00:00:00"/>
        <d v="2022-06-24T00:00:00"/>
        <d v="2022-06-25T00:00:00"/>
        <d v="2022-06-26T00:00:00"/>
        <d v="2022-06-27T00:00:00"/>
        <d v="2022-06-28T00:00:00"/>
        <d v="2022-06-29T00:00:00"/>
        <d v="2022-06-30T00:00:00"/>
        <d v="2022-07-01T00:00:00"/>
        <d v="2022-07-02T00:00:00"/>
        <d v="2022-07-03T00:00:00"/>
        <d v="2022-07-04T00:00:00"/>
        <d v="2022-07-05T00:00:00"/>
        <d v="2022-07-06T00:00:00"/>
        <d v="2022-07-07T00:00:00"/>
        <d v="2022-07-08T00:00:00"/>
        <d v="2022-07-09T00:00:00"/>
        <d v="2022-07-10T00:00:00"/>
        <d v="2022-07-11T00:00:00"/>
        <d v="2022-07-12T00:00:00"/>
        <d v="2022-07-13T00:00:00"/>
        <d v="2022-07-14T00:00:00"/>
        <d v="2022-07-15T00:00:00"/>
        <d v="2022-07-16T00:00:00"/>
        <d v="2022-07-17T00:00:00"/>
        <d v="2022-07-18T00:00:00"/>
        <d v="2022-07-19T00:00:00"/>
        <d v="2022-07-20T00:00:00"/>
        <d v="2022-07-21T00:00:00"/>
        <d v="2022-07-22T00:00:00"/>
        <d v="2022-07-23T00:00:00"/>
        <d v="2022-07-24T00:00:00"/>
        <d v="2022-07-25T00:00:00"/>
        <d v="2022-07-26T00:00:00"/>
        <d v="2022-07-27T00:00:00"/>
        <d v="2022-07-28T00:00:00"/>
        <d v="2022-07-29T00:00:00"/>
        <d v="2022-07-30T00:00:00"/>
        <d v="2022-07-31T00:00:00"/>
        <d v="2022-08-01T00:00:00"/>
        <d v="2022-08-02T00:00:00"/>
        <d v="2022-08-03T00:00:00"/>
        <d v="2022-08-04T00:00:00"/>
        <d v="2022-08-05T00:00:00"/>
        <d v="2022-08-06T00:00:00"/>
        <d v="2022-08-07T00:00:00"/>
        <d v="2022-08-08T00:00:00"/>
        <d v="2022-08-09T00:00:00"/>
        <d v="2022-08-10T00:00:00"/>
        <d v="2022-08-11T00:00:00"/>
        <d v="2022-08-12T00:00:00"/>
        <d v="2022-08-13T00:00:00"/>
        <d v="2022-08-14T00:00:00"/>
        <d v="2022-08-15T00:00:00"/>
        <d v="2022-08-16T00:00:00"/>
        <d v="2022-08-17T00:00:00"/>
        <d v="2022-08-18T00:00:00"/>
        <d v="2022-08-19T00:00:00"/>
        <d v="2022-08-20T00:00:00"/>
        <d v="2022-08-21T00:00:00"/>
        <d v="2022-08-22T00:00:00"/>
        <d v="2022-08-23T00:00:00"/>
        <d v="2022-08-24T00:00:00"/>
        <d v="2022-08-25T00:00:00"/>
        <d v="2022-08-26T00:00:00"/>
        <d v="2022-08-27T00:00:00"/>
        <d v="2022-08-28T00:00:00"/>
        <d v="2022-08-29T00:00:00"/>
        <d v="2022-08-30T00:00:00"/>
        <d v="2022-08-31T00:00:00"/>
        <d v="2022-09-01T00:00:00"/>
        <d v="2022-09-02T00:00:00"/>
        <d v="2022-09-03T00:00:00"/>
        <d v="2022-09-04T00:00:00"/>
        <d v="2022-09-05T00:00:00"/>
        <d v="2022-09-06T00:00:00"/>
        <d v="2022-09-07T00:00:00"/>
        <d v="2022-09-08T00:00:00"/>
        <d v="2022-09-09T00:00:00"/>
        <d v="2022-09-10T00:00:00"/>
        <d v="2022-09-11T00:00:00"/>
        <d v="2022-09-12T00:00:00"/>
        <d v="2022-09-13T00:00:00"/>
        <d v="2022-09-14T00:00:00"/>
        <d v="2022-09-15T00:00:00"/>
        <d v="2022-09-16T00:00:00"/>
        <d v="2022-09-17T00:00:00"/>
        <d v="2022-09-18T00:00:00"/>
        <d v="2022-09-19T00:00:00"/>
        <d v="2022-09-20T00:00:00"/>
        <d v="2022-09-21T00:00:00"/>
        <d v="2022-09-22T00:00:00"/>
        <d v="2022-09-23T00:00:00"/>
        <d v="2022-09-24T00:00:00"/>
        <d v="2022-09-25T00:00:00"/>
        <d v="2022-09-26T00:00:00"/>
        <d v="2022-09-27T00:00:00"/>
        <d v="2022-09-28T00:00:00"/>
        <d v="2022-09-29T00:00:00"/>
        <d v="2022-09-30T00:00:00"/>
        <d v="2022-10-01T00:00:00"/>
        <d v="2022-10-02T00:00:00"/>
        <d v="2022-10-03T00:00:00"/>
        <d v="2022-10-04T00:00:00"/>
        <d v="2022-10-05T00:00:00"/>
        <d v="2022-10-06T00:00:00"/>
        <d v="2022-10-07T00:00:00"/>
        <d v="2022-10-08T00:00:00"/>
        <d v="2022-10-09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6T00:00:00"/>
        <d v="2022-12-17T00:00:00"/>
        <d v="2022-12-18T00:00:00"/>
        <d v="2022-12-19T00:00:00"/>
        <d v="2022-12-20T00:00:00"/>
        <d v="2022-12-21T00:00:00"/>
        <d v="2022-12-22T00:00:00"/>
        <d v="2022-12-23T00:00:00"/>
        <d v="2022-12-24T00:00:00"/>
        <d v="2022-12-25T00:00:00"/>
        <d v="2022-12-26T00:00:00"/>
        <d v="2022-12-27T00:00:00"/>
        <d v="2022-12-28T00:00:00"/>
        <d v="2022-12-29T00:00:00"/>
        <d v="2022-12-30T00:00:00"/>
        <d v="2022-12-31T00:00:00"/>
        <d v="2023-01-01T00:00:00"/>
        <d v="2023-01-02T00:00:00"/>
        <d v="2023-01-03T00:00:00"/>
        <d v="2023-01-04T00:00:00"/>
        <d v="2023-01-05T00:00:00"/>
        <d v="2023-01-06T00:00:00"/>
        <d v="2023-01-07T00:00:00"/>
        <d v="2023-01-08T00:00:00"/>
        <d v="2023-01-09T00:00:00"/>
        <d v="2023-01-10T00:00:00"/>
        <d v="2023-01-11T00:00:00"/>
        <d v="2023-01-12T00:00:00"/>
        <d v="2023-01-13T00:00:00"/>
        <d v="2023-01-14T00:00:00"/>
        <d v="2023-01-15T00:00:00"/>
        <d v="2023-01-16T00:00:00"/>
        <d v="2023-01-17T00:00:00"/>
        <d v="2023-01-18T00:00:00"/>
        <d v="2023-01-19T00:00:00"/>
        <d v="2023-01-20T00:00:00"/>
        <d v="2023-01-21T00:00:00"/>
        <d v="2023-01-22T00:00:00"/>
        <d v="2023-01-23T00:00:00"/>
        <d v="2023-01-24T00:00:00"/>
        <d v="2023-01-25T00:00:00"/>
        <d v="2023-01-26T00:00:00"/>
        <d v="2023-01-27T00:00:00"/>
        <d v="2023-01-28T00:00:00"/>
        <d v="2023-01-29T00:00:00"/>
        <d v="2023-01-30T00:00:00"/>
        <d v="2023-01-31T00:00:00"/>
        <d v="2023-02-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3-01T00:00:00"/>
        <d v="2023-03-02T00:00:00"/>
        <d v="2023-03-03T00:00:00"/>
        <d v="2023-03-04T00:00:00"/>
        <d v="2023-03-05T00:00:00"/>
        <d v="2023-03-06T00:00:00"/>
        <d v="2023-03-07T00:00:00"/>
        <d v="2023-03-08T00:00:00"/>
        <d v="2023-03-09T00:00:00"/>
        <d v="2023-03-10T00:00:00"/>
        <d v="2023-03-11T00:00:00"/>
        <d v="2023-03-12T00:00:00"/>
        <d v="2023-03-13T00:00:00"/>
        <d v="2023-03-14T00:00:00"/>
        <d v="2023-03-15T00:00:00"/>
        <d v="2023-03-16T00:00:00"/>
        <d v="2023-03-17T00:00:00"/>
        <d v="2023-03-18T00:00:00"/>
        <d v="2023-03-19T00:00:00"/>
        <d v="2023-03-20T00:00:00"/>
        <d v="2023-03-21T00:00:00"/>
        <d v="2023-03-22T00:00:00"/>
        <d v="2023-03-23T00:00:00"/>
        <d v="2023-03-24T00:00:00"/>
        <d v="2023-03-25T00:00:00"/>
        <d v="2023-03-26T00:00:00"/>
        <d v="2023-03-27T00:00:00"/>
        <d v="2023-03-28T00:00:00"/>
        <d v="2023-03-29T00:00:00"/>
        <d v="2023-03-30T00:00:00"/>
        <d v="2023-03-31T00:00:00"/>
        <d v="2023-04-0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1T00:00:00"/>
        <d v="2023-04-22T00:00:00"/>
        <d v="2023-04-23T00:00:00"/>
        <d v="2023-04-24T00:00:00"/>
        <d v="2023-04-25T00:00:00"/>
        <d v="2023-04-26T00:00:00"/>
        <d v="2023-04-27T00:00:00"/>
        <d v="2023-04-28T00:00:00"/>
        <d v="2023-04-29T00:00:00"/>
        <d v="2023-04-30T00:00:00"/>
        <d v="2023-05-01T00:00:00"/>
        <d v="2023-05-02T00:00:00"/>
        <d v="2023-05-03T00:00:00"/>
        <d v="2023-05-04T00:00:00"/>
        <d v="2023-05-05T00:00:00"/>
        <d v="2023-05-06T00:00:00"/>
        <d v="2023-05-07T00:00:00"/>
        <d v="2023-05-08T00:00:00"/>
        <d v="2023-05-09T00:00:00"/>
        <d v="2023-05-10T00:00:00"/>
        <d v="2023-05-11T00:00:00"/>
        <d v="2023-05-12T00:00:00"/>
        <d v="2023-05-13T00:00:00"/>
        <d v="2023-05-14T00:00:00"/>
        <d v="2023-05-15T00:00:00"/>
        <d v="2023-05-16T00:00:00"/>
        <d v="2023-05-17T00:00:00"/>
        <d v="2023-05-18T00:00:00"/>
        <d v="2023-05-19T00:00:00"/>
        <d v="2023-05-20T00:00:00"/>
        <d v="2023-05-21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6T00:00:00"/>
        <d v="2023-06-07T00:00:00"/>
        <d v="2023-06-08T00:00:00"/>
        <d v="2023-06-09T00:00:00"/>
        <d v="2023-06-10T00:00:00"/>
        <d v="2023-06-11T00:00:00"/>
        <d v="2023-06-12T00:00:00"/>
        <d v="2023-06-13T00:00:00"/>
        <d v="2023-06-14T00:00:00"/>
        <d v="2023-06-15T00:00:00"/>
        <d v="2023-06-16T00:00:00"/>
        <d v="2023-06-17T00:00:00"/>
        <d v="2023-06-18T00:00:00"/>
        <d v="2023-06-19T00:00:00"/>
        <d v="2023-06-20T00:00:00"/>
        <d v="2023-06-21T00:00:00"/>
        <d v="2023-06-22T00:00:00"/>
        <d v="2023-06-23T00:00:00"/>
        <d v="2023-06-24T00:00:00"/>
        <d v="2023-06-25T00:00:00"/>
        <d v="2023-06-26T00:00:00"/>
        <d v="2023-06-27T00:00:00"/>
        <d v="2023-06-28T00:00:00"/>
        <d v="2023-06-29T00:00:00"/>
        <d v="2023-06-30T00:00:00"/>
        <d v="2023-07-01T00:00:00"/>
        <d v="2023-07-02T00:00:00"/>
        <d v="2023-07-03T00:00:00"/>
        <d v="2023-07-04T00:00:00"/>
        <d v="2023-07-05T00:00:00"/>
        <d v="2023-07-06T00:00:00"/>
        <d v="2023-07-07T00:00:00"/>
        <d v="2023-07-08T00:00:00"/>
        <d v="2023-07-09T00:00:00"/>
        <d v="2023-07-10T00:00:00"/>
        <d v="2023-07-11T00:00:00"/>
        <d v="2023-07-12T00:00:00"/>
        <d v="2023-07-13T00:00:00"/>
        <d v="2023-07-14T00:00:00"/>
        <d v="2023-07-15T00:00:00"/>
        <d v="2023-07-16T00:00:00"/>
        <d v="2023-07-17T00:00:00"/>
        <d v="2023-07-18T00:00:00"/>
        <d v="2023-07-19T00:00:00"/>
        <d v="2023-07-20T00:00:00"/>
        <d v="2023-07-21T00:00:00"/>
        <d v="2023-07-22T00:00:00"/>
        <d v="2023-07-23T00:00:00"/>
        <d v="2023-07-24T00:00:00"/>
        <d v="2023-07-25T00:00:00"/>
        <d v="2023-07-26T00:00:00"/>
        <d v="2023-07-27T00:00:00"/>
        <d v="2023-07-28T00:00:00"/>
        <d v="2023-07-29T00:00:00"/>
        <d v="2023-07-30T00:00:00"/>
        <d v="2023-07-31T00:00:00"/>
        <d v="2023-08-01T00:00:00"/>
        <d v="2023-08-02T00:00:00"/>
        <d v="2023-08-03T00:00:00"/>
        <d v="2023-08-04T00:00:00"/>
        <d v="2023-08-05T00:00:00"/>
        <d v="2023-08-06T00:00:00"/>
        <d v="2023-08-07T00:00:00"/>
        <d v="2023-08-08T00:00:00"/>
        <d v="2023-08-09T00:00:00"/>
        <d v="2023-08-10T00:00:00"/>
        <d v="2023-08-11T00:00:00"/>
        <d v="2023-08-12T00:00:00"/>
        <d v="2023-08-13T00:00:00"/>
        <d v="2023-08-14T00:00:00"/>
        <d v="2023-08-15T00:00:00"/>
        <d v="2023-08-16T00:00:00"/>
        <d v="2023-08-17T00:00:00"/>
        <d v="2023-08-18T00:00:00"/>
        <d v="2023-08-19T00:00:00"/>
        <d v="2023-08-20T00:00:00"/>
        <d v="2023-08-21T00:00:00"/>
        <d v="2023-08-22T00:00:00"/>
        <d v="2023-08-23T00:00:00"/>
        <d v="2023-08-24T00:00:00"/>
        <d v="2023-08-25T00:00:00"/>
        <d v="2023-08-26T00:00:00"/>
        <d v="2023-08-27T00:00:00"/>
        <d v="2023-08-28T00:00:00"/>
        <d v="2023-08-29T00:00:00"/>
        <d v="2023-08-30T00:00:00"/>
        <d v="2023-08-31T00:00:00"/>
        <d v="2023-09-01T00:00:00"/>
        <d v="2023-09-02T00:00:00"/>
        <d v="2023-09-03T00:00:00"/>
        <d v="2023-09-04T00:00:00"/>
        <d v="2023-09-05T00:00:00"/>
        <d v="2023-09-06T00:00:00"/>
        <d v="2023-09-07T00:00:00"/>
        <d v="2023-09-08T00:00:00"/>
        <d v="2023-09-09T00:00:00"/>
        <d v="2023-09-10T00:00:00"/>
        <d v="2023-09-11T00:00:00"/>
        <d v="2023-09-12T00:00:00"/>
        <d v="2023-09-13T00:00:00"/>
        <d v="2023-09-14T00:00:00"/>
        <d v="2023-09-15T00:00:00"/>
        <d v="2023-09-16T00:00:00"/>
        <d v="2023-09-17T00:00:00"/>
        <d v="2023-09-18T00:00:00"/>
        <d v="2023-09-19T00:00:00"/>
        <d v="2023-09-20T00:00:00"/>
        <d v="2023-09-21T00:00:00"/>
        <d v="2023-09-22T00:00:00"/>
        <d v="2023-09-23T00:00:00"/>
        <d v="2023-09-24T00:00:00"/>
        <d v="2023-09-25T00:00:00"/>
        <d v="2023-09-26T00:00:00"/>
        <d v="2023-09-27T00:00:00"/>
        <d v="2023-09-28T00:00:00"/>
        <d v="2023-09-29T00:00:00"/>
        <d v="2023-09-30T00:00:00"/>
        <d v="2023-10-01T00:00:00"/>
        <d v="2023-10-02T00:00:00"/>
        <d v="2023-10-03T00:00:00"/>
        <d v="2023-10-04T00:00:00"/>
        <d v="2023-10-05T00:00:00"/>
        <d v="2023-10-06T00:00:00"/>
        <d v="2023-10-07T00:00:00"/>
        <d v="2023-10-08T00:00:00"/>
        <d v="2023-10-09T00:00:00"/>
        <d v="2023-10-10T00:00:00"/>
        <d v="2023-10-11T00:00:00"/>
        <d v="2023-10-12T00:00:00"/>
        <d v="2023-10-13T00:00:00"/>
        <d v="2023-10-14T00:00:00"/>
        <d v="2023-10-15T00:00:00"/>
        <d v="2023-10-16T00:00:00"/>
        <d v="2023-10-17T00:00:00"/>
        <d v="2023-10-18T00:00:00"/>
        <d v="2023-10-19T00:00:00"/>
        <d v="2023-10-20T00:00:00"/>
        <d v="2023-10-21T00:00:00"/>
        <d v="2023-10-22T00:00:00"/>
        <d v="2023-10-23T00:00:00"/>
        <d v="2023-10-24T00:00:00"/>
        <d v="2023-10-25T00:00:00"/>
        <d v="2023-10-26T00:00:00"/>
        <d v="2023-10-27T00:00:00"/>
        <d v="2023-10-28T00:00:00"/>
        <d v="2023-10-29T00:00:00"/>
        <d v="2023-10-30T00:00:00"/>
        <d v="2023-10-31T00:00:00"/>
        <d v="2023-11-01T00:00:00"/>
        <d v="2023-11-02T00:00:00"/>
        <d v="2023-11-03T00:00:00"/>
        <d v="2023-11-04T00:00:00"/>
        <d v="2023-11-05T00:00:00"/>
        <d v="2023-11-06T00:00:00"/>
        <d v="2023-11-07T00:00:00"/>
        <d v="2023-11-08T00:00:00"/>
        <d v="2023-11-09T00:00:00"/>
        <d v="2023-11-10T00:00:00"/>
        <d v="2023-11-11T00:00:00"/>
        <d v="2023-11-12T00:00:00"/>
        <d v="2023-11-13T00:00:00"/>
        <d v="2023-11-14T00:00:00"/>
        <d v="2023-11-15T00:00:00"/>
        <d v="2023-11-16T00:00:00"/>
        <d v="2023-11-17T00:00:00"/>
        <d v="2023-11-18T00:00:00"/>
        <d v="2023-11-19T00:00:00"/>
        <d v="2023-11-20T00:00:00"/>
        <d v="2023-11-21T00:00:00"/>
        <d v="2023-11-22T00:00:00"/>
        <d v="2023-11-23T00:00:00"/>
        <d v="2023-11-24T00:00:00"/>
        <d v="2023-11-25T00:00:00"/>
        <d v="2023-11-26T00:00:00"/>
        <d v="2023-11-27T00:00:00"/>
        <d v="2023-11-28T00:00:00"/>
        <d v="2023-11-29T00:00:00"/>
        <d v="2023-11-30T00:00:00"/>
        <d v="2023-12-01T00:00:00"/>
        <d v="2023-12-02T00:00:00"/>
        <d v="2023-12-03T00:00:00"/>
        <d v="2023-12-04T00:00:00"/>
        <d v="2023-12-05T00:00:00"/>
        <d v="2023-12-06T00:00:00"/>
        <d v="2023-12-07T00:00:00"/>
        <d v="2023-12-08T00:00:00"/>
        <d v="2023-12-09T00:00:00"/>
        <d v="2023-12-10T00:00:00"/>
        <d v="2023-12-11T00:00:00"/>
        <d v="2023-12-12T00:00:00"/>
        <d v="2023-12-13T00:00:00"/>
        <d v="2023-12-14T00:00:00"/>
        <d v="2023-12-15T00:00:00"/>
        <d v="2023-12-16T00:00:00"/>
        <d v="2023-12-17T00:00:00"/>
        <d v="2023-12-18T00:00:00"/>
        <d v="2023-12-19T00:00:00"/>
        <d v="2023-12-20T00:00:00"/>
        <d v="2023-12-21T00:00:00"/>
        <d v="2023-12-22T00:00:00"/>
        <d v="2023-12-23T00:00:00"/>
        <d v="2023-12-24T00:00:00"/>
        <d v="2023-12-25T00:00:00"/>
        <d v="2023-12-26T00:00:00"/>
        <d v="2023-12-27T00:00:00"/>
        <d v="2023-12-28T00:00:00"/>
        <d v="2023-12-29T00:00:00"/>
        <d v="2023-12-30T00:00:00"/>
        <d v="2023-12-31T00:00:00"/>
        <d v="2024-01-01T00:00:00"/>
        <d v="2024-01-02T00:00:00"/>
        <d v="2024-01-03T00:00:00"/>
        <d v="2024-01-04T00:00:00"/>
        <d v="2024-01-05T00:00:00"/>
        <d v="2024-01-06T00:00:00"/>
        <d v="2024-01-07T00:00:00"/>
        <d v="2024-01-08T00:00:00"/>
        <d v="2024-01-09T00:00:00"/>
        <d v="2024-01-10T00:00:00"/>
        <d v="2024-01-11T00:00:00"/>
        <d v="2024-01-12T00:00:00"/>
        <d v="2024-01-13T00:00:00"/>
        <d v="2024-01-14T00:00:00"/>
        <d v="2024-01-15T00:00:00"/>
        <d v="2024-01-16T00:00:00"/>
        <d v="2024-01-17T00:00:00"/>
        <d v="2024-01-18T00:00:00"/>
        <d v="2024-01-19T00:00:00"/>
        <d v="2024-01-20T00:00:00"/>
        <d v="2024-01-21T00:00:00"/>
        <d v="2024-01-22T00:00:00"/>
        <d v="2024-01-23T00:00:00"/>
        <d v="2024-01-24T00:00:00"/>
        <d v="2024-01-25T00:00:00"/>
        <d v="2024-01-26T00:00:00"/>
        <d v="2024-01-27T00:00:00"/>
        <d v="2024-01-28T00:00:00"/>
        <d v="2024-01-29T00:00:00"/>
        <d v="2024-01-30T00:00:00"/>
        <d v="2024-01-31T00:00:00"/>
        <d v="2024-02-01T00:00:00"/>
        <d v="2024-02-02T00:00:00"/>
        <d v="2024-02-03T00:00:00"/>
        <d v="2024-02-04T00:00:00"/>
        <d v="2024-02-05T00:00:00"/>
        <d v="2024-02-06T00:00:00"/>
        <d v="2024-02-07T00:00:00"/>
        <d v="2024-02-08T00:00:00"/>
        <d v="2024-02-09T00:00:00"/>
        <d v="2024-02-10T00:00:00"/>
        <d v="2024-02-11T00:00:00"/>
        <d v="2024-02-12T00:00:00"/>
        <d v="2024-02-13T00:00:00"/>
        <d v="2024-02-14T00:00:00"/>
        <d v="2024-02-15T00:00:00"/>
        <d v="2024-02-16T00:00:00"/>
        <d v="2024-02-17T00:00:00"/>
        <d v="2024-02-18T00:00:00"/>
        <d v="2024-02-19T00:00:00"/>
        <d v="2024-02-20T00:00:00"/>
        <d v="2024-02-21T00:00:00"/>
        <d v="2024-02-22T00:00:00"/>
        <d v="2024-02-23T00:00:00"/>
        <d v="2024-02-24T00:00:00"/>
        <d v="2024-02-25T00:00:00"/>
        <d v="2024-02-26T00:00:00"/>
        <d v="2024-02-27T00:00:00"/>
        <d v="2024-02-28T00:00:00"/>
        <d v="2024-02-29T00:00:00"/>
        <d v="2024-03-01T00:00:00"/>
        <d v="2024-03-02T00:00:00"/>
        <d v="2024-03-03T00:00:00"/>
        <d v="2024-03-04T00:00:00"/>
        <d v="2024-03-05T00:00:00"/>
        <d v="2024-03-06T00:00:00"/>
        <d v="2024-03-07T00:00:00"/>
        <d v="2024-03-08T00:00:00"/>
        <d v="2024-03-09T00:00:00"/>
        <d v="2024-03-10T00:00:00"/>
        <d v="2024-03-11T00:00:00"/>
        <d v="2024-03-12T00:00:00"/>
        <d v="2024-03-13T00:00:00"/>
        <d v="2024-03-14T00:00:00"/>
        <d v="2024-03-15T00:00:00"/>
        <d v="2024-03-16T00:00:00"/>
        <d v="2024-03-17T00:00:00"/>
        <d v="2024-03-18T00:00:00"/>
        <d v="2024-03-19T00:00:00"/>
        <d v="2024-03-20T00:00:00"/>
        <d v="2024-03-21T00:00:00"/>
        <d v="2024-03-22T00:00:00"/>
        <d v="2024-03-23T00:00:00"/>
        <d v="2024-03-24T00:00:00"/>
        <d v="2024-03-25T00:00:00"/>
        <d v="2024-03-26T00:00:00"/>
        <d v="2024-03-27T00:00:00"/>
        <d v="2024-03-28T00:00:00"/>
        <d v="2024-03-29T00:00:00"/>
        <d v="2024-03-30T00:00:00"/>
        <d v="2024-03-31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6T00:00:00"/>
        <d v="2024-10-27T00:00:00"/>
        <d v="2024-10-28T00:00:00"/>
        <d v="2024-10-29T00:00:00"/>
        <d v="2024-10-30T00:00:00"/>
        <d v="2024-10-31T00:00:00"/>
        <d v="2024-11-01T00:00:00"/>
        <d v="2024-11-02T00:00:00"/>
        <d v="2024-11-03T00:00:00"/>
        <d v="2024-11-04T00:00:00"/>
        <d v="2024-11-05T00:00:00"/>
        <d v="2024-11-06T00:00:00"/>
        <d v="2024-11-07T00:00:00"/>
        <d v="2024-11-08T00:00:00"/>
        <d v="2024-11-09T00:00:00"/>
        <d v="2024-11-10T00:00:00"/>
        <d v="2024-11-11T00:00:00"/>
        <d v="2024-11-12T00:00:00"/>
        <d v="2024-11-13T00:00:00"/>
        <d v="2024-11-14T00:00:00"/>
        <d v="2024-11-15T00:00:00"/>
        <d v="2024-11-16T00:00:00"/>
        <d v="2024-11-17T00:00:00"/>
        <d v="2024-11-18T00:00:00"/>
        <d v="2024-11-19T00:00:00"/>
        <d v="2024-11-20T00:00:00"/>
        <d v="2024-11-21T00:00:00"/>
        <d v="2024-11-22T00:00:00"/>
        <d v="2024-11-23T00:00:00"/>
        <d v="2024-11-24T00:00:00"/>
        <d v="2024-11-25T00:00:00"/>
        <d v="2024-11-26T00:00:00"/>
        <d v="2024-11-27T00:00:00"/>
        <d v="2024-11-28T00:00:00"/>
        <d v="2024-11-29T00:00:00"/>
        <d v="2024-11-30T00:00:00"/>
        <d v="2024-12-01T00:00:00"/>
        <d v="2024-12-02T00:00:00"/>
        <d v="2024-12-03T00:00:00"/>
        <d v="2024-12-04T00:00:00"/>
        <d v="2024-12-05T00:00:00"/>
        <d v="2024-12-06T00:00:00"/>
        <d v="2024-12-07T00:00:00"/>
        <d v="2024-12-08T00:00:00"/>
        <d v="2024-12-09T00:00:00"/>
        <d v="2024-12-10T00:00:00"/>
        <d v="2024-12-11T00:00:00"/>
        <d v="2024-12-12T00:00:00"/>
        <d v="2024-12-13T00:00:00"/>
        <d v="2024-12-14T00:00:00"/>
        <d v="2024-12-15T00:00:00"/>
        <d v="2024-12-16T00:00:00"/>
        <d v="2024-12-17T00:00:00"/>
        <d v="2024-12-18T00:00:00"/>
        <d v="2024-12-19T00:00:00"/>
        <d v="2024-12-20T00:00:00"/>
        <d v="2024-12-21T00:00:00"/>
        <d v="2024-12-22T00:00:00"/>
        <d v="2024-12-23T00:00:00"/>
        <d v="2024-12-24T00:00:00"/>
        <d v="2024-12-25T00:00:00"/>
        <d v="2024-12-26T00:00:00"/>
        <d v="2024-12-27T00:00:00"/>
        <d v="2024-12-28T00:00:00"/>
        <d v="2024-12-29T00:00:00"/>
        <d v="2024-12-30T00:00:00"/>
        <d v="2024-12-31T00:00:00"/>
        <d v="2025-01-01T00:00:00"/>
        <d v="2025-01-02T00:00:00"/>
        <d v="2025-01-03T00:00:00"/>
        <d v="2025-01-04T00:00:00"/>
        <d v="2025-01-05T00:00:00"/>
        <d v="2025-01-06T00:00:00"/>
        <d v="2025-01-07T00:00:00"/>
        <d v="2025-01-08T00:00:00"/>
        <d v="2025-01-09T00:00:00"/>
        <d v="2025-01-10T00:00:00"/>
        <d v="2025-01-11T00:00:00"/>
        <d v="2025-01-12T00:00:00"/>
        <d v="2025-01-13T00:00:00"/>
        <d v="2025-01-14T00:00:00"/>
        <d v="2025-01-15T00:00:00"/>
        <d v="2025-01-16T00:00:00"/>
        <d v="2025-01-17T00:00:00"/>
        <d v="2025-01-18T00:00:00"/>
        <d v="2025-01-19T00:00:00"/>
        <d v="2025-01-20T00:00:00"/>
        <d v="2025-01-21T00:00:00"/>
        <d v="2025-01-22T00:00:00"/>
        <d v="2025-01-23T00:00:00"/>
        <d v="2025-01-24T00:00:00"/>
        <d v="2025-01-25T00:00:00"/>
        <d v="2025-01-26T00:00:00"/>
        <d v="2025-01-27T00:00:00"/>
        <d v="2025-01-28T00:00:00"/>
        <d v="2025-01-29T00:00:00"/>
        <d v="2025-01-30T00:00:00"/>
        <d v="2025-01-31T00:00:00"/>
        <d v="2025-02-01T00:00:00"/>
        <d v="2025-02-02T00:00:00"/>
        <d v="2025-02-03T00:00:00"/>
        <d v="2025-02-04T00:00:00"/>
        <d v="2025-02-05T00:00:00"/>
        <d v="2025-02-06T00:00:00"/>
        <d v="2025-02-07T00:00:00"/>
        <d v="2025-02-08T00:00:00"/>
        <d v="2025-02-09T00:00:00"/>
        <d v="2025-02-10T00:00:00"/>
        <d v="2025-02-11T00:00:00"/>
        <d v="2025-02-12T00:00:00"/>
        <d v="2025-02-13T00:00:00"/>
        <d v="2025-02-14T00:00:00"/>
        <d v="2025-02-15T00:00:00"/>
        <d v="2025-02-16T00:00:00"/>
        <d v="2025-02-17T00:00:00"/>
        <d v="2025-02-18T00:00:00"/>
        <d v="2025-02-19T00:00:00"/>
        <d v="2025-02-20T00:00:00"/>
        <d v="2025-02-21T00:00:00"/>
        <d v="2025-02-22T00:00:00"/>
        <d v="2025-02-23T00:00:00"/>
        <d v="2025-02-24T00:00:00"/>
        <d v="2025-02-25T00:00:00"/>
        <d v="2025-02-26T00:00:00"/>
        <d v="2025-02-27T00:00:00"/>
        <d v="2025-02-28T00:00:00"/>
        <d v="2025-03-01T00:00:00"/>
        <d v="2025-03-02T00:00:00"/>
        <d v="2025-03-03T00:00:00"/>
        <d v="2025-03-04T00:00:00"/>
        <d v="2025-03-05T00:00:00"/>
        <d v="2025-03-06T00:00:00"/>
        <d v="2025-03-07T00:00:00"/>
        <d v="2025-03-08T00:00:00"/>
        <d v="2025-03-09T00:00:00"/>
        <d v="2025-03-10T00:00:00"/>
        <d v="2025-03-11T00:00:00"/>
        <d v="2025-03-12T00:00:00"/>
        <d v="2025-03-13T00:00:00"/>
        <d v="2025-03-14T00:00:00"/>
        <d v="2025-03-15T00:00:00"/>
        <d v="2025-03-16T00:00:00"/>
        <d v="2025-03-17T00:00:00"/>
        <d v="2025-03-18T00:00:00"/>
        <d v="2025-03-19T00:00:00"/>
        <d v="2025-03-20T00:00:00"/>
        <d v="2025-03-21T00:00:00"/>
        <d v="2025-03-22T00:00:00"/>
        <d v="2025-03-23T00:00:00"/>
        <d v="2025-03-24T00:00:00"/>
        <d v="2025-03-25T00:00:00"/>
        <d v="2025-03-26T00:00:00"/>
        <d v="2025-03-27T00:00:00"/>
        <d v="2025-03-28T00:00:00"/>
        <d v="2025-03-29T00:00:00"/>
        <d v="2025-03-30T00:00:00"/>
        <d v="2025-03-31T00:00:00"/>
        <d v="2025-04-01T00:00:00"/>
        <d v="2025-04-02T00:00:00"/>
        <d v="2025-04-03T00:00:00"/>
        <d v="2025-04-04T00:00:00"/>
        <d v="2025-04-05T00:00:00"/>
        <d v="2025-04-06T00:00:00"/>
        <d v="2025-04-07T00:00:00"/>
        <d v="2025-04-08T00:00:00"/>
        <d v="2025-04-09T00:00:00"/>
        <d v="2025-04-10T00:00:00"/>
        <d v="2025-04-11T00:00:00"/>
        <d v="2025-04-12T00:00:00"/>
        <d v="2025-04-13T00:00:00"/>
        <d v="2025-04-14T00:00:00"/>
        <d v="2025-04-15T00:00:00"/>
        <d v="2025-04-16T00:00:00"/>
        <d v="2025-04-17T00:00:00"/>
        <d v="2025-04-18T00:00:00"/>
        <d v="2025-04-19T00:00:00"/>
        <d v="2025-04-20T00:00:00"/>
        <d v="2025-04-21T00:00:00"/>
        <d v="2025-04-22T00:00:00"/>
        <d v="2025-04-23T00:00:00"/>
        <d v="2025-04-24T00:00:00"/>
        <d v="2025-04-25T00:00:00"/>
        <d v="2025-04-26T00:00:00"/>
        <d v="2025-04-27T00:00:00"/>
        <d v="2025-04-28T00:00:00"/>
        <d v="2025-04-29T00:00:00"/>
        <d v="2025-04-30T00:00:00"/>
        <d v="2025-05-01T00:00:00"/>
        <d v="2025-05-02T00:00:00"/>
        <d v="2025-05-03T00:00:00"/>
        <d v="2025-05-04T00:00:00"/>
        <d v="2025-05-05T00:00:00"/>
        <d v="2025-05-06T00:00:00"/>
        <d v="2025-05-07T00:00:00"/>
      </sharedItems>
    </cacheField>
    <cacheField name="[Tab_concat].[Dates (mois)].[Dates (mois)]" caption="Dates (mois)" numFmtId="0" hierarchy="19" level="1">
      <sharedItems containsNonDate="0" count="12">
        <s v="janv"/>
        <s v="févr"/>
        <s v="mars"/>
        <s v="avr"/>
        <s v="mai"/>
        <s v="juin"/>
        <s v="juil"/>
        <s v="août"/>
        <s v="sept"/>
        <s v="oct"/>
        <s v="nov"/>
        <s v="déc"/>
      </sharedItems>
    </cacheField>
    <cacheField name="[Tab_concat].[Dates (trimestre)].[Dates (trimestre)]" caption="Dates (trimestre)" numFmtId="0" hierarchy="18" level="1">
      <sharedItems containsNonDate="0" count="4">
        <s v="Trim1"/>
        <s v="Trim2"/>
        <s v="Trim3"/>
        <s v="Trim4"/>
      </sharedItems>
    </cacheField>
    <cacheField name="[Tab_concat].[Dates (année)].[Dates (année)]" caption="Dates (année)" numFmtId="0" hierarchy="17" level="1">
      <sharedItems count="5">
        <s v="2021"/>
        <s v="2022"/>
        <s v="2023"/>
        <s v="2024"/>
        <s v="2025"/>
      </sharedItems>
    </cacheField>
    <cacheField name="[Measures].[Conso_DJU]" caption="Conso_DJU" numFmtId="0" hierarchy="32" level="32767"/>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2" memberValueDatatype="7" unbalanced="0">
      <fieldsUsage count="2">
        <fieldUsage x="-1"/>
        <fieldUsage x="1"/>
      </fieldsUsage>
    </cacheHierarchy>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2" memberValueDatatype="130" unbalanced="0">
      <fieldsUsage count="2">
        <fieldUsage x="-1"/>
        <fieldUsage x="0"/>
      </fieldsUsage>
    </cacheHierarchy>
    <cacheHierarchy uniqueName="[Tab_concat].[Detail usage]" caption="Detail usage" attribute="1" defaultMemberUniqueName="[Tab_concat].[Detail usage].[All]" allUniqueName="[Tab_concat].[Detail usage].[All]" dimensionUniqueName="[Tab_concat]" displayFolder="" count="0" memberValueDatatype="130" unbalanced="0"/>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0" memberValueDatatype="20" unbalanced="0"/>
    <cacheHierarchy uniqueName="[Tab_concat].[Mois]" caption="Mois" attribute="1" defaultMemberUniqueName="[Tab_concat].[Mois].[All]" allUniqueName="[Tab_concat].[Mois].[All]" dimensionUniqueName="[Tab_concat]" displayFolder="" count="0" memberValueDatatype="20" unbalanced="0"/>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2" memberValueDatatype="130" unbalanced="0">
      <fieldsUsage count="2">
        <fieldUsage x="-1"/>
        <fieldUsage x="4"/>
      </fieldsUsage>
    </cacheHierarchy>
    <cacheHierarchy uniqueName="[Tab_concat].[Dates (trimestre)]" caption="Dates (trimestre)" attribute="1" defaultMemberUniqueName="[Tab_concat].[Dates (trimestre)].[All]" allUniqueName="[Tab_concat].[Dates (trimestre)].[All]" dimensionUniqueName="[Tab_concat]" displayFolder="" count="2" memberValueDatatype="130" unbalanced="0">
      <fieldsUsage count="2">
        <fieldUsage x="-1"/>
        <fieldUsage x="3"/>
      </fieldsUsage>
    </cacheHierarchy>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2"/>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oneField="1">
      <fieldsUsage count="1">
        <fieldUsage x="5"/>
      </fieldsUsage>
    </cacheHierarchy>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VERAIS Laurent" refreshedDate="46072.418382060183" createdVersion="6" refreshedVersion="7" minRefreshableVersion="3" recordCount="5171" xr:uid="{00000000-000A-0000-FFFF-FFFF27000000}">
  <cacheSource type="worksheet">
    <worksheetSource name="Tableau9"/>
  </cacheSource>
  <cacheFields count="6">
    <cacheField name="Station Météo" numFmtId="0">
      <sharedItems containsBlank="1"/>
    </cacheField>
    <cacheField name="annee" numFmtId="0">
      <sharedItems containsString="0" containsBlank="1" containsNumber="1" containsInteger="1" minValue="2001" maxValue="2026" count="27">
        <n v="2001"/>
        <n v="2002"/>
        <n v="2003"/>
        <n v="2004"/>
        <n v="2005"/>
        <n v="2006"/>
        <n v="2007"/>
        <n v="2008"/>
        <n v="2009"/>
        <n v="2010"/>
        <n v="2011"/>
        <n v="2012"/>
        <n v="2013"/>
        <n v="2014"/>
        <n v="2015"/>
        <n v="2016"/>
        <n v="2017"/>
        <n v="2018"/>
        <n v="2019"/>
        <n v="2020"/>
        <n v="2021"/>
        <n v="2022"/>
        <n v="2023"/>
        <n v="2024"/>
        <n v="2025"/>
        <n v="2026"/>
        <m/>
      </sharedItems>
    </cacheField>
    <cacheField name="mois" numFmtId="0">
      <sharedItems containsBlank="1" count="17">
        <s v="janv"/>
        <s v="fev"/>
        <s v="mars"/>
        <s v="avr"/>
        <s v="mai"/>
        <s v="juin"/>
        <s v="juil"/>
        <s v="aout"/>
        <s v="sept"/>
        <s v="oct"/>
        <s v="nov"/>
        <s v="dec"/>
        <s v="septembre"/>
        <s v="octobre"/>
        <s v="novembre"/>
        <s v="décembre"/>
        <m/>
      </sharedItems>
    </cacheField>
    <cacheField name="mois_numero" numFmtId="0">
      <sharedItems containsString="0" containsBlank="1" containsNumber="1" containsInteger="1" minValue="1" maxValue="12" count="13">
        <n v="1"/>
        <n v="2"/>
        <n v="3"/>
        <n v="4"/>
        <n v="5"/>
        <n v="6"/>
        <n v="7"/>
        <n v="8"/>
        <n v="9"/>
        <n v="10"/>
        <n v="11"/>
        <n v="12"/>
        <m/>
      </sharedItems>
    </cacheField>
    <cacheField name="DJU(chauffagiste)" numFmtId="0">
      <sharedItems containsString="0" containsBlank="1" containsNumber="1" minValue="5" maxValue="501"/>
    </cacheField>
    <cacheField name="DJU(climaticien)" numFmtId="0">
      <sharedItems containsString="0" containsBlank="1" containsNumber="1" containsInteger="1" minValue="0" maxValue="205"/>
    </cacheField>
  </cacheFields>
  <extLst>
    <ext xmlns:x14="http://schemas.microsoft.com/office/spreadsheetml/2009/9/main" uri="{725AE2AE-9491-48be-B2B4-4EB974FC3084}">
      <x14:pivotCacheDefinition pivotCacheId="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VERAIS Laurent" refreshedDate="46072.418383101853" createdVersion="7" refreshedVersion="7" minRefreshableVersion="3" recordCount="100" xr:uid="{00000000-000A-0000-FFFF-FFFF1C000000}">
  <cacheSource type="worksheet">
    <worksheetSource name="Tableau13"/>
  </cacheSource>
  <cacheFields count="4">
    <cacheField name="Numéro" numFmtId="0">
      <sharedItems containsString="0" containsBlank="1" containsNumber="1" containsInteger="1" minValue="1" maxValue="974"/>
    </cacheField>
    <cacheField name="Département" numFmtId="0">
      <sharedItems count="100">
        <s v="Ain"/>
        <s v="Aisne"/>
        <s v="Allier"/>
        <s v="Alpes-de-Haute-Provence"/>
        <s v="Hautes-Alpes"/>
        <s v="Alpes-Maritimes"/>
        <s v="Ardèche"/>
        <s v="Ardennes"/>
        <s v="Ariège"/>
        <s v="Aube"/>
        <s v="Aude"/>
        <s v="Aveyron"/>
        <s v="Bouches-du-Rhône"/>
        <s v="Calvados"/>
        <s v="Cantal"/>
        <s v="Charente"/>
        <s v="Charente-Maritime"/>
        <s v="Cher"/>
        <s v="Corrèze"/>
        <s v="Corse-du-Sud / Haute-Corse"/>
        <s v="Côte-d’Or"/>
        <s v="Côtes-d’Armor"/>
        <s v="Creuse"/>
        <s v="Dordogne"/>
        <s v="Doubs"/>
        <s v="Drôme"/>
        <s v="Eure"/>
        <s v="Eure-et-Loir"/>
        <s v="Finistère"/>
        <s v="Gard"/>
        <s v="Haute-Garonne"/>
        <s v="Gers"/>
        <s v="Gironde"/>
        <s v="Hérault"/>
        <s v="Ille-et-Vilaine"/>
        <s v="Indre"/>
        <s v="Indre-et-Loire"/>
        <s v="Isère"/>
        <s v="Jura"/>
        <s v="Landes"/>
        <s v="Loir-et-Cher"/>
        <s v="Loire"/>
        <s v="Haute-Loire"/>
        <s v="Loire-Atlantique"/>
        <s v="Loiret"/>
        <s v="Lot"/>
        <s v="Lot-et-Garonne"/>
        <s v="Lozère"/>
        <s v="Maine-et-Loire"/>
        <s v="Manche"/>
        <s v="Marne"/>
        <s v="Haute-Marne"/>
        <s v="Mayenne"/>
        <s v="Meurthe-et-Moselle"/>
        <s v="Meuse"/>
        <s v="Morbihan"/>
        <s v="Moselle"/>
        <s v="Nièvre"/>
        <s v="Nord"/>
        <s v="Oise"/>
        <s v="Orne"/>
        <s v="Pas-de-Calais"/>
        <s v="Puy-de-Dôme"/>
        <s v="Pyrénées-Atlantiques"/>
        <s v="Hautes-Pyrénées"/>
        <s v="Pyrénées-Orientales"/>
        <s v="Bas-Rhin"/>
        <s v="Haut-Rhin"/>
        <s v="Rhône"/>
        <s v="Haute-Saône"/>
        <s v="Saône-et-Loire"/>
        <s v="Sarthe"/>
        <s v="Savoie"/>
        <s v="Haute-Savoie"/>
        <s v="Paris"/>
        <s v="Seine-Maritime"/>
        <s v="Seine-et-Marne"/>
        <s v="Yvelines"/>
        <s v="Deux-Sèvres"/>
        <s v="Somme"/>
        <s v="Tarn"/>
        <s v="Tarn-et-Garonne"/>
        <s v="Var"/>
        <s v="Vaucluse"/>
        <s v="Vendée"/>
        <s v="Vienne"/>
        <s v="Haute-Vienne"/>
        <s v="Vosges"/>
        <s v="Yonne"/>
        <s v="Territoire de Belfort"/>
        <s v="Essonne"/>
        <s v="Hauts-de-Seine"/>
        <s v="Seine-Saint-Denis"/>
        <s v="Val-de-Marne"/>
        <s v="Val-d’Oise"/>
        <s v="Guadeloupe"/>
        <s v="Guyane"/>
        <s v="La Réunion"/>
        <s v="Martinique"/>
        <s v="Mayotte"/>
      </sharedItems>
    </cacheField>
    <cacheField name="Zone climatique" numFmtId="0">
      <sharedItems count="13">
        <s v="H1c"/>
        <s v="H1a"/>
        <s v="H2d"/>
        <s v="H3"/>
        <s v="H1b"/>
        <s v="H2c"/>
        <s v="H2b"/>
        <s v="H2a"/>
        <s v="Guadeloupe"/>
        <s v="Guyane"/>
        <s v="Réunion"/>
        <s v="Martinique"/>
        <s v="Mayotte"/>
      </sharedItems>
    </cacheField>
    <cacheField name="Region" numFmtId="0">
      <sharedItems count="14">
        <s v="Auvergne-Rhône-Alpes"/>
        <s v="Hauts-de-France"/>
        <s v="Provence-Alpes-Côte d'Azur"/>
        <s v="Grand Est"/>
        <s v="Occitanie"/>
        <s v="Normandie"/>
        <s v="Nouvelle-Aquitaine"/>
        <s v="Centre-Val de Loire"/>
        <s v="Corse"/>
        <s v="Bourgogne-Franche-Comté"/>
        <s v="Bretagne"/>
        <s v="Pays de la Loire"/>
        <s v="Île-de-France"/>
        <s v="Outre-mer"/>
      </sharedItems>
    </cacheField>
  </cacheFields>
  <extLst>
    <ext xmlns:x14="http://schemas.microsoft.com/office/spreadsheetml/2009/9/main" uri="{725AE2AE-9491-48be-B2B4-4EB974FC3084}">
      <x14:pivotCacheDefinition pivotCacheId="902497723"/>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FAVERAIS Laurent" refreshedDate="46072.433834490737" backgroundQuery="1" createdVersion="7" refreshedVersion="7" minRefreshableVersion="3" recordCount="0" supportSubquery="1" supportAdvancedDrill="1" xr:uid="{D87F21D6-CCE6-409F-B308-72D1F517C65A}">
  <cacheSource type="external" connectionId="10"/>
  <cacheFields count="6">
    <cacheField name="[Tab_concat].[Mois].[Mois]" caption="Mois" numFmtId="0" hierarchy="15" level="1">
      <sharedItems containsSemiMixedTypes="0" containsNonDate="0" containsString="0"/>
    </cacheField>
    <cacheField name="[Tab_concat].[Annee].[Annee]" caption="Annee" numFmtId="0" hierarchy="14" level="1">
      <sharedItems containsSemiMixedTypes="0" containsString="0" containsNumber="1" containsInteger="1" minValue="2010" maxValue="2025" count="16">
        <n v="2010"/>
        <n v="2011"/>
        <n v="2012"/>
        <n v="2013"/>
        <n v="2014"/>
        <n v="2015"/>
        <n v="2016"/>
        <n v="2017"/>
        <n v="2018"/>
        <n v="2019"/>
        <n v="2020"/>
        <n v="2021"/>
        <n v="2022"/>
        <n v="2023"/>
        <n v="2024"/>
        <n v="2025"/>
      </sharedItems>
      <extLst>
        <ext xmlns:x15="http://schemas.microsoft.com/office/spreadsheetml/2010/11/main" uri="{4F2E5C28-24EA-4eb8-9CBF-B6C8F9C3D259}">
          <x15:cachedUniqueNames>
            <x15:cachedUniqueName index="0" name="[Tab_concat].[Annee].&amp;[2010]"/>
            <x15:cachedUniqueName index="1" name="[Tab_concat].[Annee].&amp;[2011]"/>
            <x15:cachedUniqueName index="2" name="[Tab_concat].[Annee].&amp;[2012]"/>
            <x15:cachedUniqueName index="3" name="[Tab_concat].[Annee].&amp;[2013]"/>
            <x15:cachedUniqueName index="4" name="[Tab_concat].[Annee].&amp;[2014]"/>
            <x15:cachedUniqueName index="5" name="[Tab_concat].[Annee].&amp;[2015]"/>
            <x15:cachedUniqueName index="6" name="[Tab_concat].[Annee].&amp;[2016]"/>
            <x15:cachedUniqueName index="7" name="[Tab_concat].[Annee].&amp;[2017]"/>
            <x15:cachedUniqueName index="8" name="[Tab_concat].[Annee].&amp;[2018]"/>
            <x15:cachedUniqueName index="9" name="[Tab_concat].[Annee].&amp;[2019]"/>
            <x15:cachedUniqueName index="10" name="[Tab_concat].[Annee].&amp;[2020]"/>
            <x15:cachedUniqueName index="11" name="[Tab_concat].[Annee].&amp;[2021]"/>
            <x15:cachedUniqueName index="12" name="[Tab_concat].[Annee].&amp;[2022]"/>
            <x15:cachedUniqueName index="13" name="[Tab_concat].[Annee].&amp;[2023]"/>
            <x15:cachedUniqueName index="14" name="[Tab_concat].[Annee].&amp;[2024]"/>
            <x15:cachedUniqueName index="15" name="[Tab_concat].[Annee].&amp;[2025]"/>
          </x15:cachedUniqueNames>
        </ext>
      </extLst>
    </cacheField>
    <cacheField name="[Tab_concat].[Detail usage].[Detail usage]" caption="Detail usage" numFmtId="0" hierarchy="12" level="1">
      <sharedItems count="6">
        <s v="ECS, Chauffage et Cuisson"/>
        <s v="ECS_solaire"/>
        <s v="Elec_Général"/>
        <s v="General EF"/>
        <s v="Sous-comptage ECS"/>
        <s v="Sous-comptage EF"/>
      </sharedItems>
    </cacheField>
    <cacheField name="[Measures].[Moyenne de Conso_kWh_PCI]" caption="Moyenne de Conso_kWh_PCI" numFmtId="0" hierarchy="41" level="32767"/>
    <cacheField name="[Measures].[Moyenne de Conso_kWh_DEET]" caption="Moyenne de Conso_kWh_DEET" numFmtId="0" hierarchy="42" level="32767"/>
    <cacheField name="[Tab_concat].[Dates (mois)].[Dates (mois)]" caption="Dates (mois)" numFmtId="0" hierarchy="19" level="1">
      <sharedItems containsSemiMixedTypes="0" containsNonDate="0" containsString="0"/>
    </cacheField>
  </cacheFields>
  <cacheHierarchies count="46">
    <cacheHierarchy uniqueName="[Tab_concat].[Compteur]" caption="Compteur" attribute="1" defaultMemberUniqueName="[Tab_concat].[Compteur].[All]" allUniqueName="[Tab_concat].[Compteur].[All]" dimensionUniqueName="[Tab_concat]" displayFolder="" count="0" memberValueDatatype="130" unbalanced="0"/>
    <cacheHierarchy uniqueName="[Tab_concat].[Dates]" caption="Dates" attribute="1" time="1" defaultMemberUniqueName="[Tab_concat].[Dates].[All]" allUniqueName="[Tab_concat].[Dates].[All]" dimensionUniqueName="[Tab_concat]" displayFolder="" count="0" memberValueDatatype="7" unbalanced="0"/>
    <cacheHierarchy uniqueName="[Tab_concat].[Demande_jour]" caption="Demande_jour" attribute="1" defaultMemberUniqueName="[Tab_concat].[Demande_jour].[All]" allUniqueName="[Tab_concat].[Demande_jour].[All]" dimensionUniqueName="[Tab_concat]" displayFolder="" count="0" memberValueDatatype="5" unbalanced="0"/>
    <cacheHierarchy uniqueName="[Tab_concat].[Cout_jour]" caption="Cout_jour" attribute="1" defaultMemberUniqueName="[Tab_concat].[Cout_jour].[All]" allUniqueName="[Tab_concat].[Cout_jour].[All]" dimensionUniqueName="[Tab_concat]" displayFolder="" count="0" memberValueDatatype="5" unbalanced="0"/>
    <cacheHierarchy uniqueName="[Tab_concat].[DJU_chauffagiste]" caption="DJU_chauffagiste" attribute="1" defaultMemberUniqueName="[Tab_concat].[DJU_chauffagiste].[All]" allUniqueName="[Tab_concat].[DJU_chauffagiste].[All]" dimensionUniqueName="[Tab_concat]" displayFolder="" count="0" memberValueDatatype="20" unbalanced="0"/>
    <cacheHierarchy uniqueName="[Tab_concat].[DJU_climaticien]" caption="DJU_climaticien" attribute="1" defaultMemberUniqueName="[Tab_concat].[DJU_climaticien].[All]" allUniqueName="[Tab_concat].[DJU_climaticien].[All]" dimensionUniqueName="[Tab_concat]" displayFolder="" count="0" memberValueDatatype="20" unbalanced="0"/>
    <cacheHierarchy uniqueName="[Tab_concat].[Type]" caption="Type" attribute="1" defaultMemberUniqueName="[Tab_concat].[Type].[All]" allUniqueName="[Tab_concat].[Type].[All]" dimensionUniqueName="[Tab_concat]" displayFolder="" count="0" memberValueDatatype="130" unbalanced="0"/>
    <cacheHierarchy uniqueName="[Tab_concat].[Source]" caption="Source" attribute="1" defaultMemberUniqueName="[Tab_concat].[Source].[All]" allUniqueName="[Tab_concat].[Source].[All]" dimensionUniqueName="[Tab_concat]" displayFolder="" count="0" memberValueDatatype="130" unbalanced="0"/>
    <cacheHierarchy uniqueName="[Tab_concat].[Combustible]" caption="Combustible" attribute="1" defaultMemberUniqueName="[Tab_concat].[Combustible].[All]" allUniqueName="[Tab_concat].[Combustible].[All]" dimensionUniqueName="[Tab_concat]" displayFolder="" count="0" memberValueDatatype="130" unbalanced="0"/>
    <cacheHierarchy uniqueName="[Tab_concat].[Conso_kWh_PCI]" caption="Conso_kWh_PCI" attribute="1" defaultMemberUniqueName="[Tab_concat].[Conso_kWh_PCI].[All]" allUniqueName="[Tab_concat].[Conso_kWh_PCI].[All]" dimensionUniqueName="[Tab_concat]" displayFolder="" count="0" memberValueDatatype="5" unbalanced="0"/>
    <cacheHierarchy uniqueName="[Tab_concat].[Conso_kWh_DEET]" caption="Conso_kWh_DEET" attribute="1" defaultMemberUniqueName="[Tab_concat].[Conso_kWh_DEET].[All]" allUniqueName="[Tab_concat].[Conso_kWh_DEET].[All]" dimensionUniqueName="[Tab_concat]" displayFolder="" count="0" memberValueDatatype="5" unbalanced="0"/>
    <cacheHierarchy uniqueName="[Tab_concat].[Nom]" caption="Nom" attribute="1" defaultMemberUniqueName="[Tab_concat].[Nom].[All]" allUniqueName="[Tab_concat].[Nom].[All]" dimensionUniqueName="[Tab_concat]" displayFolder="" count="0" memberValueDatatype="130" unbalanced="0"/>
    <cacheHierarchy uniqueName="[Tab_concat].[Detail usage]" caption="Detail usage" attribute="1" defaultMemberUniqueName="[Tab_concat].[Detail usage].[All]" allUniqueName="[Tab_concat].[Detail usage].[All]" dimensionUniqueName="[Tab_concat]" displayFolder="" count="2" memberValueDatatype="130" unbalanced="0">
      <fieldsUsage count="2">
        <fieldUsage x="-1"/>
        <fieldUsage x="2"/>
      </fieldsUsage>
    </cacheHierarchy>
    <cacheHierarchy uniqueName="[Tab_concat].[Conso_kWhEP]" caption="Conso_kWhEP" attribute="1" defaultMemberUniqueName="[Tab_concat].[Conso_kWhEP].[All]" allUniqueName="[Tab_concat].[Conso_kWhEP].[All]" dimensionUniqueName="[Tab_concat]" displayFolder="" count="0" memberValueDatatype="5" unbalanced="0"/>
    <cacheHierarchy uniqueName="[Tab_concat].[Annee]" caption="Annee" attribute="1" defaultMemberUniqueName="[Tab_concat].[Annee].[All]" allUniqueName="[Tab_concat].[Annee].[All]" dimensionUniqueName="[Tab_concat]" displayFolder="" count="2" memberValueDatatype="20" unbalanced="0">
      <fieldsUsage count="2">
        <fieldUsage x="-1"/>
        <fieldUsage x="1"/>
      </fieldsUsage>
    </cacheHierarchy>
    <cacheHierarchy uniqueName="[Tab_concat].[Mois]" caption="Mois" attribute="1" defaultMemberUniqueName="[Tab_concat].[Mois].[All]" allUniqueName="[Tab_concat].[Mois].[All]" dimensionUniqueName="[Tab_concat]" displayFolder="" count="2" memberValueDatatype="20" unbalanced="0">
      <fieldsUsage count="2">
        <fieldUsage x="-1"/>
        <fieldUsage x="0"/>
      </fieldsUsage>
    </cacheHierarchy>
    <cacheHierarchy uniqueName="[Tab_concat].[Cout_unitaire]" caption="Cout_unitaire" attribute="1" defaultMemberUniqueName="[Tab_concat].[Cout_unitaire].[All]" allUniqueName="[Tab_concat].[Cout_unitaire].[All]" dimensionUniqueName="[Tab_concat]" displayFolder="" count="0" memberValueDatatype="5" unbalanced="0"/>
    <cacheHierarchy uniqueName="[Tab_concat].[Dates (année)]" caption="Dates (année)" attribute="1" defaultMemberUniqueName="[Tab_concat].[Dates (année)].[All]" allUniqueName="[Tab_concat].[Dates (année)].[All]" dimensionUniqueName="[Tab_concat]" displayFolder="" count="0" memberValueDatatype="130" unbalanced="0"/>
    <cacheHierarchy uniqueName="[Tab_concat].[Dates (trimestre)]" caption="Dates (trimestre)" attribute="1" defaultMemberUniqueName="[Tab_concat].[Dates (trimestre)].[All]" allUniqueName="[Tab_concat].[Dates (trimestre)].[All]" dimensionUniqueName="[Tab_concat]" displayFolder="" count="0" memberValueDatatype="130" unbalanced="0"/>
    <cacheHierarchy uniqueName="[Tab_concat].[Dates (mois)]" caption="Dates (mois)" attribute="1" defaultMemberUniqueName="[Tab_concat].[Dates (mois)].[All]" allUniqueName="[Tab_concat].[Dates (mois)].[All]" dimensionUniqueName="[Tab_concat]" displayFolder="" count="2" memberValueDatatype="130" unbalanced="0">
      <fieldsUsage count="2">
        <fieldUsage x="-1"/>
        <fieldUsage x="5"/>
      </fieldsUsage>
    </cacheHierarchy>
    <cacheHierarchy uniqueName="[Tab_concat].[DJU_quot_chauffagiste]" caption="DJU_quot_chauffagiste" attribute="1" defaultMemberUniqueName="[Tab_concat].[DJU_quot_chauffagiste].[All]" allUniqueName="[Tab_concat].[DJU_quot_chauffagiste].[All]" dimensionUniqueName="[Tab_concat]" displayFolder="" count="0" memberValueDatatype="5" unbalanced="0"/>
    <cacheHierarchy uniqueName="[Tab_concat].[DJU_quot_climaticien]" caption="DJU_quot_climaticien" attribute="1" defaultMemberUniqueName="[Tab_concat].[DJU_quot_climaticien].[All]" allUniqueName="[Tab_concat].[DJU_quot_climaticien].[All]" dimensionUniqueName="[Tab_concat]" displayFolder="" count="0" memberValueDatatype="5" unbalanced="0"/>
    <cacheHierarchy uniqueName="[Tableau16].[Compteur/Livraison]" caption="Compteur/Livraison" attribute="1" defaultMemberUniqueName="[Tableau16].[Compteur/Livraison].[All]" allUniqueName="[Tableau16].[Compteur/Livraison].[All]" dimensionUniqueName="[Tableau16]" displayFolder="" count="0" memberValueDatatype="130" unbalanced="0"/>
    <cacheHierarchy uniqueName="[Tableau16].[Type]" caption="Type" attribute="1" defaultMemberUniqueName="[Tableau16].[Type].[All]" allUniqueName="[Tableau16].[Type].[All]" dimensionUniqueName="[Tableau16]" displayFolder="" count="0" memberValueDatatype="130" unbalanced="0"/>
    <cacheHierarchy uniqueName="[Tableau16].[Source]" caption="Source" attribute="1" defaultMemberUniqueName="[Tableau16].[Source].[All]" allUniqueName="[Tableau16].[Source].[All]" dimensionUniqueName="[Tableau16]" displayFolder="" count="0" memberValueDatatype="130" unbalanced="0"/>
    <cacheHierarchy uniqueName="[Tableau16].[Detail usage]" caption="Detail usage" attribute="1" defaultMemberUniqueName="[Tableau16].[Detail usage].[All]" allUniqueName="[Tableau16].[Detail usage].[All]" dimensionUniqueName="[Tableau16]" displayFolder="" count="0" memberValueDatatype="130" unbalanced="0"/>
    <cacheHierarchy uniqueName="[Tableau16].[Combustible]" caption="Combustible" attribute="1" defaultMemberUniqueName="[Tableau16].[Combustible].[All]" allUniqueName="[Tableau16].[Combustible].[All]" dimensionUniqueName="[Tableau16]" displayFolder="" count="0" memberValueDatatype="130" unbalanced="0"/>
    <cacheHierarchy uniqueName="[Tableau16].[PCI]" caption="PCI" attribute="1" defaultMemberUniqueName="[Tableau16].[PCI].[All]" allUniqueName="[Tableau16].[PCI].[All]" dimensionUniqueName="[Tableau16]" displayFolder="" count="0" memberValueDatatype="5" unbalanced="0"/>
    <cacheHierarchy uniqueName="[Tableau16].[PCI_DEET]" caption="PCI_DEET" attribute="1" defaultMemberUniqueName="[Tableau16].[PCI_DEET].[All]" allUniqueName="[Tableau16].[PCI_DEET].[All]" dimensionUniqueName="[Tableau16]" displayFolder="" count="0" memberValueDatatype="5" unbalanced="0"/>
    <cacheHierarchy uniqueName="[Tableau16].[Nom]" caption="Nom" attribute="1" defaultMemberUniqueName="[Tableau16].[Nom].[All]" allUniqueName="[Tableau16].[Nom].[All]" dimensionUniqueName="[Tableau16]" displayFolder="" count="0" memberValueDatatype="130" unbalanced="0"/>
    <cacheHierarchy uniqueName="[Tableau16].[PCI_EP]" caption="PCI_EP" attribute="1" defaultMemberUniqueName="[Tableau16].[PCI_EP].[All]" allUniqueName="[Tableau16].[PCI_EP].[All]" dimensionUniqueName="[Tableau16]" displayFolder="" count="0" memberValueDatatype="5" unbalanced="0"/>
    <cacheHierarchy uniqueName="[Tab_concat].[Dates (index des mois)]" caption="Dates (index des mois)" attribute="1" defaultMemberUniqueName="[Tab_concat].[Dates (index des mois)].[All]" allUniqueName="[Tab_concat].[Dates (index des mois)].[All]" dimensionUniqueName="[Tab_concat]" displayFolder="" count="0" memberValueDatatype="20" unbalanced="0" hidden="1"/>
    <cacheHierarchy uniqueName="[Measures].[Conso_DJU]" caption="Conso_DJU" measure="1" displayFolder="" measureGroup="Tab_concat" count="0"/>
    <cacheHierarchy uniqueName="[Measures].[__XL_Count Tab_concat]" caption="__XL_Count Tab_concat" measure="1" displayFolder="" measureGroup="Tab_concat" count="0" hidden="1"/>
    <cacheHierarchy uniqueName="[Measures].[__XL_Count Tableau16]" caption="__XL_Count Tableau16" measure="1" displayFolder="" measureGroup="Tableau16" count="0" hidden="1"/>
    <cacheHierarchy uniqueName="[Measures].[__Aucune mesure définie]" caption="__Aucune mesure définie" measure="1" displayFolder="" count="0" hidden="1"/>
    <cacheHierarchy uniqueName="[Measures].[Somme de Conso_kWh_PCI]" caption="Somme de Conso_kWh_PCI" measure="1" displayFolder="" measureGroup="Tab_concat" count="0" hidden="1">
      <extLst>
        <ext xmlns:x15="http://schemas.microsoft.com/office/spreadsheetml/2010/11/main" uri="{B97F6D7D-B522-45F9-BDA1-12C45D357490}">
          <x15:cacheHierarchy aggregatedColumn="9"/>
        </ext>
      </extLst>
    </cacheHierarchy>
    <cacheHierarchy uniqueName="[Measures].[Somme de Conso_kWh_DEET]" caption="Somme de Conso_kWh_DEET" measure="1" displayFolder="" measureGroup="Tab_concat" count="0" hidden="1">
      <extLst>
        <ext xmlns:x15="http://schemas.microsoft.com/office/spreadsheetml/2010/11/main" uri="{B97F6D7D-B522-45F9-BDA1-12C45D357490}">
          <x15:cacheHierarchy aggregatedColumn="10"/>
        </ext>
      </extLst>
    </cacheHierarchy>
    <cacheHierarchy uniqueName="[Measures].[Somme de Cout_jour]" caption="Somme de Cout_jour" measure="1" displayFolder="" measureGroup="Tab_concat" count="0" hidden="1">
      <extLst>
        <ext xmlns:x15="http://schemas.microsoft.com/office/spreadsheetml/2010/11/main" uri="{B97F6D7D-B522-45F9-BDA1-12C45D357490}">
          <x15:cacheHierarchy aggregatedColumn="3"/>
        </ext>
      </extLst>
    </cacheHierarchy>
    <cacheHierarchy uniqueName="[Measures].[Somme de Conso_kWhEP]" caption="Somme de Conso_kWhEP" measure="1" displayFolder="" measureGroup="Tab_concat" count="0" hidden="1">
      <extLst>
        <ext xmlns:x15="http://schemas.microsoft.com/office/spreadsheetml/2010/11/main" uri="{B97F6D7D-B522-45F9-BDA1-12C45D357490}">
          <x15:cacheHierarchy aggregatedColumn="13"/>
        </ext>
      </extLst>
    </cacheHierarchy>
    <cacheHierarchy uniqueName="[Measures].[Somme de Demande_jour]" caption="Somme de Demande_jour" measure="1" displayFolder="" measureGroup="Tab_concat" count="0" hidden="1">
      <extLst>
        <ext xmlns:x15="http://schemas.microsoft.com/office/spreadsheetml/2010/11/main" uri="{B97F6D7D-B522-45F9-BDA1-12C45D357490}">
          <x15:cacheHierarchy aggregatedColumn="2"/>
        </ext>
      </extLst>
    </cacheHierarchy>
    <cacheHierarchy uniqueName="[Measures].[Moyenne de Conso_kWh_PCI]" caption="Moyenne de Conso_kWh_PCI" measure="1" displayFolder="" measureGroup="Tab_concat" count="0" oneField="1" hidden="1">
      <fieldsUsage count="1">
        <fieldUsage x="3"/>
      </fieldsUsage>
      <extLst>
        <ext xmlns:x15="http://schemas.microsoft.com/office/spreadsheetml/2010/11/main" uri="{B97F6D7D-B522-45F9-BDA1-12C45D357490}">
          <x15:cacheHierarchy aggregatedColumn="9"/>
        </ext>
      </extLst>
    </cacheHierarchy>
    <cacheHierarchy uniqueName="[Measures].[Moyenne de Conso_kWh_DEET]" caption="Moyenne de Conso_kWh_DEET" measure="1" displayFolder="" measureGroup="Tab_concat" count="0" oneField="1" hidden="1">
      <fieldsUsage count="1">
        <fieldUsage x="4"/>
      </fieldsUsage>
      <extLst>
        <ext xmlns:x15="http://schemas.microsoft.com/office/spreadsheetml/2010/11/main" uri="{B97F6D7D-B522-45F9-BDA1-12C45D357490}">
          <x15:cacheHierarchy aggregatedColumn="10"/>
        </ext>
      </extLst>
    </cacheHierarchy>
    <cacheHierarchy uniqueName="[Measures].[Somme de Cout_unitaire]" caption="Somme de Cout_unitaire" measure="1" displayFolder="" measureGroup="Tab_concat" count="0" hidden="1">
      <extLst>
        <ext xmlns:x15="http://schemas.microsoft.com/office/spreadsheetml/2010/11/main" uri="{B97F6D7D-B522-45F9-BDA1-12C45D357490}">
          <x15:cacheHierarchy aggregatedColumn="16"/>
        </ext>
      </extLst>
    </cacheHierarchy>
    <cacheHierarchy uniqueName="[Measures].[Somme de DJU_quot_chauffagiste]" caption="Somme de DJU_quot_chauffagiste" measure="1" displayFolder="" measureGroup="Tab_concat" count="0" hidden="1">
      <extLst>
        <ext xmlns:x15="http://schemas.microsoft.com/office/spreadsheetml/2010/11/main" uri="{B97F6D7D-B522-45F9-BDA1-12C45D357490}">
          <x15:cacheHierarchy aggregatedColumn="20"/>
        </ext>
      </extLst>
    </cacheHierarchy>
    <cacheHierarchy uniqueName="[Measures].[Moyenne de Cout_unitaire]" caption="Moyenne de Cout_unitaire" measure="1" displayFolder="" measureGroup="Tab_concat" count="0" hidden="1">
      <extLst>
        <ext xmlns:x15="http://schemas.microsoft.com/office/spreadsheetml/2010/11/main" uri="{B97F6D7D-B522-45F9-BDA1-12C45D357490}">
          <x15:cacheHierarchy aggregatedColumn="16"/>
        </ext>
      </extLst>
    </cacheHierarchy>
  </cacheHierarchies>
  <kpis count="0"/>
  <dimensions count="3">
    <dimension measure="1" name="Measures" uniqueName="[Measures]" caption="Measures"/>
    <dimension name="Tab_concat" uniqueName="[Tab_concat]" caption="Tab_concat"/>
    <dimension name="Tableau16" uniqueName="[Tableau16]" caption="Tableau16"/>
  </dimensions>
  <measureGroups count="2">
    <measureGroup name="Tab_concat" caption="Tab_concat"/>
    <measureGroup name="Tableau16" caption="Tableau16"/>
  </measureGroups>
  <maps count="3">
    <map measureGroup="0" dimension="1"/>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71">
  <r>
    <s v="Le Mans"/>
    <x v="0"/>
    <x v="0"/>
    <x v="0"/>
    <n v="382"/>
    <n v="0"/>
  </r>
  <r>
    <s v="Le Mans"/>
    <x v="0"/>
    <x v="1"/>
    <x v="1"/>
    <n v="322"/>
    <n v="0"/>
  </r>
  <r>
    <s v="Le Mans"/>
    <x v="0"/>
    <x v="2"/>
    <x v="2"/>
    <n v="259"/>
    <n v="0"/>
  </r>
  <r>
    <s v="Le Mans"/>
    <x v="0"/>
    <x v="3"/>
    <x v="3"/>
    <n v="246"/>
    <n v="1"/>
  </r>
  <r>
    <s v="Le Mans"/>
    <x v="0"/>
    <x v="4"/>
    <x v="4"/>
    <n v="106"/>
    <n v="37"/>
  </r>
  <r>
    <s v="Le Mans"/>
    <x v="0"/>
    <x v="5"/>
    <x v="5"/>
    <n v="70"/>
    <n v="60"/>
  </r>
  <r>
    <s v="Le Mans"/>
    <x v="0"/>
    <x v="6"/>
    <x v="6"/>
    <n v="33"/>
    <n v="92"/>
  </r>
  <r>
    <s v="Le Mans"/>
    <x v="0"/>
    <x v="7"/>
    <x v="7"/>
    <n v="30"/>
    <n v="99"/>
  </r>
  <r>
    <s v="Le Mans"/>
    <x v="0"/>
    <x v="8"/>
    <x v="8"/>
    <n v="115"/>
    <n v="11"/>
  </r>
  <r>
    <s v="Le Mans"/>
    <x v="0"/>
    <x v="9"/>
    <x v="9"/>
    <n v="87"/>
    <n v="15"/>
  </r>
  <r>
    <s v="Le Mans"/>
    <x v="0"/>
    <x v="10"/>
    <x v="10"/>
    <n v="330"/>
    <n v="0"/>
  </r>
  <r>
    <s v="Le Mans"/>
    <x v="0"/>
    <x v="11"/>
    <x v="11"/>
    <n v="443"/>
    <n v="0"/>
  </r>
  <r>
    <s v="Le Mans"/>
    <x v="1"/>
    <x v="0"/>
    <x v="0"/>
    <n v="342"/>
    <n v="0"/>
  </r>
  <r>
    <s v="Le Mans"/>
    <x v="1"/>
    <x v="1"/>
    <x v="1"/>
    <n v="262"/>
    <n v="0"/>
  </r>
  <r>
    <s v="Le Mans"/>
    <x v="1"/>
    <x v="2"/>
    <x v="2"/>
    <n v="281"/>
    <n v="0"/>
  </r>
  <r>
    <s v="Le Mans"/>
    <x v="1"/>
    <x v="3"/>
    <x v="3"/>
    <n v="202"/>
    <n v="5"/>
  </r>
  <r>
    <s v="Le Mans"/>
    <x v="1"/>
    <x v="4"/>
    <x v="4"/>
    <n v="147"/>
    <n v="14"/>
  </r>
  <r>
    <s v="Le Mans"/>
    <x v="1"/>
    <x v="5"/>
    <x v="5"/>
    <n v="59"/>
    <n v="55"/>
  </r>
  <r>
    <s v="Le Mans"/>
    <x v="1"/>
    <x v="6"/>
    <x v="6"/>
    <n v="50"/>
    <n v="67"/>
  </r>
  <r>
    <s v="Le Mans"/>
    <x v="1"/>
    <x v="7"/>
    <x v="7"/>
    <n v="39"/>
    <n v="63"/>
  </r>
  <r>
    <s v="Le Mans"/>
    <x v="1"/>
    <x v="8"/>
    <x v="8"/>
    <n v="92"/>
    <n v="27"/>
  </r>
  <r>
    <s v="Le Mans"/>
    <x v="1"/>
    <x v="9"/>
    <x v="9"/>
    <n v="158"/>
    <n v="3"/>
  </r>
  <r>
    <s v="Le Mans"/>
    <x v="1"/>
    <x v="10"/>
    <x v="10"/>
    <n v="249"/>
    <n v="0"/>
  </r>
  <r>
    <s v="Le Mans"/>
    <x v="1"/>
    <x v="11"/>
    <x v="11"/>
    <n v="314"/>
    <n v="0"/>
  </r>
  <r>
    <s v="Le Mans"/>
    <x v="2"/>
    <x v="0"/>
    <x v="0"/>
    <n v="451"/>
    <n v="0"/>
  </r>
  <r>
    <s v="Le Mans"/>
    <x v="2"/>
    <x v="1"/>
    <x v="1"/>
    <n v="368"/>
    <n v="0"/>
  </r>
  <r>
    <s v="Le Mans"/>
    <x v="2"/>
    <x v="2"/>
    <x v="2"/>
    <n v="234"/>
    <n v="4"/>
  </r>
  <r>
    <s v="Le Mans"/>
    <x v="2"/>
    <x v="3"/>
    <x v="3"/>
    <n v="198"/>
    <n v="13"/>
  </r>
  <r>
    <s v="Le Mans"/>
    <x v="2"/>
    <x v="4"/>
    <x v="4"/>
    <n v="127"/>
    <n v="24"/>
  </r>
  <r>
    <s v="Le Mans"/>
    <x v="2"/>
    <x v="5"/>
    <x v="5"/>
    <n v="18"/>
    <n v="112"/>
  </r>
  <r>
    <s v="Le Mans"/>
    <x v="2"/>
    <x v="6"/>
    <x v="6"/>
    <n v="22"/>
    <n v="102"/>
  </r>
  <r>
    <s v="Le Mans"/>
    <x v="2"/>
    <x v="7"/>
    <x v="7"/>
    <n v="17"/>
    <n v="205"/>
  </r>
  <r>
    <s v="Le Mans"/>
    <x v="2"/>
    <x v="8"/>
    <x v="8"/>
    <n v="78"/>
    <n v="52"/>
  </r>
  <r>
    <s v="Le Mans"/>
    <x v="2"/>
    <x v="9"/>
    <x v="9"/>
    <n v="234"/>
    <n v="5"/>
  </r>
  <r>
    <s v="Le Mans"/>
    <x v="2"/>
    <x v="10"/>
    <x v="10"/>
    <n v="257"/>
    <n v="0"/>
  </r>
  <r>
    <s v="Le Mans"/>
    <x v="2"/>
    <x v="11"/>
    <x v="11"/>
    <n v="380"/>
    <n v="0"/>
  </r>
  <r>
    <s v="Le Mans"/>
    <x v="3"/>
    <x v="0"/>
    <x v="0"/>
    <n v="372"/>
    <n v="0"/>
  </r>
  <r>
    <s v="Le Mans"/>
    <x v="3"/>
    <x v="1"/>
    <x v="1"/>
    <n v="346"/>
    <n v="0"/>
  </r>
  <r>
    <s v="Le Mans"/>
    <x v="3"/>
    <x v="2"/>
    <x v="2"/>
    <n v="335"/>
    <n v="2"/>
  </r>
  <r>
    <s v="Le Mans"/>
    <x v="3"/>
    <x v="3"/>
    <x v="3"/>
    <n v="210"/>
    <n v="3"/>
  </r>
  <r>
    <s v="Le Mans"/>
    <x v="3"/>
    <x v="4"/>
    <x v="4"/>
    <n v="141"/>
    <n v="23"/>
  </r>
  <r>
    <s v="Le Mans"/>
    <x v="3"/>
    <x v="5"/>
    <x v="5"/>
    <n v="53"/>
    <n v="71"/>
  </r>
  <r>
    <s v="Le Mans"/>
    <x v="3"/>
    <x v="6"/>
    <x v="6"/>
    <n v="41"/>
    <n v="80"/>
  </r>
  <r>
    <s v="Le Mans"/>
    <x v="3"/>
    <x v="7"/>
    <x v="7"/>
    <n v="25"/>
    <n v="96"/>
  </r>
  <r>
    <s v="Le Mans"/>
    <x v="3"/>
    <x v="8"/>
    <x v="8"/>
    <n v="71"/>
    <n v="60"/>
  </r>
  <r>
    <s v="Le Mans"/>
    <x v="3"/>
    <x v="9"/>
    <x v="9"/>
    <n v="156"/>
    <n v="6"/>
  </r>
  <r>
    <s v="Le Mans"/>
    <x v="3"/>
    <x v="10"/>
    <x v="10"/>
    <n v="298"/>
    <n v="0"/>
  </r>
  <r>
    <s v="Le Mans"/>
    <x v="3"/>
    <x v="11"/>
    <x v="11"/>
    <n v="424"/>
    <n v="0"/>
  </r>
  <r>
    <s v="Le Mans"/>
    <x v="4"/>
    <x v="0"/>
    <x v="0"/>
    <n v="363"/>
    <n v="0"/>
  </r>
  <r>
    <s v="Le Mans"/>
    <x v="4"/>
    <x v="1"/>
    <x v="1"/>
    <n v="386"/>
    <n v="0"/>
  </r>
  <r>
    <s v="Le Mans"/>
    <x v="4"/>
    <x v="2"/>
    <x v="2"/>
    <n v="312"/>
    <n v="4"/>
  </r>
  <r>
    <s v="Le Mans"/>
    <x v="4"/>
    <x v="3"/>
    <x v="3"/>
    <n v="206"/>
    <n v="5"/>
  </r>
  <r>
    <s v="Le Mans"/>
    <x v="4"/>
    <x v="4"/>
    <x v="4"/>
    <n v="129"/>
    <n v="25"/>
  </r>
  <r>
    <s v="Le Mans"/>
    <x v="4"/>
    <x v="5"/>
    <x v="5"/>
    <n v="47"/>
    <n v="111"/>
  </r>
  <r>
    <s v="Le Mans"/>
    <x v="4"/>
    <x v="6"/>
    <x v="6"/>
    <n v="23"/>
    <n v="102"/>
  </r>
  <r>
    <s v="Le Mans"/>
    <x v="4"/>
    <x v="7"/>
    <x v="7"/>
    <n v="52"/>
    <n v="81"/>
  </r>
  <r>
    <s v="Le Mans"/>
    <x v="4"/>
    <x v="8"/>
    <x v="8"/>
    <n v="69"/>
    <n v="61"/>
  </r>
  <r>
    <s v="Le Mans"/>
    <x v="4"/>
    <x v="9"/>
    <x v="9"/>
    <n v="74"/>
    <n v="25"/>
  </r>
  <r>
    <s v="Le Mans"/>
    <x v="4"/>
    <x v="10"/>
    <x v="10"/>
    <n v="327"/>
    <n v="0"/>
  </r>
  <r>
    <s v="Le Mans"/>
    <x v="4"/>
    <x v="11"/>
    <x v="11"/>
    <n v="440"/>
    <n v="0"/>
  </r>
  <r>
    <s v="Le Mans"/>
    <x v="5"/>
    <x v="0"/>
    <x v="0"/>
    <n v="432"/>
    <n v="0"/>
  </r>
  <r>
    <s v="Le Mans"/>
    <x v="5"/>
    <x v="1"/>
    <x v="1"/>
    <n v="396"/>
    <n v="0"/>
  </r>
  <r>
    <s v="Le Mans"/>
    <x v="5"/>
    <x v="2"/>
    <x v="2"/>
    <n v="331"/>
    <n v="1"/>
  </r>
  <r>
    <s v="Le Mans"/>
    <x v="5"/>
    <x v="3"/>
    <x v="3"/>
    <n v="217"/>
    <n v="5"/>
  </r>
  <r>
    <s v="Le Mans"/>
    <x v="5"/>
    <x v="4"/>
    <x v="4"/>
    <n v="114"/>
    <n v="20"/>
  </r>
  <r>
    <s v="Le Mans"/>
    <x v="5"/>
    <x v="5"/>
    <x v="5"/>
    <n v="42"/>
    <n v="93"/>
  </r>
  <r>
    <s v="Le Mans"/>
    <x v="5"/>
    <x v="6"/>
    <x v="6"/>
    <n v="5"/>
    <n v="193"/>
  </r>
  <r>
    <s v="Le Mans"/>
    <x v="5"/>
    <x v="7"/>
    <x v="7"/>
    <n v="51"/>
    <n v="53"/>
  </r>
  <r>
    <s v="Le Mans"/>
    <x v="5"/>
    <x v="8"/>
    <x v="8"/>
    <n v="33"/>
    <n v="81"/>
  </r>
  <r>
    <s v="Le Mans"/>
    <x v="5"/>
    <x v="9"/>
    <x v="9"/>
    <n v="95"/>
    <n v="8"/>
  </r>
  <r>
    <s v="Le Mans"/>
    <x v="5"/>
    <x v="10"/>
    <x v="10"/>
    <n v="252"/>
    <n v="0"/>
  </r>
  <r>
    <s v="Le Mans"/>
    <x v="5"/>
    <x v="11"/>
    <x v="11"/>
    <n v="387"/>
    <n v="0"/>
  </r>
  <r>
    <s v="Le Mans"/>
    <x v="6"/>
    <x v="0"/>
    <x v="0"/>
    <n v="320"/>
    <n v="0"/>
  </r>
  <r>
    <s v="Le Mans"/>
    <x v="6"/>
    <x v="1"/>
    <x v="1"/>
    <n v="263"/>
    <n v="0"/>
  </r>
  <r>
    <s v="Le Mans"/>
    <x v="6"/>
    <x v="2"/>
    <x v="2"/>
    <n v="309"/>
    <n v="0"/>
  </r>
  <r>
    <s v="Le Mans"/>
    <x v="6"/>
    <x v="3"/>
    <x v="3"/>
    <n v="123"/>
    <n v="32"/>
  </r>
  <r>
    <s v="Le Mans"/>
    <x v="6"/>
    <x v="4"/>
    <x v="4"/>
    <n v="94"/>
    <n v="21"/>
  </r>
  <r>
    <s v="Le Mans"/>
    <x v="6"/>
    <x v="5"/>
    <x v="5"/>
    <n v="47"/>
    <n v="46"/>
  </r>
  <r>
    <s v="Le Mans"/>
    <x v="6"/>
    <x v="6"/>
    <x v="6"/>
    <n v="42"/>
    <n v="51"/>
  </r>
  <r>
    <s v="Le Mans"/>
    <x v="6"/>
    <x v="7"/>
    <x v="7"/>
    <n v="47"/>
    <n v="48"/>
  </r>
  <r>
    <s v="Le Mans"/>
    <x v="6"/>
    <x v="8"/>
    <x v="8"/>
    <n v="109"/>
    <n v="24"/>
  </r>
  <r>
    <s v="Le Mans"/>
    <x v="6"/>
    <x v="9"/>
    <x v="9"/>
    <n v="188"/>
    <n v="7"/>
  </r>
  <r>
    <s v="Le Mans"/>
    <x v="6"/>
    <x v="10"/>
    <x v="10"/>
    <n v="316"/>
    <n v="0"/>
  </r>
  <r>
    <s v="Le Mans"/>
    <x v="6"/>
    <x v="11"/>
    <x v="11"/>
    <n v="403"/>
    <n v="0"/>
  </r>
  <r>
    <s v="Le Mans"/>
    <x v="7"/>
    <x v="0"/>
    <x v="0"/>
    <n v="337"/>
    <n v="0"/>
  </r>
  <r>
    <s v="Le Mans"/>
    <x v="7"/>
    <x v="1"/>
    <x v="1"/>
    <n v="302"/>
    <n v="0"/>
  </r>
  <r>
    <s v="Le Mans"/>
    <x v="7"/>
    <x v="2"/>
    <x v="2"/>
    <n v="305"/>
    <n v="0"/>
  </r>
  <r>
    <s v="Le Mans"/>
    <x v="7"/>
    <x v="3"/>
    <x v="3"/>
    <n v="239"/>
    <n v="3"/>
  </r>
  <r>
    <s v="Le Mans"/>
    <x v="7"/>
    <x v="4"/>
    <x v="4"/>
    <n v="84"/>
    <n v="37"/>
  </r>
  <r>
    <s v="Le Mans"/>
    <x v="7"/>
    <x v="5"/>
    <x v="5"/>
    <n v="57"/>
    <n v="55"/>
  </r>
  <r>
    <s v="Le Mans"/>
    <x v="7"/>
    <x v="6"/>
    <x v="6"/>
    <n v="40"/>
    <n v="82"/>
  </r>
  <r>
    <s v="Le Mans"/>
    <x v="7"/>
    <x v="7"/>
    <x v="7"/>
    <n v="41"/>
    <n v="64"/>
  </r>
  <r>
    <s v="Le Mans"/>
    <x v="7"/>
    <x v="8"/>
    <x v="8"/>
    <n v="107"/>
    <n v="16"/>
  </r>
  <r>
    <s v="Le Mans"/>
    <x v="7"/>
    <x v="9"/>
    <x v="9"/>
    <n v="211"/>
    <n v="5"/>
  </r>
  <r>
    <s v="Le Mans"/>
    <x v="7"/>
    <x v="10"/>
    <x v="10"/>
    <n v="284"/>
    <n v="0"/>
  </r>
  <r>
    <s v="Le Mans"/>
    <x v="7"/>
    <x v="11"/>
    <x v="11"/>
    <n v="429"/>
    <n v="0"/>
  </r>
  <r>
    <s v="Le Mans"/>
    <x v="8"/>
    <x v="0"/>
    <x v="0"/>
    <n v="492"/>
    <n v="0"/>
  </r>
  <r>
    <s v="Le Mans"/>
    <x v="8"/>
    <x v="1"/>
    <x v="1"/>
    <n v="371"/>
    <n v="0"/>
  </r>
  <r>
    <s v="Le Mans"/>
    <x v="8"/>
    <x v="2"/>
    <x v="2"/>
    <n v="310"/>
    <n v="0"/>
  </r>
  <r>
    <s v="Le Mans"/>
    <x v="8"/>
    <x v="3"/>
    <x v="3"/>
    <n v="184"/>
    <n v="3"/>
  </r>
  <r>
    <s v="Le Mans"/>
    <x v="8"/>
    <x v="4"/>
    <x v="4"/>
    <n v="106"/>
    <n v="26"/>
  </r>
  <r>
    <s v="Le Mans"/>
    <x v="8"/>
    <x v="5"/>
    <x v="5"/>
    <n v="59"/>
    <n v="65"/>
  </r>
  <r>
    <s v="Le Mans"/>
    <x v="8"/>
    <x v="6"/>
    <x v="6"/>
    <n v="35"/>
    <n v="89"/>
  </r>
  <r>
    <s v="Le Mans"/>
    <x v="8"/>
    <x v="7"/>
    <x v="7"/>
    <n v="27"/>
    <n v="118"/>
  </r>
  <r>
    <s v="Le Mans"/>
    <x v="8"/>
    <x v="8"/>
    <x v="8"/>
    <n v="64"/>
    <n v="46"/>
  </r>
  <r>
    <s v="Le Mans"/>
    <x v="8"/>
    <x v="9"/>
    <x v="9"/>
    <n v="164"/>
    <n v="12"/>
  </r>
  <r>
    <s v="Le Mans"/>
    <x v="8"/>
    <x v="10"/>
    <x v="10"/>
    <n v="222"/>
    <n v="0"/>
  </r>
  <r>
    <s v="Le Mans"/>
    <x v="8"/>
    <x v="11"/>
    <x v="11"/>
    <n v="414"/>
    <n v="0"/>
  </r>
  <r>
    <s v="Le Mans"/>
    <x v="9"/>
    <x v="0"/>
    <x v="0"/>
    <n v="501"/>
    <n v="0"/>
  </r>
  <r>
    <s v="Le Mans"/>
    <x v="9"/>
    <x v="1"/>
    <x v="1"/>
    <n v="370"/>
    <n v="0"/>
  </r>
  <r>
    <s v="Le Mans"/>
    <x v="9"/>
    <x v="2"/>
    <x v="2"/>
    <n v="312"/>
    <n v="1"/>
  </r>
  <r>
    <s v="Le Mans"/>
    <x v="9"/>
    <x v="3"/>
    <x v="3"/>
    <n v="199"/>
    <n v="11"/>
  </r>
  <r>
    <s v="Le Mans"/>
    <x v="9"/>
    <x v="4"/>
    <x v="4"/>
    <n v="155"/>
    <n v="22"/>
  </r>
  <r>
    <s v="Le Mans"/>
    <x v="9"/>
    <x v="5"/>
    <x v="5"/>
    <n v="46"/>
    <n v="66"/>
  </r>
  <r>
    <s v="Le Mans"/>
    <x v="9"/>
    <x v="6"/>
    <x v="6"/>
    <n v="22"/>
    <n v="129"/>
  </r>
  <r>
    <s v="Le Mans"/>
    <x v="9"/>
    <x v="7"/>
    <x v="7"/>
    <n v="41"/>
    <n v="73"/>
  </r>
  <r>
    <s v="Le Mans"/>
    <x v="9"/>
    <x v="8"/>
    <x v="8"/>
    <n v="95"/>
    <n v="38"/>
  </r>
  <r>
    <s v="Le Mans"/>
    <x v="9"/>
    <x v="9"/>
    <x v="9"/>
    <n v="190"/>
    <n v="10"/>
  </r>
  <r>
    <s v="Le Mans"/>
    <x v="9"/>
    <x v="10"/>
    <x v="10"/>
    <n v="320"/>
    <n v="0"/>
  </r>
  <r>
    <s v="Le Mans"/>
    <x v="9"/>
    <x v="11"/>
    <x v="11"/>
    <n v="500"/>
    <n v="0"/>
  </r>
  <r>
    <s v="Le Mans"/>
    <x v="10"/>
    <x v="0"/>
    <x v="0"/>
    <n v="392"/>
    <n v="0"/>
  </r>
  <r>
    <s v="Le Mans"/>
    <x v="10"/>
    <x v="1"/>
    <x v="1"/>
    <n v="298"/>
    <n v="0"/>
  </r>
  <r>
    <s v="Le Mans"/>
    <x v="10"/>
    <x v="2"/>
    <x v="2"/>
    <n v="265"/>
    <n v="2"/>
  </r>
  <r>
    <s v="Le Mans"/>
    <x v="10"/>
    <x v="3"/>
    <x v="3"/>
    <n v="136"/>
    <n v="29"/>
  </r>
  <r>
    <s v="Le Mans"/>
    <x v="10"/>
    <x v="4"/>
    <x v="4"/>
    <n v="92"/>
    <n v="38"/>
  </r>
  <r>
    <s v="Le Mans"/>
    <x v="10"/>
    <x v="5"/>
    <x v="5"/>
    <n v="56"/>
    <n v="63"/>
  </r>
  <r>
    <s v="Le Mans"/>
    <x v="10"/>
    <x v="6"/>
    <x v="6"/>
    <n v="51"/>
    <n v="54"/>
  </r>
  <r>
    <s v="Le Mans"/>
    <x v="10"/>
    <x v="7"/>
    <x v="7"/>
    <n v="35"/>
    <n v="81"/>
  </r>
  <r>
    <s v="Le Mans"/>
    <x v="10"/>
    <x v="8"/>
    <x v="8"/>
    <n v="53"/>
    <n v="57"/>
  </r>
  <r>
    <s v="Le Mans"/>
    <x v="10"/>
    <x v="9"/>
    <x v="9"/>
    <n v="145"/>
    <n v="17"/>
  </r>
  <r>
    <s v="Le Mans"/>
    <x v="10"/>
    <x v="10"/>
    <x v="10"/>
    <n v="204"/>
    <n v="0"/>
  </r>
  <r>
    <s v="Le Mans"/>
    <x v="10"/>
    <x v="11"/>
    <x v="11"/>
    <n v="307"/>
    <n v="0"/>
  </r>
  <r>
    <s v="Le Mans"/>
    <x v="11"/>
    <x v="0"/>
    <x v="0"/>
    <n v="347"/>
    <n v="0"/>
  </r>
  <r>
    <s v="Le Mans"/>
    <x v="11"/>
    <x v="1"/>
    <x v="1"/>
    <n v="469"/>
    <n v="0"/>
  </r>
  <r>
    <s v="Le Mans"/>
    <x v="11"/>
    <x v="2"/>
    <x v="2"/>
    <n v="247"/>
    <n v="8"/>
  </r>
  <r>
    <s v="Le Mans"/>
    <x v="11"/>
    <x v="3"/>
    <x v="3"/>
    <n v="253"/>
    <n v="0"/>
  </r>
  <r>
    <s v="Le Mans"/>
    <x v="11"/>
    <x v="4"/>
    <x v="4"/>
    <n v="114"/>
    <n v="35"/>
  </r>
  <r>
    <s v="Le Mans"/>
    <x v="11"/>
    <x v="5"/>
    <x v="5"/>
    <n v="59"/>
    <n v="40"/>
  </r>
  <r>
    <s v="Le Mans"/>
    <x v="11"/>
    <x v="6"/>
    <x v="6"/>
    <n v="49"/>
    <n v="62"/>
  </r>
  <r>
    <s v="Le Mans"/>
    <x v="11"/>
    <x v="7"/>
    <x v="7"/>
    <n v="28"/>
    <n v="105"/>
  </r>
  <r>
    <s v="Le Mans"/>
    <x v="11"/>
    <x v="8"/>
    <x v="8"/>
    <n v="102"/>
    <n v="35"/>
  </r>
  <r>
    <s v="Le Mans"/>
    <x v="11"/>
    <x v="9"/>
    <x v="9"/>
    <n v="161"/>
    <n v="4"/>
  </r>
  <r>
    <s v="Le Mans"/>
    <x v="11"/>
    <x v="10"/>
    <x v="10"/>
    <n v="297"/>
    <n v="0"/>
  </r>
  <r>
    <s v="Le Mans"/>
    <x v="11"/>
    <x v="11"/>
    <x v="11"/>
    <n v="333"/>
    <n v="0"/>
  </r>
  <r>
    <s v="Le Mans"/>
    <x v="12"/>
    <x v="0"/>
    <x v="0"/>
    <n v="409"/>
    <n v="0"/>
  </r>
  <r>
    <s v="Le Mans"/>
    <x v="12"/>
    <x v="1"/>
    <x v="1"/>
    <n v="388"/>
    <n v="0"/>
  </r>
  <r>
    <s v="Le Mans"/>
    <x v="12"/>
    <x v="2"/>
    <x v="2"/>
    <n v="359"/>
    <n v="0"/>
  </r>
  <r>
    <s v="Le Mans"/>
    <x v="12"/>
    <x v="3"/>
    <x v="3"/>
    <n v="247"/>
    <n v="8"/>
  </r>
  <r>
    <s v="Le Mans"/>
    <x v="12"/>
    <x v="4"/>
    <x v="4"/>
    <n v="175"/>
    <n v="4"/>
  </r>
  <r>
    <s v="Le Mans"/>
    <x v="12"/>
    <x v="5"/>
    <x v="5"/>
    <n v="68"/>
    <n v="38"/>
  </r>
  <r>
    <s v="Le Mans"/>
    <x v="12"/>
    <x v="6"/>
    <x v="6"/>
    <n v="13"/>
    <n v="152"/>
  </r>
  <r>
    <s v="Le Mans"/>
    <x v="12"/>
    <x v="7"/>
    <x v="7"/>
    <n v="38"/>
    <n v="97"/>
  </r>
  <r>
    <s v="Le Mans"/>
    <x v="12"/>
    <x v="8"/>
    <x v="8"/>
    <n v="69"/>
    <n v="44"/>
  </r>
  <r>
    <s v="Le Mans"/>
    <x v="12"/>
    <x v="9"/>
    <x v="9"/>
    <n v="122"/>
    <n v="11"/>
  </r>
  <r>
    <s v="Le Mans"/>
    <x v="12"/>
    <x v="10"/>
    <x v="10"/>
    <n v="308"/>
    <n v="0"/>
  </r>
  <r>
    <s v="Le Mans"/>
    <x v="12"/>
    <x v="11"/>
    <x v="11"/>
    <n v="380"/>
    <n v="0"/>
  </r>
  <r>
    <s v="Le Mans"/>
    <x v="13"/>
    <x v="0"/>
    <x v="0"/>
    <n v="320"/>
    <n v="0"/>
  </r>
  <r>
    <s v="Le Mans"/>
    <x v="13"/>
    <x v="1"/>
    <x v="1"/>
    <n v="280"/>
    <n v="0"/>
  </r>
  <r>
    <s v="Le Mans"/>
    <x v="13"/>
    <x v="2"/>
    <x v="2"/>
    <n v="264"/>
    <n v="3"/>
  </r>
  <r>
    <s v="Le Mans"/>
    <x v="13"/>
    <x v="3"/>
    <x v="3"/>
    <n v="174"/>
    <n v="4"/>
  </r>
  <r>
    <s v="Le Mans"/>
    <x v="13"/>
    <x v="4"/>
    <x v="4"/>
    <n v="133"/>
    <n v="11"/>
  </r>
  <r>
    <s v="Le Mans"/>
    <x v="13"/>
    <x v="5"/>
    <x v="5"/>
    <n v="48"/>
    <n v="62"/>
  </r>
  <r>
    <s v="Le Mans"/>
    <x v="13"/>
    <x v="6"/>
    <x v="6"/>
    <n v="22"/>
    <n v="106"/>
  </r>
  <r>
    <s v="Le Mans"/>
    <x v="13"/>
    <x v="7"/>
    <x v="7"/>
    <n v="52"/>
    <n v="48"/>
  </r>
  <r>
    <s v="Le Mans"/>
    <x v="13"/>
    <x v="8"/>
    <x v="8"/>
    <n v="54"/>
    <n v="64"/>
  </r>
  <r>
    <s v="Le Mans"/>
    <x v="13"/>
    <x v="9"/>
    <x v="9"/>
    <n v="124"/>
    <n v="17"/>
  </r>
  <r>
    <s v="Le Mans"/>
    <x v="13"/>
    <x v="10"/>
    <x v="10"/>
    <n v="219"/>
    <n v="0"/>
  </r>
  <r>
    <s v="Le Mans"/>
    <x v="13"/>
    <x v="11"/>
    <x v="11"/>
    <n v="374"/>
    <n v="0"/>
  </r>
  <r>
    <s v="Le Mans"/>
    <x v="14"/>
    <x v="0"/>
    <x v="0"/>
    <n v="391"/>
    <n v="0"/>
  </r>
  <r>
    <s v="Le Mans"/>
    <x v="14"/>
    <x v="1"/>
    <x v="1"/>
    <n v="366"/>
    <n v="0"/>
  </r>
  <r>
    <s v="Le Mans"/>
    <x v="14"/>
    <x v="2"/>
    <x v="2"/>
    <n v="300"/>
    <n v="0"/>
  </r>
  <r>
    <s v="Le Mans"/>
    <x v="14"/>
    <x v="3"/>
    <x v="3"/>
    <n v="166"/>
    <n v="17"/>
  </r>
  <r>
    <s v="Le Mans"/>
    <x v="14"/>
    <x v="4"/>
    <x v="4"/>
    <n v="120"/>
    <n v="16"/>
  </r>
  <r>
    <s v="Le Mans"/>
    <x v="14"/>
    <x v="5"/>
    <x v="5"/>
    <n v="52"/>
    <n v="76"/>
  </r>
  <r>
    <s v="Le Mans"/>
    <x v="14"/>
    <x v="6"/>
    <x v="6"/>
    <n v="29"/>
    <n v="127"/>
  </r>
  <r>
    <s v="Le Mans"/>
    <x v="14"/>
    <x v="7"/>
    <x v="7"/>
    <n v="32"/>
    <n v="115"/>
  </r>
  <r>
    <s v="Le Mans"/>
    <x v="14"/>
    <x v="8"/>
    <x v="8"/>
    <n v="97"/>
    <n v="17"/>
  </r>
  <r>
    <s v="Le Mans"/>
    <x v="14"/>
    <x v="9"/>
    <x v="9"/>
    <n v="181"/>
    <n v="3"/>
  </r>
  <r>
    <s v="Le Mans"/>
    <x v="14"/>
    <x v="10"/>
    <x v="10"/>
    <n v="191"/>
    <n v="3"/>
  </r>
  <r>
    <s v="Le Mans"/>
    <x v="14"/>
    <x v="11"/>
    <x v="11"/>
    <n v="258"/>
    <n v="0"/>
  </r>
  <r>
    <s v="Le Mans"/>
    <x v="15"/>
    <x v="0"/>
    <x v="0"/>
    <n v="348"/>
    <n v="0"/>
  </r>
  <r>
    <s v="Le Mans"/>
    <x v="15"/>
    <x v="1"/>
    <x v="1"/>
    <n v="319"/>
    <n v="0"/>
  </r>
  <r>
    <s v="Le Mans"/>
    <x v="15"/>
    <x v="2"/>
    <x v="2"/>
    <n v="328"/>
    <n v="0"/>
  </r>
  <r>
    <s v="Le Mans"/>
    <x v="15"/>
    <x v="3"/>
    <x v="3"/>
    <n v="252"/>
    <n v="2"/>
  </r>
  <r>
    <s v="Le Mans"/>
    <x v="15"/>
    <x v="4"/>
    <x v="4"/>
    <n v="126"/>
    <n v="19"/>
  </r>
  <r>
    <s v="Le Mans"/>
    <x v="15"/>
    <x v="5"/>
    <x v="5"/>
    <n v="48"/>
    <n v="42"/>
  </r>
  <r>
    <s v="Le Mans"/>
    <x v="15"/>
    <x v="6"/>
    <x v="6"/>
    <n v="32"/>
    <n v="107"/>
  </r>
  <r>
    <s v="Le Mans"/>
    <x v="15"/>
    <x v="7"/>
    <x v="7"/>
    <n v="34"/>
    <n v="131"/>
  </r>
  <r>
    <s v="Le Mans"/>
    <x v="15"/>
    <x v="8"/>
    <x v="8"/>
    <n v="43"/>
    <n v="78"/>
  </r>
  <r>
    <s v="Le Mans"/>
    <x v="15"/>
    <x v="9"/>
    <x v="9"/>
    <n v="202"/>
    <n v="2"/>
  </r>
  <r>
    <s v="Le Mans"/>
    <x v="15"/>
    <x v="10"/>
    <x v="10"/>
    <n v="289"/>
    <n v="0"/>
  </r>
  <r>
    <s v="Le Mans"/>
    <x v="15"/>
    <x v="11"/>
    <x v="11"/>
    <n v="400"/>
    <n v="0"/>
  </r>
  <r>
    <s v="Le Mans"/>
    <x v="16"/>
    <x v="0"/>
    <x v="0"/>
    <n v="455"/>
    <n v="0"/>
  </r>
  <r>
    <s v="Le Mans"/>
    <x v="16"/>
    <x v="1"/>
    <x v="1"/>
    <n v="288"/>
    <n v="0"/>
  </r>
  <r>
    <s v="Le Mans"/>
    <x v="16"/>
    <x v="2"/>
    <x v="2"/>
    <n v="224"/>
    <n v="4"/>
  </r>
  <r>
    <s v="Le Mans"/>
    <x v="16"/>
    <x v="3"/>
    <x v="3"/>
    <n v="227"/>
    <n v="5"/>
  </r>
  <r>
    <s v="Le Mans"/>
    <x v="16"/>
    <x v="4"/>
    <x v="4"/>
    <n v="98"/>
    <n v="49"/>
  </r>
  <r>
    <s v="Le Mans"/>
    <x v="16"/>
    <x v="5"/>
    <x v="5"/>
    <n v="30"/>
    <n v="118"/>
  </r>
  <r>
    <s v="Le Mans"/>
    <x v="16"/>
    <x v="6"/>
    <x v="6"/>
    <n v="23"/>
    <n v="112"/>
  </r>
  <r>
    <s v="Le Mans"/>
    <x v="16"/>
    <x v="7"/>
    <x v="7"/>
    <n v="32"/>
    <n v="100"/>
  </r>
  <r>
    <s v="Le Mans"/>
    <x v="16"/>
    <x v="8"/>
    <x v="8"/>
    <n v="82"/>
    <n v="19"/>
  </r>
  <r>
    <s v="Le Mans"/>
    <x v="16"/>
    <x v="9"/>
    <x v="9"/>
    <n v="126"/>
    <n v="14"/>
  </r>
  <r>
    <s v="Le Mans"/>
    <x v="16"/>
    <x v="10"/>
    <x v="10"/>
    <n v="288"/>
    <n v="0"/>
  </r>
  <r>
    <s v="Le Mans"/>
    <x v="16"/>
    <x v="11"/>
    <x v="11"/>
    <n v="365"/>
    <n v="0"/>
  </r>
  <r>
    <s v="Le Mans"/>
    <x v="17"/>
    <x v="0"/>
    <x v="0"/>
    <n v="298"/>
    <n v="0"/>
  </r>
  <r>
    <s v="Le Mans"/>
    <x v="17"/>
    <x v="1"/>
    <x v="1"/>
    <n v="414"/>
    <n v="0"/>
  </r>
  <r>
    <s v="Le Mans"/>
    <x v="17"/>
    <x v="2"/>
    <x v="2"/>
    <n v="305"/>
    <n v="0"/>
  </r>
  <r>
    <s v="Le Mans"/>
    <x v="17"/>
    <x v="3"/>
    <x v="3"/>
    <n v="152"/>
    <n v="20"/>
  </r>
  <r>
    <s v="Le Mans"/>
    <x v="17"/>
    <x v="4"/>
    <x v="4"/>
    <n v="96"/>
    <n v="49"/>
  </r>
  <r>
    <s v="Le Mans"/>
    <x v="17"/>
    <x v="5"/>
    <x v="5"/>
    <n v="25"/>
    <n v="82"/>
  </r>
  <r>
    <s v="Le Mans"/>
    <x v="17"/>
    <x v="6"/>
    <x v="6"/>
    <n v="6"/>
    <n v="169"/>
  </r>
  <r>
    <s v="Le Mans"/>
    <x v="17"/>
    <x v="7"/>
    <x v="7"/>
    <n v="26"/>
    <n v="126"/>
  </r>
  <r>
    <s v="Le Mans"/>
    <x v="17"/>
    <x v="8"/>
    <x v="8"/>
    <n v="73"/>
    <n v="59"/>
  </r>
  <r>
    <s v="Le Mans"/>
    <x v="17"/>
    <x v="9"/>
    <x v="9"/>
    <n v="157"/>
    <n v="24"/>
  </r>
  <r>
    <s v="Le Mans"/>
    <x v="17"/>
    <x v="10"/>
    <x v="10"/>
    <n v="277"/>
    <n v="0"/>
  </r>
  <r>
    <s v="Le Mans"/>
    <x v="17"/>
    <x v="11"/>
    <x v="11"/>
    <n v="318"/>
    <n v="0"/>
  </r>
  <r>
    <s v="Le Mans"/>
    <x v="18"/>
    <x v="0"/>
    <x v="0"/>
    <n v="402"/>
    <n v="0"/>
  </r>
  <r>
    <s v="Le Mans"/>
    <x v="18"/>
    <x v="1"/>
    <x v="1"/>
    <n v="297"/>
    <n v="1"/>
  </r>
  <r>
    <s v="Le Mans"/>
    <x v="18"/>
    <x v="2"/>
    <x v="2"/>
    <n v="260"/>
    <n v="1"/>
  </r>
  <r>
    <s v="Le Mans"/>
    <x v="18"/>
    <x v="3"/>
    <x v="3"/>
    <n v="201"/>
    <n v="12"/>
  </r>
  <r>
    <s v="Le Mans"/>
    <x v="18"/>
    <x v="4"/>
    <x v="4"/>
    <n v="146"/>
    <n v="14"/>
  </r>
  <r>
    <s v="Le Mans"/>
    <x v="18"/>
    <x v="5"/>
    <x v="5"/>
    <n v="54"/>
    <n v="102"/>
  </r>
  <r>
    <s v="Le Mans"/>
    <x v="18"/>
    <x v="6"/>
    <x v="6"/>
    <n v="16"/>
    <n v="158"/>
  </r>
  <r>
    <s v="Le Mans"/>
    <x v="18"/>
    <x v="7"/>
    <x v="7"/>
    <n v="30"/>
    <n v="108"/>
  </r>
  <r>
    <s v="Le Mans"/>
    <x v="18"/>
    <x v="8"/>
    <x v="8"/>
    <n v="65"/>
    <n v="47"/>
  </r>
  <r>
    <s v="Le Mans"/>
    <x v="18"/>
    <x v="9"/>
    <x v="9"/>
    <n v="128"/>
    <n v="9"/>
  </r>
  <r>
    <s v="Le Mans"/>
    <x v="18"/>
    <x v="10"/>
    <x v="10"/>
    <n v="292"/>
    <n v="0"/>
  </r>
  <r>
    <s v="Le Mans"/>
    <x v="18"/>
    <x v="11"/>
    <x v="11"/>
    <n v="322"/>
    <n v="0"/>
  </r>
  <r>
    <s v="Le Mans"/>
    <x v="19"/>
    <x v="0"/>
    <x v="0"/>
    <n v="331"/>
    <n v="0"/>
  </r>
  <r>
    <s v="Le Mans"/>
    <x v="19"/>
    <x v="1"/>
    <x v="1"/>
    <n v="251"/>
    <n v="0"/>
  </r>
  <r>
    <s v="Le Mans"/>
    <x v="19"/>
    <x v="2"/>
    <x v="2"/>
    <n v="272"/>
    <n v="1"/>
  </r>
  <r>
    <s v="Le Mans"/>
    <x v="19"/>
    <x v="3"/>
    <x v="3"/>
    <n v="126"/>
    <n v="27"/>
  </r>
  <r>
    <s v="Le Mans"/>
    <x v="19"/>
    <x v="4"/>
    <x v="4"/>
    <n v="92"/>
    <n v="45"/>
  </r>
  <r>
    <s v="Le Mans"/>
    <x v="19"/>
    <x v="5"/>
    <x v="5"/>
    <n v="55"/>
    <n v="59"/>
  </r>
  <r>
    <s v="Le Mans"/>
    <x v="19"/>
    <x v="6"/>
    <x v="6"/>
    <n v="32"/>
    <n v="107"/>
  </r>
  <r>
    <s v="Le Mans"/>
    <x v="19"/>
    <x v="7"/>
    <x v="7"/>
    <n v="28"/>
    <n v="143"/>
  </r>
  <r>
    <s v="Le Mans"/>
    <x v="19"/>
    <x v="8"/>
    <x v="8"/>
    <n v="56"/>
    <n v="84"/>
  </r>
  <r>
    <s v="Le Mans"/>
    <x v="19"/>
    <x v="9"/>
    <x v="9"/>
    <n v="158"/>
    <n v="2"/>
  </r>
  <r>
    <s v="Le Mans"/>
    <x v="19"/>
    <x v="10"/>
    <x v="10"/>
    <n v="237"/>
    <n v="0"/>
  </r>
  <r>
    <s v="Le Mans"/>
    <x v="19"/>
    <x v="11"/>
    <x v="11"/>
    <n v="333"/>
    <n v="0"/>
  </r>
  <r>
    <s v="Le Mans"/>
    <x v="20"/>
    <x v="0"/>
    <x v="0"/>
    <n v="406"/>
    <n v="0"/>
  </r>
  <r>
    <s v="Le Mans"/>
    <x v="20"/>
    <x v="1"/>
    <x v="1"/>
    <n v="299"/>
    <n v="0"/>
  </r>
  <r>
    <s v="Le Mans"/>
    <x v="20"/>
    <x v="2"/>
    <x v="2"/>
    <n v="303"/>
    <n v="5"/>
  </r>
  <r>
    <s v="Le Mans"/>
    <x v="20"/>
    <x v="3"/>
    <x v="3"/>
    <n v="242"/>
    <n v="6"/>
  </r>
  <r>
    <s v="Le Mans"/>
    <x v="20"/>
    <x v="4"/>
    <x v="4"/>
    <n v="159"/>
    <n v="11"/>
  </r>
  <r>
    <s v="Le Mans"/>
    <x v="20"/>
    <x v="5"/>
    <x v="5"/>
    <n v="33"/>
    <n v="76"/>
  </r>
  <r>
    <s v="Le Mans"/>
    <x v="20"/>
    <x v="6"/>
    <x v="6"/>
    <n v="22"/>
    <n v="87"/>
  </r>
  <r>
    <s v="Le Mans"/>
    <x v="20"/>
    <x v="7"/>
    <x v="7"/>
    <n v="36"/>
    <n v="61"/>
  </r>
  <r>
    <s v="Le Mans"/>
    <x v="20"/>
    <x v="8"/>
    <x v="8"/>
    <n v="48"/>
    <n v="73"/>
  </r>
  <r>
    <s v="Le Mans"/>
    <x v="20"/>
    <x v="9"/>
    <x v="9"/>
    <n v="170"/>
    <n v="5"/>
  </r>
  <r>
    <s v="Le Mans"/>
    <x v="20"/>
    <x v="10"/>
    <x v="10"/>
    <n v="326"/>
    <n v="0"/>
  </r>
  <r>
    <s v="Le Mans"/>
    <x v="20"/>
    <x v="11"/>
    <x v="11"/>
    <n v="336"/>
    <n v="0"/>
  </r>
  <r>
    <s v="Le Mans"/>
    <x v="21"/>
    <x v="0"/>
    <x v="0"/>
    <n v="396"/>
    <n v="0"/>
  </r>
  <r>
    <s v="Le Mans"/>
    <x v="21"/>
    <x v="1"/>
    <x v="1"/>
    <n v="285"/>
    <n v="0"/>
  </r>
  <r>
    <s v="Le Mans"/>
    <x v="21"/>
    <x v="2"/>
    <x v="2"/>
    <n v="239"/>
    <n v="3"/>
  </r>
  <r>
    <s v="Le Mans"/>
    <x v="21"/>
    <x v="3"/>
    <x v="3"/>
    <n v="192"/>
    <n v="8"/>
  </r>
  <r>
    <s v="Le Mans"/>
    <x v="21"/>
    <x v="4"/>
    <x v="4"/>
    <n v="80"/>
    <n v="50"/>
  </r>
  <r>
    <s v="Le Mans"/>
    <x v="21"/>
    <x v="5"/>
    <x v="5"/>
    <n v="37"/>
    <n v="92"/>
  </r>
  <r>
    <s v="Le Mans"/>
    <x v="21"/>
    <x v="6"/>
    <x v="6"/>
    <n v="19"/>
    <n v="167"/>
  </r>
  <r>
    <s v="Le Mans"/>
    <x v="21"/>
    <x v="7"/>
    <x v="7"/>
    <n v="11"/>
    <n v="164"/>
  </r>
  <r>
    <s v="Le Mans"/>
    <x v="21"/>
    <x v="8"/>
    <x v="8"/>
    <n v="75"/>
    <n v="59"/>
  </r>
  <r>
    <s v="Le Mans"/>
    <x v="21"/>
    <x v="9"/>
    <x v="9"/>
    <n v="73"/>
    <n v="28"/>
  </r>
  <r>
    <s v="Le Mans"/>
    <x v="21"/>
    <x v="10"/>
    <x v="10"/>
    <n v="227"/>
    <n v="0"/>
  </r>
  <r>
    <s v="Le Mans"/>
    <x v="21"/>
    <x v="11"/>
    <x v="11"/>
    <n v="380"/>
    <n v="0"/>
  </r>
  <r>
    <s v="Le Mans"/>
    <x v="22"/>
    <x v="0"/>
    <x v="0"/>
    <n v="355"/>
    <n v="0"/>
  </r>
  <r>
    <s v="Le Mans"/>
    <x v="22"/>
    <x v="1"/>
    <x v="1"/>
    <n v="314"/>
    <n v="0"/>
  </r>
  <r>
    <s v="Le Mans"/>
    <x v="22"/>
    <x v="2"/>
    <x v="2"/>
    <n v="251"/>
    <n v="2"/>
  </r>
  <r>
    <s v="Le Mans"/>
    <x v="22"/>
    <x v="3"/>
    <x v="3"/>
    <n v="197"/>
    <n v="3"/>
  </r>
  <r>
    <s v="Le Mans"/>
    <x v="22"/>
    <x v="4"/>
    <x v="4"/>
    <n v="87"/>
    <n v="31"/>
  </r>
  <r>
    <s v="Le Mans"/>
    <x v="22"/>
    <x v="5"/>
    <x v="5"/>
    <n v="17"/>
    <n v="134"/>
  </r>
  <r>
    <s v="Le Mans"/>
    <x v="22"/>
    <x v="6"/>
    <x v="6"/>
    <n v="24"/>
    <n v="99"/>
  </r>
  <r>
    <s v="Le Mans"/>
    <x v="22"/>
    <x v="7"/>
    <x v="7"/>
    <n v="28"/>
    <n v="107"/>
  </r>
  <r>
    <s v="Le Mans"/>
    <x v="22"/>
    <x v="8"/>
    <x v="8"/>
    <n v="31"/>
    <n v="113"/>
  </r>
  <r>
    <s v="Le Mans"/>
    <x v="22"/>
    <x v="9"/>
    <x v="9"/>
    <n v="116"/>
    <n v="33"/>
  </r>
  <r>
    <s v="Le Mans"/>
    <x v="22"/>
    <x v="10"/>
    <x v="10"/>
    <n v="239"/>
    <n v="0"/>
  </r>
  <r>
    <s v="Le Mans"/>
    <x v="22"/>
    <x v="11"/>
    <x v="11"/>
    <n v="300"/>
    <n v="0"/>
  </r>
  <r>
    <s v="Le Mans"/>
    <x v="23"/>
    <x v="0"/>
    <x v="0"/>
    <n v="380"/>
    <n v="0"/>
  </r>
  <r>
    <s v="Le Mans"/>
    <x v="23"/>
    <x v="1"/>
    <x v="1"/>
    <n v="244"/>
    <n v="0"/>
  </r>
  <r>
    <s v="Le Mans"/>
    <x v="23"/>
    <x v="2"/>
    <x v="2"/>
    <n v="253"/>
    <n v="1"/>
  </r>
  <r>
    <s v="Le Mans"/>
    <x v="23"/>
    <x v="3"/>
    <x v="3"/>
    <n v="186"/>
    <n v="8"/>
  </r>
  <r>
    <s v="Le Mans"/>
    <x v="23"/>
    <x v="4"/>
    <x v="4"/>
    <n v="102"/>
    <n v="18"/>
  </r>
  <r>
    <s v="Le Mans"/>
    <x v="23"/>
    <x v="5"/>
    <x v="5"/>
    <n v="60"/>
    <n v="53"/>
  </r>
  <r>
    <s v="Le Mans"/>
    <x v="23"/>
    <x v="6"/>
    <x v="6"/>
    <n v="28"/>
    <n v="102"/>
  </r>
  <r>
    <s v="Le Mans"/>
    <x v="23"/>
    <x v="7"/>
    <x v="7"/>
    <n v="28"/>
    <n v="110"/>
  </r>
  <r>
    <s v="Le Mans"/>
    <x v="23"/>
    <x v="8"/>
    <x v="8"/>
    <n v="78"/>
    <n v="27"/>
  </r>
  <r>
    <s v="Le Mans"/>
    <x v="23"/>
    <x v="9"/>
    <x v="9"/>
    <n v="119"/>
    <n v="8"/>
  </r>
  <r>
    <s v="Le Mans"/>
    <x v="23"/>
    <x v="10"/>
    <x v="10"/>
    <n v="266"/>
    <n v="0"/>
  </r>
  <r>
    <s v="Le Mans"/>
    <x v="23"/>
    <x v="11"/>
    <x v="11"/>
    <n v="346"/>
    <n v="0"/>
  </r>
  <r>
    <s v="Le Mans"/>
    <x v="24"/>
    <x v="0"/>
    <x v="0"/>
    <n v="407"/>
    <n v="0"/>
  </r>
  <r>
    <s v="Le Mans"/>
    <x v="24"/>
    <x v="1"/>
    <x v="1"/>
    <n v="329"/>
    <n v="0"/>
  </r>
  <r>
    <s v="Le Mans"/>
    <x v="24"/>
    <x v="2"/>
    <x v="2"/>
    <n v="260"/>
    <n v="1"/>
  </r>
  <r>
    <s v="Le Mans"/>
    <x v="24"/>
    <x v="3"/>
    <x v="3"/>
    <n v="142"/>
    <n v="17"/>
  </r>
  <r>
    <s v="Le Mans"/>
    <x v="24"/>
    <x v="4"/>
    <x v="4"/>
    <n v="91"/>
    <n v="45"/>
  </r>
  <r>
    <s v="Le Mans"/>
    <x v="24"/>
    <x v="5"/>
    <x v="5"/>
    <n v="24"/>
    <n v="140"/>
  </r>
  <r>
    <s v="Le Mans"/>
    <x v="24"/>
    <x v="6"/>
    <x v="6"/>
    <n v="18"/>
    <n v="133"/>
  </r>
  <r>
    <s v="Le Mans"/>
    <x v="24"/>
    <x v="7"/>
    <x v="7"/>
    <n v="22"/>
    <n v="125"/>
  </r>
  <r>
    <s v="Le Mans"/>
    <x v="24"/>
    <x v="12"/>
    <x v="8"/>
    <n v="73"/>
    <n v="39"/>
  </r>
  <r>
    <s v="Le Mans"/>
    <x v="24"/>
    <x v="13"/>
    <x v="9"/>
    <n v="140"/>
    <n v="4"/>
  </r>
  <r>
    <s v="Le Mans"/>
    <x v="24"/>
    <x v="14"/>
    <x v="10"/>
    <n v="231"/>
    <n v="2"/>
  </r>
  <r>
    <s v="Le Mans"/>
    <x v="24"/>
    <x v="15"/>
    <x v="11"/>
    <n v="309"/>
    <n v="0"/>
  </r>
  <r>
    <s v="Le Mans"/>
    <x v="25"/>
    <x v="0"/>
    <x v="0"/>
    <n v="338.2"/>
    <n v="0"/>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r>
    <m/>
    <x v="26"/>
    <x v="16"/>
    <x v="12"/>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n v="1"/>
    <x v="0"/>
    <x v="0"/>
    <x v="0"/>
  </r>
  <r>
    <n v="2"/>
    <x v="1"/>
    <x v="1"/>
    <x v="1"/>
  </r>
  <r>
    <n v="3"/>
    <x v="2"/>
    <x v="0"/>
    <x v="0"/>
  </r>
  <r>
    <n v="4"/>
    <x v="3"/>
    <x v="2"/>
    <x v="2"/>
  </r>
  <r>
    <n v="5"/>
    <x v="4"/>
    <x v="0"/>
    <x v="2"/>
  </r>
  <r>
    <n v="6"/>
    <x v="5"/>
    <x v="3"/>
    <x v="2"/>
  </r>
  <r>
    <n v="7"/>
    <x v="6"/>
    <x v="2"/>
    <x v="0"/>
  </r>
  <r>
    <n v="8"/>
    <x v="7"/>
    <x v="4"/>
    <x v="3"/>
  </r>
  <r>
    <n v="9"/>
    <x v="8"/>
    <x v="5"/>
    <x v="4"/>
  </r>
  <r>
    <n v="10"/>
    <x v="9"/>
    <x v="4"/>
    <x v="3"/>
  </r>
  <r>
    <n v="11"/>
    <x v="10"/>
    <x v="3"/>
    <x v="4"/>
  </r>
  <r>
    <n v="12"/>
    <x v="11"/>
    <x v="5"/>
    <x v="4"/>
  </r>
  <r>
    <n v="13"/>
    <x v="12"/>
    <x v="3"/>
    <x v="2"/>
  </r>
  <r>
    <n v="14"/>
    <x v="13"/>
    <x v="1"/>
    <x v="5"/>
  </r>
  <r>
    <n v="15"/>
    <x v="14"/>
    <x v="0"/>
    <x v="0"/>
  </r>
  <r>
    <n v="16"/>
    <x v="15"/>
    <x v="6"/>
    <x v="6"/>
  </r>
  <r>
    <n v="17"/>
    <x v="16"/>
    <x v="6"/>
    <x v="6"/>
  </r>
  <r>
    <n v="18"/>
    <x v="17"/>
    <x v="6"/>
    <x v="7"/>
  </r>
  <r>
    <n v="19"/>
    <x v="18"/>
    <x v="0"/>
    <x v="6"/>
  </r>
  <r>
    <n v="20"/>
    <x v="19"/>
    <x v="3"/>
    <x v="8"/>
  </r>
  <r>
    <n v="21"/>
    <x v="20"/>
    <x v="0"/>
    <x v="9"/>
  </r>
  <r>
    <n v="22"/>
    <x v="21"/>
    <x v="7"/>
    <x v="10"/>
  </r>
  <r>
    <n v="23"/>
    <x v="22"/>
    <x v="0"/>
    <x v="6"/>
  </r>
  <r>
    <n v="24"/>
    <x v="23"/>
    <x v="5"/>
    <x v="6"/>
  </r>
  <r>
    <n v="25"/>
    <x v="24"/>
    <x v="0"/>
    <x v="9"/>
  </r>
  <r>
    <n v="26"/>
    <x v="25"/>
    <x v="2"/>
    <x v="0"/>
  </r>
  <r>
    <n v="27"/>
    <x v="26"/>
    <x v="1"/>
    <x v="5"/>
  </r>
  <r>
    <n v="28"/>
    <x v="27"/>
    <x v="1"/>
    <x v="7"/>
  </r>
  <r>
    <n v="29"/>
    <x v="28"/>
    <x v="7"/>
    <x v="10"/>
  </r>
  <r>
    <n v="30"/>
    <x v="29"/>
    <x v="3"/>
    <x v="4"/>
  </r>
  <r>
    <n v="31"/>
    <x v="30"/>
    <x v="5"/>
    <x v="4"/>
  </r>
  <r>
    <n v="32"/>
    <x v="31"/>
    <x v="5"/>
    <x v="4"/>
  </r>
  <r>
    <n v="33"/>
    <x v="32"/>
    <x v="5"/>
    <x v="6"/>
  </r>
  <r>
    <n v="34"/>
    <x v="33"/>
    <x v="3"/>
    <x v="4"/>
  </r>
  <r>
    <n v="35"/>
    <x v="34"/>
    <x v="7"/>
    <x v="10"/>
  </r>
  <r>
    <n v="36"/>
    <x v="35"/>
    <x v="6"/>
    <x v="7"/>
  </r>
  <r>
    <n v="37"/>
    <x v="36"/>
    <x v="6"/>
    <x v="7"/>
  </r>
  <r>
    <n v="38"/>
    <x v="37"/>
    <x v="0"/>
    <x v="0"/>
  </r>
  <r>
    <n v="39"/>
    <x v="38"/>
    <x v="0"/>
    <x v="9"/>
  </r>
  <r>
    <n v="40"/>
    <x v="39"/>
    <x v="5"/>
    <x v="6"/>
  </r>
  <r>
    <n v="41"/>
    <x v="40"/>
    <x v="6"/>
    <x v="7"/>
  </r>
  <r>
    <n v="42"/>
    <x v="41"/>
    <x v="0"/>
    <x v="0"/>
  </r>
  <r>
    <n v="43"/>
    <x v="42"/>
    <x v="0"/>
    <x v="0"/>
  </r>
  <r>
    <n v="44"/>
    <x v="43"/>
    <x v="6"/>
    <x v="11"/>
  </r>
  <r>
    <n v="45"/>
    <x v="44"/>
    <x v="4"/>
    <x v="7"/>
  </r>
  <r>
    <n v="46"/>
    <x v="45"/>
    <x v="5"/>
    <x v="4"/>
  </r>
  <r>
    <n v="47"/>
    <x v="46"/>
    <x v="5"/>
    <x v="6"/>
  </r>
  <r>
    <n v="48"/>
    <x v="47"/>
    <x v="2"/>
    <x v="4"/>
  </r>
  <r>
    <n v="49"/>
    <x v="48"/>
    <x v="6"/>
    <x v="11"/>
  </r>
  <r>
    <n v="50"/>
    <x v="49"/>
    <x v="7"/>
    <x v="5"/>
  </r>
  <r>
    <n v="51"/>
    <x v="50"/>
    <x v="4"/>
    <x v="3"/>
  </r>
  <r>
    <n v="52"/>
    <x v="51"/>
    <x v="4"/>
    <x v="3"/>
  </r>
  <r>
    <n v="53"/>
    <x v="52"/>
    <x v="6"/>
    <x v="11"/>
  </r>
  <r>
    <n v="54"/>
    <x v="53"/>
    <x v="4"/>
    <x v="3"/>
  </r>
  <r>
    <n v="55"/>
    <x v="54"/>
    <x v="4"/>
    <x v="3"/>
  </r>
  <r>
    <n v="56"/>
    <x v="55"/>
    <x v="7"/>
    <x v="10"/>
  </r>
  <r>
    <n v="57"/>
    <x v="56"/>
    <x v="4"/>
    <x v="3"/>
  </r>
  <r>
    <n v="58"/>
    <x v="57"/>
    <x v="4"/>
    <x v="9"/>
  </r>
  <r>
    <n v="59"/>
    <x v="58"/>
    <x v="1"/>
    <x v="1"/>
  </r>
  <r>
    <n v="60"/>
    <x v="59"/>
    <x v="1"/>
    <x v="1"/>
  </r>
  <r>
    <n v="61"/>
    <x v="60"/>
    <x v="1"/>
    <x v="5"/>
  </r>
  <r>
    <n v="62"/>
    <x v="61"/>
    <x v="1"/>
    <x v="1"/>
  </r>
  <r>
    <n v="63"/>
    <x v="62"/>
    <x v="0"/>
    <x v="0"/>
  </r>
  <r>
    <n v="64"/>
    <x v="63"/>
    <x v="5"/>
    <x v="6"/>
  </r>
  <r>
    <n v="65"/>
    <x v="64"/>
    <x v="5"/>
    <x v="4"/>
  </r>
  <r>
    <n v="66"/>
    <x v="65"/>
    <x v="3"/>
    <x v="4"/>
  </r>
  <r>
    <n v="67"/>
    <x v="66"/>
    <x v="4"/>
    <x v="3"/>
  </r>
  <r>
    <n v="68"/>
    <x v="67"/>
    <x v="4"/>
    <x v="3"/>
  </r>
  <r>
    <n v="69"/>
    <x v="68"/>
    <x v="0"/>
    <x v="0"/>
  </r>
  <r>
    <n v="70"/>
    <x v="69"/>
    <x v="4"/>
    <x v="9"/>
  </r>
  <r>
    <n v="71"/>
    <x v="70"/>
    <x v="0"/>
    <x v="9"/>
  </r>
  <r>
    <n v="72"/>
    <x v="71"/>
    <x v="6"/>
    <x v="11"/>
  </r>
  <r>
    <n v="73"/>
    <x v="72"/>
    <x v="0"/>
    <x v="0"/>
  </r>
  <r>
    <n v="74"/>
    <x v="73"/>
    <x v="0"/>
    <x v="0"/>
  </r>
  <r>
    <n v="75"/>
    <x v="74"/>
    <x v="4"/>
    <x v="12"/>
  </r>
  <r>
    <n v="76"/>
    <x v="75"/>
    <x v="1"/>
    <x v="5"/>
  </r>
  <r>
    <n v="77"/>
    <x v="76"/>
    <x v="1"/>
    <x v="12"/>
  </r>
  <r>
    <n v="78"/>
    <x v="77"/>
    <x v="1"/>
    <x v="12"/>
  </r>
  <r>
    <n v="79"/>
    <x v="78"/>
    <x v="6"/>
    <x v="6"/>
  </r>
  <r>
    <n v="80"/>
    <x v="79"/>
    <x v="1"/>
    <x v="1"/>
  </r>
  <r>
    <n v="81"/>
    <x v="80"/>
    <x v="5"/>
    <x v="4"/>
  </r>
  <r>
    <n v="82"/>
    <x v="81"/>
    <x v="5"/>
    <x v="4"/>
  </r>
  <r>
    <n v="83"/>
    <x v="82"/>
    <x v="3"/>
    <x v="2"/>
  </r>
  <r>
    <n v="84"/>
    <x v="83"/>
    <x v="2"/>
    <x v="2"/>
  </r>
  <r>
    <n v="85"/>
    <x v="84"/>
    <x v="6"/>
    <x v="11"/>
  </r>
  <r>
    <n v="86"/>
    <x v="85"/>
    <x v="6"/>
    <x v="6"/>
  </r>
  <r>
    <n v="87"/>
    <x v="86"/>
    <x v="0"/>
    <x v="6"/>
  </r>
  <r>
    <n v="88"/>
    <x v="87"/>
    <x v="4"/>
    <x v="3"/>
  </r>
  <r>
    <n v="89"/>
    <x v="88"/>
    <x v="4"/>
    <x v="9"/>
  </r>
  <r>
    <n v="90"/>
    <x v="89"/>
    <x v="4"/>
    <x v="9"/>
  </r>
  <r>
    <n v="91"/>
    <x v="90"/>
    <x v="1"/>
    <x v="12"/>
  </r>
  <r>
    <n v="92"/>
    <x v="91"/>
    <x v="4"/>
    <x v="12"/>
  </r>
  <r>
    <n v="93"/>
    <x v="92"/>
    <x v="4"/>
    <x v="12"/>
  </r>
  <r>
    <n v="94"/>
    <x v="93"/>
    <x v="4"/>
    <x v="12"/>
  </r>
  <r>
    <n v="95"/>
    <x v="94"/>
    <x v="1"/>
    <x v="12"/>
  </r>
  <r>
    <n v="971"/>
    <x v="95"/>
    <x v="8"/>
    <x v="13"/>
  </r>
  <r>
    <n v="973"/>
    <x v="96"/>
    <x v="9"/>
    <x v="13"/>
  </r>
  <r>
    <n v="974"/>
    <x v="97"/>
    <x v="10"/>
    <x v="13"/>
  </r>
  <r>
    <n v="972"/>
    <x v="98"/>
    <x v="11"/>
    <x v="13"/>
  </r>
  <r>
    <m/>
    <x v="99"/>
    <x v="12"/>
    <x v="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C8F4E7-327D-4A9D-A809-8B1361A12827}" name="PivotChartTable3" cacheId="1006" applyNumberFormats="0" applyBorderFormats="0" applyFontFormats="0" applyPatternFormats="0" applyAlignmentFormats="0" applyWidthHeightFormats="1" dataCaption="Valeurs" updatedVersion="7" minRefreshableVersion="5" useAutoFormatting="1" subtotalHiddenItems="1" itemPrintTitles="1" createdVersion="7" indent="0" outline="1" outlineData="1" multipleFieldFilters="0" chartFormat="1">
  <location ref="A1:B7" firstHeaderRow="1" firstDataRow="1" firstDataCol="1"/>
  <pivotFields count="6">
    <pivotField dataField="1" subtotalTop="0" showAll="0" defaultSubtotal="0"/>
    <pivotField axis="axisRow" allDrilled="1" subtotalTop="0" showAll="0" dataSourceSort="1" defaultSubtotal="0" defaultAttributeDrillState="1">
      <items count="1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s>
    </pivotField>
    <pivotField axis="axisRow" allDrilled="1" subtotalTop="0" showAll="0" dataSourceSort="1" defaultSubtotal="0">
      <items count="12">
        <item x="0" e="0"/>
        <item x="1" e="0"/>
        <item x="2" e="0"/>
        <item x="3" e="0"/>
        <item x="4" e="0"/>
        <item x="5" e="0"/>
        <item x="6" e="0"/>
        <item x="7" e="0"/>
        <item x="8" e="0"/>
        <item x="9" e="0"/>
        <item x="10" e="0"/>
        <item x="11" e="0"/>
      </items>
    </pivotField>
    <pivotField axis="axisRow" allDrilled="1" subtotalTop="0" showAll="0" dataSourceSort="1" defaultSubtotal="0">
      <items count="4">
        <item x="0" e="0"/>
        <item x="1" e="0"/>
        <item x="2" e="0"/>
        <item x="3" e="0"/>
      </items>
    </pivotField>
    <pivotField axis="axisRow" allDrilled="1" subtotalTop="0" showAll="0" dataSourceSort="1" defaultSubtotal="0">
      <items count="5">
        <item x="0" e="0"/>
        <item x="1" e="0"/>
        <item x="2" e="0"/>
        <item x="3" e="0"/>
        <item x="4" e="0"/>
      </items>
    </pivotField>
    <pivotField allDrilled="1" subtotalTop="0" showAll="0" dataSourceSort="1" defaultSubtotal="0" defaultAttributeDrillState="1"/>
  </pivotFields>
  <rowFields count="4">
    <field x="4"/>
    <field x="3"/>
    <field x="2"/>
    <field x="1"/>
  </rowFields>
  <rowItems count="6">
    <i>
      <x/>
    </i>
    <i>
      <x v="1"/>
    </i>
    <i>
      <x v="2"/>
    </i>
    <i>
      <x v="3"/>
    </i>
    <i>
      <x v="4"/>
    </i>
    <i t="grand">
      <x/>
    </i>
  </rowItems>
  <colItems count="1">
    <i/>
  </colItems>
  <dataFields count="1">
    <dataField name="Somme de Demande_jour" fld="0" baseField="0" baseItem="0"/>
  </dataFields>
  <chartFormats count="1">
    <chartFormat chart="0" format="0" series="1">
      <pivotArea type="data" outline="0" fieldPosition="0">
        <references count="1">
          <reference field="4294967294" count="1" selected="0">
            <x v="0"/>
          </reference>
        </references>
      </pivotArea>
    </chartFormat>
  </chart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_concat].[Nom].&amp;[Elec Générale (Factu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filters count="1">
    <filter fld="1" type="dateBetween" evalOrder="-1" id="60" name="[Tab_concat].[Dates]">
      <autoFilter ref="A1">
        <filterColumn colId="0">
          <customFilters and="1">
            <customFilter operator="greaterThanOrEqual" val="44197"/>
            <customFilter operator="lessThanOrEqual" val="46022"/>
          </customFilters>
        </filterColumn>
      </autoFilter>
      <extLst>
        <ext xmlns:x15="http://schemas.microsoft.com/office/spreadsheetml/2010/11/main" uri="{0605FD5F-26C8-4aeb-8148-2DB25E43C511}">
          <x15:pivotFilter useWholeDay="1"/>
        </ext>
      </extLst>
    </filter>
  </filters>
  <rowHierarchiesUsage count="4">
    <rowHierarchyUsage hierarchyUsage="17"/>
    <rowHierarchyUsage hierarchyUsage="18"/>
    <rowHierarchyUsage hierarchyUsage="19"/>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6" columnCount="1" cacheId="2128848268">
        <x15:pivotRow count="1">
          <x15:c>
            <x15:v>120936.00000000015</x15:v>
          </x15:c>
        </x15:pivotRow>
        <x15:pivotRow count="1">
          <x15:c>
            <x15:v>125358.99999999997</x15:v>
          </x15:c>
        </x15:pivotRow>
        <x15:pivotRow count="1">
          <x15:c>
            <x15:v>123982.99999999985</x15:v>
          </x15:c>
        </x15:pivotRow>
        <x15:pivotRow count="1">
          <x15:c>
            <x15:v>122740.38709677407</x15:v>
          </x15:c>
        </x15:pivotRow>
        <x15:pivotRow count="1">
          <x15:c>
            <x15:v>127658.61290322569</x15:v>
          </x15:c>
        </x15:pivotRow>
        <x15:pivotRow count="1">
          <x15:c>
            <x15:v>620677.00000000396</x15:v>
          </x15:c>
        </x15:pivotRow>
      </x15:pivotTableData>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01923CA-7F1A-4214-B850-E3DCAF6EEDC0}" name="TCD_Conso_annuel" cacheId="992" applyNumberFormats="0" applyBorderFormats="0" applyFontFormats="0" applyPatternFormats="0" applyAlignmentFormats="0" applyWidthHeightFormats="1" dataCaption="Valeurs" tag="ed477c81-67bc-4317-be4f-446a8df08bdd" updatedVersion="7" minRefreshableVersion="3" useAutoFormatting="1" subtotalHiddenItems="1" itemPrintTitles="1" createdVersion="7" indent="0" outline="1" outlineData="1" multipleFieldFilters="0" chartFormat="4">
  <location ref="C5:D8" firstHeaderRow="1" firstDataRow="1" firstDataCol="1" rowPageCount="3" colPageCount="1"/>
  <pivotFields count="5">
    <pivotField axis="axisRow" allDrilled="1" subtotalTop="0" showAll="0" dataSourceSort="1" defaultSubtotal="0" defaultAttributeDrillState="1">
      <items count="3">
        <item s="1" x="0"/>
        <item s="1" x="1"/>
        <item x="2"/>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3">
    <i>
      <x/>
    </i>
    <i>
      <x v="1"/>
    </i>
    <i t="grand">
      <x/>
    </i>
  </rowItems>
  <colItems count="1">
    <i/>
  </colItems>
  <pageFields count="3">
    <pageField fld="2" hier="14" name="[Tab_concat].[Annee].&amp;[2025]" cap="2025"/>
    <pageField fld="3" hier="6" name="[Tab_concat].[Type].&amp;[Consommation]" cap="Consommation"/>
    <pageField fld="4" hier="7" name="[Tab_concat].[Source].[All]" cap="All"/>
  </pageFields>
  <dataFields count="1">
    <dataField name="Somme de Conso_kWh_PCI" fld="1" baseField="0" baseItem="0"/>
  </dataFields>
  <chartFormats count="6">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3" format="9">
      <pivotArea type="data" outline="0" fieldPosition="0">
        <references count="2">
          <reference field="4294967294" count="1" selected="0">
            <x v="0"/>
          </reference>
          <reference field="0" count="1" selected="0">
            <x v="0"/>
          </reference>
        </references>
      </pivotArea>
    </chartFormat>
    <chartFormat chart="3" format="10">
      <pivotArea type="data" outline="0" fieldPosition="0">
        <references count="2">
          <reference field="4294967294" count="1" selected="0">
            <x v="0"/>
          </reference>
          <reference field="0" count="1" selected="0">
            <x v="1"/>
          </reference>
        </references>
      </pivotArea>
    </chartFormat>
    <chartFormat chart="3" format="11">
      <pivotArea type="data" outline="0" fieldPosition="0">
        <references count="2">
          <reference field="4294967294" count="1" selected="0">
            <x v="0"/>
          </reference>
          <reference field="0" count="1" selected="0">
            <x v="2"/>
          </reference>
        </references>
      </pivotArea>
    </chartFormat>
  </chartFormats>
  <pivotHierarchies count="46">
    <pivotHierarchy dragToData="1"/>
    <pivotHierarchy dragToData="1"/>
    <pivotHierarchy dragToData="1"/>
    <pivotHierarchy dragToData="1"/>
    <pivotHierarchy dragToData="1"/>
    <pivotHierarchy dragToData="1"/>
    <pivotHierarchy dragToData="1"/>
    <pivotHierarchy multipleItemSelectionAllowed="1" dragToData="1"/>
    <pivotHierarchy dragToData="1">
      <members count="3" level="1">
        <member name=""/>
        <member name=""/>
        <member name="[Tab_concat].[Combustible].&amp;[Réseau de chaleur (kWh)]"/>
      </members>
    </pivotHierarchy>
    <pivotHierarchy dragToData="1"/>
    <pivotHierarchy dragToData="1"/>
    <pivotHierarchy dragToData="1"/>
    <pivotHierarchy dragToData="1"/>
    <pivotHierarchy dragToData="1"/>
    <pivotHierarchy multipleItemSelectionAllowed="1" dragToData="1">
      <members count="1" level="1">
        <member name="[Tab_concat].[Annee].&amp;[202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D7A6B08-92DD-45B3-BFF9-5C6E7EDCBB8E}" name="TCD_Conso_annuel_eau" cacheId="994" applyNumberFormats="0" applyBorderFormats="0" applyFontFormats="0" applyPatternFormats="0" applyAlignmentFormats="0" applyWidthHeightFormats="1" dataCaption="Valeurs" tag="d5d9779d-3a9e-4bce-87cf-17f72413a163" updatedVersion="7" minRefreshableVersion="3" useAutoFormatting="1" subtotalHiddenItems="1" itemPrintTitles="1" createdVersion="7" indent="0" outline="1" outlineData="1" multipleFieldFilters="0" chartFormat="4">
  <location ref="C20:D24" firstHeaderRow="1" firstDataRow="1" firstDataCol="1" rowPageCount="3" colPageCount="1"/>
  <pivotFields count="5">
    <pivotField axis="axisRow" allDrilled="1" subtotalTop="0" showAll="0" dataSourceSort="1" defaultSubtotal="0" defaultAttributeDrillState="1">
      <items count="3">
        <item x="0"/>
        <item x="1"/>
        <item x="2"/>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4">
    <i>
      <x/>
    </i>
    <i>
      <x v="1"/>
    </i>
    <i>
      <x v="2"/>
    </i>
    <i t="grand">
      <x/>
    </i>
  </rowItems>
  <colItems count="1">
    <i/>
  </colItems>
  <pageFields count="3">
    <pageField fld="1" hier="14" name="[Tab_concat].[Annee].&amp;[2025]" cap="2025"/>
    <pageField fld="2" hier="6" name="[Tab_concat].[Type].&amp;[Consommation]" cap="Consommation"/>
    <pageField fld="3" hier="7" name="[Tab_concat].[Source].[All]" cap="All"/>
  </pageFields>
  <dataFields count="1">
    <dataField name="Somme de Demande_jour" fld="4" baseField="0" baseItem="0"/>
  </dataField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_concat].[Annee].&amp;[202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E38BF5D-3457-4B4E-A1D1-91880D99052C}" name="TCD_ECS_ete" cacheId="991" applyNumberFormats="0" applyBorderFormats="0" applyFontFormats="0" applyPatternFormats="0" applyAlignmentFormats="0" applyWidthHeightFormats="1" dataCaption="Valeurs" tag="da56f310-fe75-4ab4-9f80-4f6113746b52" updatedVersion="7" minRefreshableVersion="3" useAutoFormatting="1" subtotalHiddenItems="1" itemPrintTitles="1" createdVersion="7" indent="0" outline="1" outlineData="1" multipleFieldFilters="0">
  <location ref="B3:AJ12" firstHeaderRow="1" firstDataRow="3" firstDataCol="1" rowPageCount="1" colPageCount="1"/>
  <pivotFields count="6">
    <pivotField axis="axisPage" allDrilled="1" subtotalTop="0" showAll="0" dataSourceSort="1" defaultSubtotal="0" defaultAttributeDrillState="1"/>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7">
    <i>
      <x/>
    </i>
    <i>
      <x v="1"/>
    </i>
    <i>
      <x v="2"/>
    </i>
    <i>
      <x v="3"/>
    </i>
    <i>
      <x v="4"/>
    </i>
    <i>
      <x v="5"/>
    </i>
    <i t="grand">
      <x/>
    </i>
  </rowItems>
  <colFields count="2">
    <field x="1"/>
    <field x="-2"/>
  </colFields>
  <colItems count="3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t="grand">
      <x/>
    </i>
    <i t="grand" i="1">
      <x/>
    </i>
  </colItems>
  <pageFields count="1">
    <pageField fld="0" hier="15" name="[Tab_concat].[Mois].&amp;[6]" cap="6"/>
  </pageFields>
  <dataFields count="2">
    <dataField name="Moyenne de Conso_kWh_PCI" fld="3" subtotal="average" baseField="2" baseItem="1"/>
    <dataField name="Moyenne de Conso_kWh_DEET" fld="4" subtotal="average" baseField="2" baseItem="1"/>
  </dataField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Tab_concat].[Mois].&amp;[6]"/>
        <member name="[Tab_concat].[Mois].&amp;[7]"/>
        <member name="[Tab_concat].[Mois].&amp;[8]"/>
        <member name="[Tab_concat].[Mois].&amp;[9]"/>
      </members>
    </pivotHierarchy>
    <pivotHierarchy dragToData="1"/>
    <pivotHierarchy dragToData="1"/>
    <pivotHierarchy dragToData="1"/>
    <pivotHierarchy multipleItemSelectionAllowed="1" dragToData="1">
      <members count="4" level="1">
        <member name="[Tab_concat].[Dates (mois)].&amp;[août]"/>
        <member name="[Tab_concat].[Dates (mois)].&amp;[juil]"/>
        <member name="[Tab_concat].[Dates (mois)].&amp;[juin]"/>
        <member name="[Tab_concat].[Dates (mois)].&amp;[sept]"/>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Moyenne de Conso_kWh_PCI"/>
    <pivotHierarchy dragToData="1" caption="Moyenne de Conso_kWh_DEET"/>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2"/>
  </rowHierarchiesUsage>
  <colHierarchiesUsage count="2">
    <colHierarchyUsage hierarchyUsage="14"/>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8E6AF0F-D00D-481F-99C8-CE9935AE4272}" name="TCD_OPERAT" cacheId="996" applyNumberFormats="0" applyBorderFormats="0" applyFontFormats="0" applyPatternFormats="0" applyAlignmentFormats="0" applyWidthHeightFormats="1" dataCaption="Valeurs" tag="6e55f168-f7d1-405b-8694-031dd738f3c3" updatedVersion="7" minRefreshableVersion="3" useAutoFormatting="1" subtotalHiddenItems="1" itemPrintTitles="1" createdVersion="7" indent="0" outline="1" outlineData="1" multipleFieldFilters="0">
  <location ref="B15:C26" firstHeaderRow="1" firstDataRow="1" firstDataCol="1" rowPageCount="1" colPageCount="1"/>
  <pivotFields count="5">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1">
        <item x="0"/>
      </items>
    </pivotField>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6">
        <item x="0" e="0"/>
        <item x="1" e="0"/>
        <item x="2" e="0"/>
        <item x="3"/>
        <item x="4" e="0"/>
        <item x="5" e="0"/>
      </items>
    </pivotField>
  </pivotFields>
  <rowFields count="3">
    <field x="3"/>
    <field x="4"/>
    <field x="2"/>
  </rowFields>
  <rowItems count="11">
    <i>
      <x/>
    </i>
    <i r="1">
      <x/>
    </i>
    <i r="1">
      <x v="1"/>
    </i>
    <i r="1">
      <x v="2"/>
    </i>
    <i>
      <x v="1"/>
    </i>
    <i r="1">
      <x v="3"/>
    </i>
    <i r="2">
      <x/>
    </i>
    <i>
      <x v="2"/>
    </i>
    <i r="1">
      <x v="4"/>
    </i>
    <i r="1">
      <x v="5"/>
    </i>
    <i t="grand">
      <x/>
    </i>
  </rowItems>
  <colItems count="1">
    <i/>
  </colItems>
  <pageFields count="1">
    <pageField fld="0" hier="17" name="[Tab_concat].[Dates (année)].&amp;[2025]" cap="2025"/>
  </pageFields>
  <dataFields count="1">
    <dataField name="Conso brute" fld="1" baseField="2" baseItem="1" numFmtId="2"/>
  </dataFields>
  <formats count="6">
    <format dxfId="126">
      <pivotArea collapsedLevelsAreSubtotals="1" fieldPosition="0">
        <references count="2">
          <reference field="3" count="1" selected="0">
            <x v="0"/>
          </reference>
          <reference field="4" count="1">
            <x v="0"/>
          </reference>
        </references>
      </pivotArea>
    </format>
    <format dxfId="125">
      <pivotArea collapsedLevelsAreSubtotals="1" fieldPosition="0">
        <references count="2">
          <reference field="3" count="1" selected="0">
            <x v="0"/>
          </reference>
          <reference field="4" count="1">
            <x v="1"/>
          </reference>
        </references>
      </pivotArea>
    </format>
    <format dxfId="124">
      <pivotArea collapsedLevelsAreSubtotals="1" fieldPosition="0">
        <references count="2">
          <reference field="3" count="1" selected="0">
            <x v="0"/>
          </reference>
          <reference field="4" count="1">
            <x v="2"/>
          </reference>
        </references>
      </pivotArea>
    </format>
    <format dxfId="123">
      <pivotArea collapsedLevelsAreSubtotals="1" fieldPosition="0">
        <references count="1">
          <reference field="3" count="1">
            <x v="2"/>
          </reference>
        </references>
      </pivotArea>
    </format>
    <format dxfId="122">
      <pivotArea collapsedLevelsAreSubtotals="1" fieldPosition="0">
        <references count="2">
          <reference field="3" count="1" selected="0">
            <x v="2"/>
          </reference>
          <reference field="4" count="1">
            <x v="4"/>
          </reference>
        </references>
      </pivotArea>
    </format>
    <format dxfId="121">
      <pivotArea collapsedLevelsAreSubtotals="1" fieldPosition="0">
        <references count="2">
          <reference field="3" count="1" selected="0">
            <x v="2"/>
          </reference>
          <reference field="4" count="1">
            <x v="5"/>
          </reference>
        </references>
      </pivotArea>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_concat].[Dates (année)].&amp;[202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Conso brute"/>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6"/>
    <rowHierarchyUsage hierarchyUsage="12"/>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TCD_DJU_Suivi" cacheId="989" applyNumberFormats="0" applyBorderFormats="0" applyFontFormats="0" applyPatternFormats="0" applyAlignmentFormats="0" applyWidthHeightFormats="1" dataCaption="Valeurs" updatedVersion="7" minRefreshableVersion="3" useAutoFormatting="1" itemPrintTitles="1" createdVersion="6" indent="0" outline="1" outlineData="1" multipleFieldFilters="0">
  <location ref="P92:Q422" firstHeaderRow="1" firstDataRow="1" firstDataCol="1"/>
  <pivotFields count="6">
    <pivotField showAll="0"/>
    <pivotField axis="axisRow" showAll="0">
      <items count="28">
        <item x="0"/>
        <item x="1"/>
        <item x="2"/>
        <item x="3"/>
        <item x="4"/>
        <item x="5"/>
        <item x="6"/>
        <item x="7"/>
        <item x="8"/>
        <item x="9"/>
        <item x="10"/>
        <item x="11"/>
        <item x="12"/>
        <item x="13"/>
        <item x="14"/>
        <item x="15"/>
        <item x="16"/>
        <item x="17"/>
        <item x="18"/>
        <item x="19"/>
        <item x="20"/>
        <item x="21"/>
        <item x="22"/>
        <item x="23"/>
        <item x="24"/>
        <item x="26"/>
        <item x="25"/>
        <item t="default"/>
      </items>
    </pivotField>
    <pivotField showAll="0"/>
    <pivotField axis="axisRow" showAll="0">
      <items count="14">
        <item x="0"/>
        <item x="1"/>
        <item x="2"/>
        <item x="3"/>
        <item x="4"/>
        <item x="5"/>
        <item x="6"/>
        <item x="7"/>
        <item x="8"/>
        <item x="9"/>
        <item x="10"/>
        <item x="11"/>
        <item x="12"/>
        <item t="default"/>
      </items>
    </pivotField>
    <pivotField dataField="1" showAll="0"/>
    <pivotField showAll="0"/>
  </pivotFields>
  <rowFields count="2">
    <field x="1"/>
    <field x="3"/>
  </rowFields>
  <rowItems count="330">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r="1">
      <x v="2"/>
    </i>
    <i r="1">
      <x v="3"/>
    </i>
    <i r="1">
      <x v="4"/>
    </i>
    <i r="1">
      <x v="5"/>
    </i>
    <i r="1">
      <x v="6"/>
    </i>
    <i r="1">
      <x v="7"/>
    </i>
    <i r="1">
      <x v="8"/>
    </i>
    <i r="1">
      <x v="9"/>
    </i>
    <i r="1">
      <x v="10"/>
    </i>
    <i r="1">
      <x v="11"/>
    </i>
    <i>
      <x v="19"/>
    </i>
    <i r="1">
      <x/>
    </i>
    <i r="1">
      <x v="1"/>
    </i>
    <i r="1">
      <x v="2"/>
    </i>
    <i r="1">
      <x v="3"/>
    </i>
    <i r="1">
      <x v="4"/>
    </i>
    <i r="1">
      <x v="5"/>
    </i>
    <i r="1">
      <x v="6"/>
    </i>
    <i r="1">
      <x v="7"/>
    </i>
    <i r="1">
      <x v="8"/>
    </i>
    <i r="1">
      <x v="9"/>
    </i>
    <i r="1">
      <x v="10"/>
    </i>
    <i r="1">
      <x v="11"/>
    </i>
    <i>
      <x v="20"/>
    </i>
    <i r="1">
      <x/>
    </i>
    <i r="1">
      <x v="1"/>
    </i>
    <i r="1">
      <x v="2"/>
    </i>
    <i r="1">
      <x v="3"/>
    </i>
    <i r="1">
      <x v="4"/>
    </i>
    <i r="1">
      <x v="5"/>
    </i>
    <i r="1">
      <x v="6"/>
    </i>
    <i r="1">
      <x v="7"/>
    </i>
    <i r="1">
      <x v="8"/>
    </i>
    <i r="1">
      <x v="9"/>
    </i>
    <i r="1">
      <x v="10"/>
    </i>
    <i r="1">
      <x v="11"/>
    </i>
    <i>
      <x v="21"/>
    </i>
    <i r="1">
      <x/>
    </i>
    <i r="1">
      <x v="1"/>
    </i>
    <i r="1">
      <x v="2"/>
    </i>
    <i r="1">
      <x v="3"/>
    </i>
    <i r="1">
      <x v="4"/>
    </i>
    <i r="1">
      <x v="5"/>
    </i>
    <i r="1">
      <x v="6"/>
    </i>
    <i r="1">
      <x v="7"/>
    </i>
    <i r="1">
      <x v="8"/>
    </i>
    <i r="1">
      <x v="9"/>
    </i>
    <i r="1">
      <x v="10"/>
    </i>
    <i r="1">
      <x v="11"/>
    </i>
    <i>
      <x v="22"/>
    </i>
    <i r="1">
      <x/>
    </i>
    <i r="1">
      <x v="1"/>
    </i>
    <i r="1">
      <x v="2"/>
    </i>
    <i r="1">
      <x v="3"/>
    </i>
    <i r="1">
      <x v="4"/>
    </i>
    <i r="1">
      <x v="5"/>
    </i>
    <i r="1">
      <x v="6"/>
    </i>
    <i r="1">
      <x v="7"/>
    </i>
    <i r="1">
      <x v="8"/>
    </i>
    <i r="1">
      <x v="9"/>
    </i>
    <i r="1">
      <x v="10"/>
    </i>
    <i r="1">
      <x v="11"/>
    </i>
    <i>
      <x v="23"/>
    </i>
    <i r="1">
      <x/>
    </i>
    <i r="1">
      <x v="1"/>
    </i>
    <i r="1">
      <x v="2"/>
    </i>
    <i r="1">
      <x v="3"/>
    </i>
    <i r="1">
      <x v="4"/>
    </i>
    <i r="1">
      <x v="5"/>
    </i>
    <i r="1">
      <x v="6"/>
    </i>
    <i r="1">
      <x v="7"/>
    </i>
    <i r="1">
      <x v="8"/>
    </i>
    <i r="1">
      <x v="9"/>
    </i>
    <i r="1">
      <x v="10"/>
    </i>
    <i r="1">
      <x v="11"/>
    </i>
    <i>
      <x v="24"/>
    </i>
    <i r="1">
      <x/>
    </i>
    <i r="1">
      <x v="1"/>
    </i>
    <i r="1">
      <x v="2"/>
    </i>
    <i r="1">
      <x v="3"/>
    </i>
    <i r="1">
      <x v="4"/>
    </i>
    <i r="1">
      <x v="5"/>
    </i>
    <i r="1">
      <x v="6"/>
    </i>
    <i r="1">
      <x v="7"/>
    </i>
    <i r="1">
      <x v="8"/>
    </i>
    <i r="1">
      <x v="9"/>
    </i>
    <i r="1">
      <x v="10"/>
    </i>
    <i r="1">
      <x v="11"/>
    </i>
    <i>
      <x v="25"/>
    </i>
    <i r="1">
      <x v="12"/>
    </i>
    <i>
      <x v="26"/>
    </i>
    <i r="1">
      <x/>
    </i>
    <i t="grand">
      <x/>
    </i>
  </rowItems>
  <colItems count="1">
    <i/>
  </colItems>
  <dataFields count="1">
    <dataField name="Somme de DJU(chauffagis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DD570DC-2C1D-425C-B20C-690CD9932E70}" name="TCD_ECS_Mensuel" cacheId="987" applyNumberFormats="0" applyBorderFormats="0" applyFontFormats="0" applyPatternFormats="0" applyAlignmentFormats="0" applyWidthHeightFormats="1" dataCaption="Valeurs" tag="41c45e4b-f4b4-4e46-80f1-fa497f81aa2c" updatedVersion="7" minRefreshableVersion="3" useAutoFormatting="1" subtotalHiddenItems="1" itemPrintTitles="1" createdVersion="7" indent="0" outline="1" outlineData="1" multipleFieldFilters="0">
  <location ref="P66:AA80" firstHeaderRow="1" firstDataRow="2" firstDataCol="1" rowPageCount="1" colPageCount="1"/>
  <pivotFields count="4">
    <pivotField axis="axisCol" allDrilled="1" subtotalTop="0" showAll="0" dataSourceSort="1" defaultSubtotal="0" defaultAttributeDrillState="1">
      <items count="10">
        <item x="0"/>
        <item x="1"/>
        <item x="2"/>
        <item x="3"/>
        <item x="4"/>
        <item x="5"/>
        <item x="6"/>
        <item x="7"/>
        <item x="8"/>
        <item x="9"/>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Page" allDrilled="1" subtotalTop="0" showAll="0" dataSourceSort="1" defaultSubtotal="0" defaultAttributeDrillState="1"/>
    <pivotField dataField="1" subtotalTop="0" showAll="0" defaultSubtotal="0"/>
  </pivotFields>
  <rowFields count="1">
    <field x="1"/>
  </rowFields>
  <rowItems count="13">
    <i>
      <x/>
    </i>
    <i>
      <x v="1"/>
    </i>
    <i>
      <x v="2"/>
    </i>
    <i>
      <x v="3"/>
    </i>
    <i>
      <x v="4"/>
    </i>
    <i>
      <x v="5"/>
    </i>
    <i>
      <x v="6"/>
    </i>
    <i>
      <x v="7"/>
    </i>
    <i>
      <x v="8"/>
    </i>
    <i>
      <x v="9"/>
    </i>
    <i>
      <x v="10"/>
    </i>
    <i>
      <x v="11"/>
    </i>
    <i t="grand">
      <x/>
    </i>
  </rowItems>
  <colFields count="1">
    <field x="0"/>
  </colFields>
  <colItems count="11">
    <i>
      <x/>
    </i>
    <i>
      <x v="1"/>
    </i>
    <i>
      <x v="2"/>
    </i>
    <i>
      <x v="3"/>
    </i>
    <i>
      <x v="4"/>
    </i>
    <i>
      <x v="5"/>
    </i>
    <i>
      <x v="6"/>
    </i>
    <i>
      <x v="7"/>
    </i>
    <i>
      <x v="8"/>
    </i>
    <i>
      <x v="9"/>
    </i>
    <i t="grand">
      <x/>
    </i>
  </colItems>
  <pageFields count="1">
    <pageField fld="2" hier="11" name="[Tab_concat].[Nom].&amp;[Eau Générale (factures)]" cap="Eau Générale (factures)"/>
  </pageFields>
  <dataFields count="1">
    <dataField name="Somme de Demande_jour" fld="3" baseField="0" baseItem="0"/>
  </dataField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_concat].[Nom].&amp;[Eau Générale (factu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48EFD36-446F-4595-9558-C61F37462DE2}" name="TCD_compteur_2" cacheId="986" applyNumberFormats="0" applyBorderFormats="0" applyFontFormats="0" applyPatternFormats="0" applyAlignmentFormats="0" applyWidthHeightFormats="1" dataCaption="Valeurs" tag="991314ce-ac0e-4569-a7f5-f2a0a2990f59" updatedVersion="7" minRefreshableVersion="3" useAutoFormatting="1" subtotalHiddenItems="1" itemPrintTitles="1" createdVersion="7" indent="0" outline="1" outlineData="1" multipleFieldFilters="0">
  <location ref="P29:AG43" firstHeaderRow="1" firstDataRow="2" firstDataCol="1" rowPageCount="1" colPageCount="1"/>
  <pivotFields count="4">
    <pivotField dataField="1" subtotalTop="0" showAll="0" defaultSubtotal="0"/>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Page" allDrilled="1" subtotalTop="0" showAll="0" dataSourceSort="1" defaultSubtotal="0" defaultAttributeDrillState="1"/>
  </pivotFields>
  <rowFields count="1">
    <field x="2"/>
  </rowFields>
  <rowItems count="13">
    <i>
      <x/>
    </i>
    <i>
      <x v="1"/>
    </i>
    <i>
      <x v="2"/>
    </i>
    <i>
      <x v="3"/>
    </i>
    <i>
      <x v="4"/>
    </i>
    <i>
      <x v="5"/>
    </i>
    <i>
      <x v="6"/>
    </i>
    <i>
      <x v="7"/>
    </i>
    <i>
      <x v="8"/>
    </i>
    <i>
      <x v="9"/>
    </i>
    <i>
      <x v="10"/>
    </i>
    <i>
      <x v="11"/>
    </i>
    <i t="grand">
      <x/>
    </i>
  </rowItems>
  <colFields count="1">
    <field x="1"/>
  </colFields>
  <colItems count="17">
    <i>
      <x/>
    </i>
    <i>
      <x v="1"/>
    </i>
    <i>
      <x v="2"/>
    </i>
    <i>
      <x v="3"/>
    </i>
    <i>
      <x v="4"/>
    </i>
    <i>
      <x v="5"/>
    </i>
    <i>
      <x v="6"/>
    </i>
    <i>
      <x v="7"/>
    </i>
    <i>
      <x v="8"/>
    </i>
    <i>
      <x v="9"/>
    </i>
    <i>
      <x v="10"/>
    </i>
    <i>
      <x v="11"/>
    </i>
    <i>
      <x v="12"/>
    </i>
    <i>
      <x v="13"/>
    </i>
    <i>
      <x v="14"/>
    </i>
    <i>
      <x v="15"/>
    </i>
    <i t="grand">
      <x/>
    </i>
  </colItems>
  <pageFields count="1">
    <pageField fld="3" hier="11" name="[Tab_concat].[Nom].&amp;[Chaleur Générale (factures)]" cap="Chaleur Générale (factures)"/>
  </pageFields>
  <dataFields count="1">
    <dataField name="Somme de Conso_kWh_PCI" fld="0" baseField="0" baseItem="0"/>
  </dataField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_concat].[Nom].&amp;[Chaleur Générale (factu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F98C564B-0EA8-4E8C-9675-6D4D66EE76E1}" name="Tableau croisé dynamique13" cacheId="989" applyNumberFormats="0" applyBorderFormats="0" applyFontFormats="0" applyPatternFormats="0" applyAlignmentFormats="0" applyWidthHeightFormats="1" dataCaption="Valeurs" updatedVersion="7" minRefreshableVersion="3" useAutoFormatting="1" itemPrintTitles="1" createdVersion="6" indent="0" outline="1" outlineData="1" multipleFieldFilters="0">
  <location ref="V92:W106" firstHeaderRow="1" firstDataRow="1" firstDataCol="1"/>
  <pivotFields count="6">
    <pivotField showAll="0"/>
    <pivotField showAll="0"/>
    <pivotField showAll="0"/>
    <pivotField axis="axisRow" showAll="0">
      <items count="14">
        <item x="0"/>
        <item x="1"/>
        <item x="2"/>
        <item x="3"/>
        <item x="4"/>
        <item x="5"/>
        <item x="6"/>
        <item x="7"/>
        <item x="8"/>
        <item x="9"/>
        <item x="10"/>
        <item x="11"/>
        <item x="12"/>
        <item t="default"/>
      </items>
    </pivotField>
    <pivotField dataField="1" showAll="0"/>
    <pivotField showAll="0"/>
  </pivotFields>
  <rowFields count="1">
    <field x="3"/>
  </rowFields>
  <rowItems count="14">
    <i>
      <x/>
    </i>
    <i>
      <x v="1"/>
    </i>
    <i>
      <x v="2"/>
    </i>
    <i>
      <x v="3"/>
    </i>
    <i>
      <x v="4"/>
    </i>
    <i>
      <x v="5"/>
    </i>
    <i>
      <x v="6"/>
    </i>
    <i>
      <x v="7"/>
    </i>
    <i>
      <x v="8"/>
    </i>
    <i>
      <x v="9"/>
    </i>
    <i>
      <x v="10"/>
    </i>
    <i>
      <x v="11"/>
    </i>
    <i>
      <x v="12"/>
    </i>
    <i t="grand">
      <x/>
    </i>
  </rowItems>
  <colItems count="1">
    <i/>
  </colItems>
  <dataFields count="1">
    <dataField name="Moyenne de DJU(chauffagiste)" fld="4" subtotal="average"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BC5642F-BF6C-472E-B6D8-A36C68A1DD21}" name="TCD_Suivi_compteur_1" cacheId="985" applyNumberFormats="0" applyBorderFormats="0" applyFontFormats="0" applyPatternFormats="0" applyAlignmentFormats="0" applyWidthHeightFormats="1" dataCaption="Valeurs" tag="b2416d50-1d2a-48fd-b8a4-193a257fdd6c" updatedVersion="7" minRefreshableVersion="3" useAutoFormatting="1" subtotalHiddenItems="1" itemPrintTitles="1" createdVersion="7" indent="0" outline="1" outlineData="1" multipleFieldFilters="0">
  <location ref="P3:AG17" firstHeaderRow="1" firstDataRow="2" firstDataCol="1" rowPageCount="1" colPageCount="1"/>
  <pivotFields count="4">
    <pivotField dataField="1" subtotalTop="0" showAll="0" defaultSubtotal="0"/>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Page" allDrilled="1" subtotalTop="0" showAll="0" dataSourceSort="1" defaultSubtotal="0" defaultAttributeDrillState="1"/>
  </pivotFields>
  <rowFields count="1">
    <field x="2"/>
  </rowFields>
  <rowItems count="13">
    <i>
      <x/>
    </i>
    <i>
      <x v="1"/>
    </i>
    <i>
      <x v="2"/>
    </i>
    <i>
      <x v="3"/>
    </i>
    <i>
      <x v="4"/>
    </i>
    <i>
      <x v="5"/>
    </i>
    <i>
      <x v="6"/>
    </i>
    <i>
      <x v="7"/>
    </i>
    <i>
      <x v="8"/>
    </i>
    <i>
      <x v="9"/>
    </i>
    <i>
      <x v="10"/>
    </i>
    <i>
      <x v="11"/>
    </i>
    <i t="grand">
      <x/>
    </i>
  </rowItems>
  <colFields count="1">
    <field x="1"/>
  </colFields>
  <colItems count="17">
    <i>
      <x/>
    </i>
    <i>
      <x v="1"/>
    </i>
    <i>
      <x v="2"/>
    </i>
    <i>
      <x v="3"/>
    </i>
    <i>
      <x v="4"/>
    </i>
    <i>
      <x v="5"/>
    </i>
    <i>
      <x v="6"/>
    </i>
    <i>
      <x v="7"/>
    </i>
    <i>
      <x v="8"/>
    </i>
    <i>
      <x v="9"/>
    </i>
    <i>
      <x v="10"/>
    </i>
    <i>
      <x v="11"/>
    </i>
    <i>
      <x v="12"/>
    </i>
    <i>
      <x v="13"/>
    </i>
    <i>
      <x v="14"/>
    </i>
    <i>
      <x v="15"/>
    </i>
    <i t="grand">
      <x/>
    </i>
  </colItems>
  <pageFields count="1">
    <pageField fld="3" hier="11" name="[Tab_concat].[Nom].&amp;[Elec Générale (Factures)]" cap="Elec Générale (Factures)"/>
  </pageFields>
  <dataFields count="1">
    <dataField name="Somme de Conso_kWh_PCI" fld="0" baseField="0" baseItem="0"/>
  </dataField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_concat].[Nom].&amp;[Elec Générale (Factu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213B039-76B4-49D7-9FB8-3D1E142CAB2C}" name="Tableau croisé dynamique1" cacheId="988" applyNumberFormats="0" applyBorderFormats="0" applyFontFormats="0" applyPatternFormats="0" applyAlignmentFormats="0" applyWidthHeightFormats="1" dataCaption="Valeurs" tag="46be08fb-beb1-4999-9bd3-e7d161c8ff23" updatedVersion="7" minRefreshableVersion="5" useAutoFormatting="1" subtotalHiddenItems="1" itemPrintTitles="1" createdVersion="7" indent="0" outline="1" outlineData="1" multipleFieldFilters="0" chartFormat="1">
  <location ref="M5:N11" firstHeaderRow="1" firstDataRow="1" firstDataCol="1" rowPageCount="1" colPageCount="1"/>
  <pivotFields count="6">
    <pivotField axis="axisPage" allDrilled="1" subtotalTop="0" showAll="0" dataSourceSort="1" defaultSubtotal="0" defaultAttributeDrillState="1"/>
    <pivotField axis="axisRow" allDrilled="1" subtotalTop="0" showAll="0" dataSourceSort="1" defaultSubtotal="0" defaultAttributeDrillState="1">
      <items count="45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s>
    </pivotField>
    <pivotField axis="axisRow" allDrilled="1" subtotalTop="0" showAll="0" dataSourceSort="1" defaultSubtotal="0">
      <items count="12">
        <item x="0" e="0"/>
        <item x="1" e="0"/>
        <item x="2" e="0"/>
        <item x="3" e="0"/>
        <item x="4" e="0"/>
        <item x="5" e="0"/>
        <item x="6" e="0"/>
        <item x="7" e="0"/>
        <item x="8" e="0"/>
        <item x="9" e="0"/>
        <item x="10" e="0"/>
        <item x="11" e="0"/>
      </items>
    </pivotField>
    <pivotField axis="axisRow" allDrilled="1" subtotalTop="0" showAll="0" dataSourceSort="1" defaultSubtotal="0">
      <items count="4">
        <item x="0" e="0"/>
        <item x="1" e="0"/>
        <item x="2" e="0"/>
        <item x="3" e="0"/>
      </items>
    </pivotField>
    <pivotField axis="axisRow" allDrilled="1" subtotalTop="0" showAll="0" dataSourceSort="1" defaultSubtotal="0">
      <items count="5">
        <item x="0" e="0"/>
        <item x="1" e="0"/>
        <item x="2" e="0"/>
        <item x="3" e="0"/>
        <item x="4" e="0"/>
      </items>
    </pivotField>
    <pivotField dataField="1" subtotalTop="0" showAll="0" defaultSubtotal="0"/>
  </pivotFields>
  <rowFields count="4">
    <field x="4"/>
    <field x="3"/>
    <field x="2"/>
    <field x="1"/>
  </rowFields>
  <rowItems count="6">
    <i>
      <x/>
    </i>
    <i>
      <x v="1"/>
    </i>
    <i>
      <x v="2"/>
    </i>
    <i>
      <x v="3"/>
    </i>
    <i>
      <x v="4"/>
    </i>
    <i t="grand">
      <x/>
    </i>
  </rowItems>
  <colItems count="1">
    <i/>
  </colItems>
  <pageFields count="1">
    <pageField fld="0" hier="11" name="[Tab_concat].[Nom].[All]" cap="All"/>
  </pageFields>
  <dataFields count="1">
    <dataField fld="5"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1" type="dateBetween" evalOrder="-1" id="71" name="[Tab_concat].[Dates]">
      <autoFilter ref="A1">
        <filterColumn colId="0">
          <customFilters and="1">
            <customFilter operator="greaterThanOrEqual" val="44197"/>
            <customFilter operator="lessThanOrEqual" val="46022"/>
          </customFilters>
        </filterColumn>
      </autoFilter>
      <extLst>
        <ext xmlns:x15="http://schemas.microsoft.com/office/spreadsheetml/2010/11/main" uri="{0605FD5F-26C8-4aeb-8148-2DB25E43C511}">
          <x15:pivotFilter useWholeDay="1"/>
        </ext>
      </extLst>
    </filter>
  </filters>
  <rowHierarchiesUsage count="4">
    <rowHierarchyUsage hierarchyUsage="17"/>
    <rowHierarchyUsage hierarchyUsage="18"/>
    <rowHierarchyUsage hierarchyUsage="19"/>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4BC64AB-3A99-4E27-9C9F-1FA7A73949A8}" name="PivotChartTable2" cacheId="1004" applyNumberFormats="0" applyBorderFormats="0" applyFontFormats="0" applyPatternFormats="0" applyAlignmentFormats="0" applyWidthHeightFormats="1" dataCaption="Valeurs" updatedVersion="7" minRefreshableVersion="5" useAutoFormatting="1" subtotalHiddenItems="1" itemPrintTitles="1" createdVersion="7" indent="0" outline="1" outlineData="1" multipleFieldFilters="0" chartFormat="1">
  <location ref="A1:E13" firstHeaderRow="1" firstDataRow="2" firstDataCol="1"/>
  <pivotFields count="4">
    <pivotField axis="axisRow" allDrilled="1" subtotalTop="0" showAll="0" dataSourceSort="1" defaultSubtotal="0">
      <items count="10">
        <item x="0" e="0"/>
        <item x="1" e="0"/>
        <item x="2" e="0"/>
        <item x="3" e="0"/>
        <item x="4" e="0"/>
        <item x="5" e="0"/>
        <item x="6" e="0"/>
        <item x="7" e="0"/>
        <item x="8" e="0"/>
        <item x="9" e="0"/>
      </items>
    </pivotField>
    <pivotField axis="axisCol" allDrilled="1" subtotalTop="0" showAll="0" dataSourceSort="1" defaultSubtotal="0" defaultAttributeDrillState="1">
      <items count="3">
        <item s="1" x="0"/>
        <item s="1" x="1"/>
        <item s="1" x="2"/>
      </items>
    </pivotField>
    <pivotField dataField="1" subtotalTop="0" showAll="0" defaultSubtotal="0"/>
    <pivotField allDrilled="1" subtotalTop="0" showAll="0" dataSourceSort="1" defaultSubtotal="0" defaultAttributeDrillState="1"/>
  </pivotFields>
  <rowFields count="1">
    <field x="0"/>
  </rowFields>
  <rowItems count="11">
    <i>
      <x/>
    </i>
    <i>
      <x v="1"/>
    </i>
    <i>
      <x v="2"/>
    </i>
    <i>
      <x v="3"/>
    </i>
    <i>
      <x v="4"/>
    </i>
    <i>
      <x v="5"/>
    </i>
    <i>
      <x v="6"/>
    </i>
    <i>
      <x v="7"/>
    </i>
    <i>
      <x v="8"/>
    </i>
    <i>
      <x v="9"/>
    </i>
    <i t="grand">
      <x/>
    </i>
  </rowItems>
  <colFields count="1">
    <field x="1"/>
  </colFields>
  <colItems count="4">
    <i>
      <x/>
    </i>
    <i>
      <x v="1"/>
    </i>
    <i>
      <x v="2"/>
    </i>
    <i t="grand">
      <x/>
    </i>
  </colItems>
  <dataFields count="1">
    <dataField name="Somme de Cout_jour" fld="2" baseField="0" baseItem="0"/>
  </dataFields>
  <chartFormats count="4">
    <chartFormat chart="0" format="7" series="1">
      <pivotArea type="data" outline="0" fieldPosition="0">
        <references count="2">
          <reference field="4294967294" count="1" selected="0">
            <x v="0"/>
          </reference>
          <reference field="1" count="1" selected="0">
            <x v="1"/>
          </reference>
        </references>
      </pivotArea>
    </chartFormat>
    <chartFormat chart="0" format="8" series="1">
      <pivotArea type="data" outline="0" fieldPosition="0">
        <references count="2">
          <reference field="4294967294" count="1" selected="0">
            <x v="0"/>
          </reference>
          <reference field="1" count="1" selected="0">
            <x v="2"/>
          </reference>
        </references>
      </pivotArea>
    </chartFormat>
    <chartFormat chart="0" format="9" series="1">
      <pivotArea type="data" outline="0" fieldPosition="0">
        <references count="2">
          <reference field="4294967294" count="1" selected="0">
            <x v="0"/>
          </reference>
          <reference field="1" count="1" selected="0">
            <x v="0"/>
          </reference>
        </references>
      </pivotArea>
    </chartFormat>
    <chartFormat chart="0" format="10">
      <pivotArea type="data" outline="0" fieldPosition="0">
        <references count="3">
          <reference field="4294967294" count="1" selected="0">
            <x v="0"/>
          </reference>
          <reference field="0" count="1" selected="0">
            <x v="0"/>
          </reference>
          <reference field="1" count="1" selected="0">
            <x v="2"/>
          </reference>
        </references>
      </pivotArea>
    </chartFormat>
  </chart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filters count="1">
    <filter fld="3" type="dateBetween" evalOrder="-1" id="61" name="[Tab_concat].[Dates]">
      <autoFilter ref="A1">
        <filterColumn colId="0">
          <customFilters and="1">
            <customFilter operator="greaterThanOrEqual" val="42736"/>
            <customFilter operator="lessThanOrEqual" val="46387"/>
          </customFilters>
        </filterColumn>
      </autoFilter>
      <extLst>
        <ext xmlns:x15="http://schemas.microsoft.com/office/spreadsheetml/2010/11/main" uri="{0605FD5F-26C8-4aeb-8148-2DB25E43C511}">
          <x15:pivotFilter useWholeDay="1"/>
        </ext>
      </extLst>
    </filter>
  </filters>
  <rowHierarchiesUsage count="1">
    <rowHierarchyUsage hierarchyUsage="17"/>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1" columnCount="4" cacheId="1849230498">
        <x15:pivotRow count="4">
          <x15:c>
            <x15:v>5106.1000000000004</x15:v>
          </x15:c>
          <x15:c>
            <x15:v>15138.929999999968</x15:v>
          </x15:c>
          <x15:c>
            <x15:v>23016.900000000049</x15:v>
          </x15:c>
          <x15:c>
            <x15:v>43261.930000000095</x15:v>
          </x15:c>
        </x15:pivotRow>
        <x15:pivotRow count="4">
          <x15:c>
            <x15:v>2890</x15:v>
          </x15:c>
          <x15:c>
            <x15:v>13164.459999999992</x15:v>
          </x15:c>
          <x15:c>
            <x15:v>19568.22000000003</x15:v>
          </x15:c>
          <x15:c>
            <x15:v>35622.680000000008</x15:v>
          </x15:c>
        </x15:pivotRow>
        <x15:pivotRow count="4">
          <x15:c>
            <x15:v>2465.34</x15:v>
          </x15:c>
          <x15:c>
            <x15:v>14589.520000000022</x15:v>
          </x15:c>
          <x15:c>
            <x15:v>20910.010000000035</x15:v>
          </x15:c>
          <x15:c>
            <x15:v>37964.870000000054</x15:v>
          </x15:c>
        </x15:pivotRow>
        <x15:pivotRow count="4">
          <x15:c>
            <x15:v>2633.46</x15:v>
          </x15:c>
          <x15:c>
            <x15:v>16502.759999999991</x15:v>
          </x15:c>
          <x15:c>
            <x15:v>20448.329999999965</x15:v>
          </x15:c>
          <x15:c>
            <x15:v>39584.550000000017</x15:v>
          </x15:c>
        </x15:pivotRow>
        <x15:pivotRow count="4">
          <x15:c>
            <x15:v>0</x15:v>
          </x15:c>
          <x15:c>
            <x15:v>17501.820000000007</x15:v>
          </x15:c>
          <x15:c>
            <x15:v>21244.659999999967</x15:v>
          </x15:c>
          <x15:c>
            <x15:v>38746.47999999993</x15:v>
          </x15:c>
        </x15:pivotRow>
        <x15:pivotRow count="4">
          <x15:c>
            <x15:v>0</x15:v>
          </x15:c>
          <x15:c>
            <x15:v>15016.490000000005</x15:v>
          </x15:c>
          <x15:c>
            <x15:v>50289.647741935485</x15:v>
          </x15:c>
          <x15:c>
            <x15:v>65306.137741935345</x15:v>
          </x15:c>
        </x15:pivotRow>
        <x15:pivotRow count="4">
          <x15:c>
            <x15:v>0</x15:v>
          </x15:c>
          <x15:c>
            <x15:v>26148.860000000008</x15:v>
          </x15:c>
          <x15:c>
            <x15:v>35862.698709677381</x15:v>
          </x15:c>
          <x15:c>
            <x15:v>62011.558709677367</x15:v>
          </x15:c>
        </x15:pivotRow>
        <x15:pivotRow count="4">
          <x15:c>
            <x15:v>0</x15:v>
          </x15:c>
          <x15:c>
            <x15:v>29846.47870967734</x15:v>
          </x15:c>
          <x15:c>
            <x15:v>34891.253548387002</x15:v>
          </x15:c>
          <x15:c>
            <x15:v>64737.73225806444</x15:v>
          </x15:c>
        </x15:pivotRow>
        <x15:pivotRow count="4">
          <x15:c>
            <x15:v>0</x15:v>
          </x15:c>
          <x15:c>
            <x15:v>23621.281290322615</x15:v>
          </x15:c>
          <x15:c>
            <x15:v>33198.830000000038</x15:v>
          </x15:c>
          <x15:c>
            <x15:v>56820.111290322653</x15:v>
          </x15:c>
        </x15:pivotRow>
        <x15:pivotRow count="4">
          <x15:c>
            <x15:v>0</x15:v>
          </x15:c>
          <x15:c t="e">
            <x15:v/>
          </x15:c>
          <x15:c t="e">
            <x15:v/>
          </x15:c>
          <x15:c>
            <x15:v>0</x15:v>
          </x15:c>
        </x15:pivotRow>
        <x15:pivotRow count="4">
          <x15:c>
            <x15:v>13094.900000000001</x15:v>
          </x15:c>
          <x15:c>
            <x15:v>171530.59999999873</x15:v>
          </x15:c>
          <x15:c>
            <x15:v>259430.55000000005</x15:v>
          </x15:c>
          <x15:c>
            <x15:v>444056.04999999877</x15:v>
          </x15:c>
        </x15:pivotRow>
      </x15:pivotTableData>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B6A2032-2B93-4A61-8D17-C9CCF2EFA111}" name="TCD_Conso_X_annee" cacheId="984" applyNumberFormats="0" applyBorderFormats="0" applyFontFormats="0" applyPatternFormats="0" applyAlignmentFormats="0" applyWidthHeightFormats="1" dataCaption="Valeurs" tag="af569d39-1fc3-4bde-bf71-ca18fd54dd0c" updatedVersion="7" minRefreshableVersion="3" useAutoFormatting="1" subtotalHiddenItems="1" itemPrintTitles="1" createdVersion="7" indent="0" outline="1" outlineData="1" multipleFieldFilters="0">
  <location ref="B3:AD24" firstHeaderRow="1" firstDataRow="4" firstDataCol="1"/>
  <pivotFields count="7">
    <pivotField dataField="1" subtotalTop="0" showAll="0" defaultSubtotal="0"/>
    <pivotField dataField="1" subtotalTop="0" showAll="0" defaultSubtotal="0"/>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6">
        <item x="0"/>
        <item x="1"/>
        <item x="2"/>
        <item x="3"/>
        <item x="4"/>
        <item x="5"/>
      </items>
    </pivotField>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dataField="1" subtotalTop="0" showAll="0" defaultSubtotal="0"/>
    <pivotField dataField="1" subtotalTop="0" showAll="0" defaultSubtotal="0"/>
  </pivotFields>
  <rowFields count="1">
    <field x="4"/>
  </rowFields>
  <rowItems count="18">
    <i>
      <x/>
    </i>
    <i>
      <x v="1"/>
    </i>
    <i>
      <x v="2"/>
    </i>
    <i>
      <x v="3"/>
    </i>
    <i>
      <x v="4"/>
    </i>
    <i>
      <x v="5"/>
    </i>
    <i>
      <x v="6"/>
    </i>
    <i>
      <x v="7"/>
    </i>
    <i>
      <x v="8"/>
    </i>
    <i>
      <x v="9"/>
    </i>
    <i>
      <x v="10"/>
    </i>
    <i>
      <x v="11"/>
    </i>
    <i>
      <x v="12"/>
    </i>
    <i>
      <x v="13"/>
    </i>
    <i>
      <x v="14"/>
    </i>
    <i>
      <x v="15"/>
    </i>
    <i>
      <x v="16"/>
    </i>
    <i t="grand">
      <x/>
    </i>
  </rowItems>
  <colFields count="3">
    <field x="2"/>
    <field x="3"/>
    <field x="-2"/>
  </colFields>
  <colItems count="28">
    <i>
      <x/>
      <x/>
      <x/>
    </i>
    <i r="2" i="1">
      <x v="1"/>
    </i>
    <i r="2" i="2">
      <x v="2"/>
    </i>
    <i r="2" i="3">
      <x v="3"/>
    </i>
    <i r="1">
      <x v="1"/>
      <x/>
    </i>
    <i r="2" i="1">
      <x v="1"/>
    </i>
    <i r="2" i="2">
      <x v="2"/>
    </i>
    <i r="2" i="3">
      <x v="3"/>
    </i>
    <i r="1">
      <x v="2"/>
      <x/>
    </i>
    <i r="2" i="1">
      <x v="1"/>
    </i>
    <i r="2" i="2">
      <x v="2"/>
    </i>
    <i r="2" i="3">
      <x v="3"/>
    </i>
    <i>
      <x v="1"/>
      <x v="3"/>
      <x/>
    </i>
    <i r="2" i="1">
      <x v="1"/>
    </i>
    <i r="2" i="2">
      <x v="2"/>
    </i>
    <i r="2" i="3">
      <x v="3"/>
    </i>
    <i>
      <x v="2"/>
      <x v="4"/>
      <x/>
    </i>
    <i r="2" i="1">
      <x v="1"/>
    </i>
    <i r="2" i="2">
      <x v="2"/>
    </i>
    <i r="2" i="3">
      <x v="3"/>
    </i>
    <i r="1">
      <x v="5"/>
      <x/>
    </i>
    <i r="2" i="1">
      <x v="1"/>
    </i>
    <i r="2" i="2">
      <x v="2"/>
    </i>
    <i r="2" i="3">
      <x v="3"/>
    </i>
    <i t="grand">
      <x/>
    </i>
    <i t="grand" i="1">
      <x/>
    </i>
    <i t="grand" i="2">
      <x/>
    </i>
    <i t="grand" i="3">
      <x/>
    </i>
  </colItems>
  <dataFields count="4">
    <dataField name="Somme de Demande_jour" fld="6" baseField="0" baseItem="0"/>
    <dataField name="Somme de Conso_kWh_PCI" fld="0" baseField="0" baseItem="0"/>
    <dataField name="Somme de Conso_kWh_DEET" fld="1" baseField="0" baseItem="0"/>
    <dataField name="Somme de Conso_kWhEP" fld="5" baseField="0" baseItem="0"/>
  </dataField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3">
    <colHierarchyUsage hierarchyUsage="6"/>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EA223B7-0E84-473C-AA22-1047A173BDCA}" name="PivotChartTable1" cacheId="1005" applyNumberFormats="0" applyBorderFormats="0" applyFontFormats="0" applyPatternFormats="0" applyAlignmentFormats="0" applyWidthHeightFormats="1" dataCaption="Valeurs" updatedVersion="7" minRefreshableVersion="5" useAutoFormatting="1" subtotalHiddenItems="1" itemPrintTitles="1" createdVersion="7" indent="0" outline="1" outlineData="1" multipleFieldFilters="0" chartFormat="1">
  <location ref="A1:E12" firstHeaderRow="1" firstDataRow="2" firstDataCol="1"/>
  <pivotFields count="6">
    <pivotField axis="axisCol" allDrilled="1" subtotalTop="0" showAll="0" dataSourceSort="1" defaultSubtotal="0" defaultAttributeDrillState="1">
      <items count="3">
        <item s="1" x="0"/>
        <item s="1" x="1"/>
        <item s="1" x="2"/>
      </items>
    </pivotField>
    <pivotField axis="axisRow" allDrilled="1" subtotalTop="0" showAll="0" dataSourceSort="1" defaultSubtotal="0" defaultAttributeDrillState="1">
      <items count="18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s>
    </pivotField>
    <pivotField axis="axisRow" allDrilled="1" subtotalTop="0" showAll="0" dataSourceSort="1" defaultSubtotal="0">
      <items count="12">
        <item x="0" e="0"/>
        <item x="1" e="0"/>
        <item x="2" e="0"/>
        <item x="3" e="0"/>
        <item x="4" e="0"/>
        <item x="5" e="0"/>
        <item x="6" e="0"/>
        <item x="7" e="0"/>
        <item x="8" e="0"/>
        <item x="9" e="0"/>
        <item x="10" e="0"/>
        <item x="11" e="0"/>
      </items>
    </pivotField>
    <pivotField axis="axisRow" allDrilled="1" subtotalTop="0" showAll="0" dataSourceSort="1" defaultSubtotal="0">
      <items count="4">
        <item x="0" e="0"/>
        <item x="1" e="0"/>
        <item x="2" e="0"/>
        <item x="3" e="0"/>
      </items>
    </pivotField>
    <pivotField axis="axisRow" allDrilled="1" subtotalTop="0" showAll="0" dataSourceSort="1" defaultSubtotal="0">
      <items count="9">
        <item x="0" e="0"/>
        <item x="1" e="0"/>
        <item x="2" e="0"/>
        <item x="3" e="0"/>
        <item x="4" e="0"/>
        <item x="5" e="0"/>
        <item x="6" e="0"/>
        <item x="7" e="0"/>
        <item x="8" e="0"/>
      </items>
    </pivotField>
    <pivotField dataField="1" subtotalTop="0" showAll="0" defaultSubtotal="0"/>
  </pivotFields>
  <rowFields count="4">
    <field x="4"/>
    <field x="3"/>
    <field x="2"/>
    <field x="1"/>
  </rowFields>
  <rowItems count="10">
    <i>
      <x/>
    </i>
    <i>
      <x v="1"/>
    </i>
    <i>
      <x v="2"/>
    </i>
    <i>
      <x v="3"/>
    </i>
    <i>
      <x v="4"/>
    </i>
    <i>
      <x v="5"/>
    </i>
    <i>
      <x v="6"/>
    </i>
    <i>
      <x v="7"/>
    </i>
    <i>
      <x v="8"/>
    </i>
    <i t="grand">
      <x/>
    </i>
  </rowItems>
  <colFields count="1">
    <field x="0"/>
  </colFields>
  <colItems count="4">
    <i>
      <x/>
    </i>
    <i>
      <x v="1"/>
    </i>
    <i>
      <x v="2"/>
    </i>
    <i t="grand">
      <x/>
    </i>
  </colItems>
  <dataFields count="1">
    <dataField name="Moyenne de Cout_unitaire" fld="5" subtotal="average" baseField="4" baseItem="2"/>
  </dataFields>
  <chartFormats count="3">
    <chartFormat chart="0" format="7" series="1">
      <pivotArea type="data" outline="0" fieldPosition="0">
        <references count="2">
          <reference field="4294967294" count="1" selected="0">
            <x v="0"/>
          </reference>
          <reference field="0" count="1" selected="0">
            <x v="1"/>
          </reference>
        </references>
      </pivotArea>
    </chartFormat>
    <chartFormat chart="0" format="8" series="1">
      <pivotArea type="data" outline="0" fieldPosition="0">
        <references count="2">
          <reference field="4294967294" count="1" selected="0">
            <x v="0"/>
          </reference>
          <reference field="0" count="1" selected="0">
            <x v="0"/>
          </reference>
        </references>
      </pivotArea>
    </chartFormat>
    <chartFormat chart="0" format="9" series="1">
      <pivotArea type="data" outline="0" fieldPosition="0">
        <references count="2">
          <reference field="4294967294" count="1" selected="0">
            <x v="0"/>
          </reference>
          <reference field="0" count="1" selected="0">
            <x v="2"/>
          </reference>
        </references>
      </pivotArea>
    </chartFormat>
  </chart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oyenne de Cout_unitaire2"/>
  </pivotHierarchies>
  <filters count="1">
    <filter fld="1" type="dateBetween" evalOrder="-1" id="62" name="[Tab_concat].[Dates]">
      <autoFilter ref="A1">
        <filterColumn colId="0">
          <customFilters and="1">
            <customFilter operator="greaterThanOrEqual" val="42736"/>
            <customFilter operator="lessThanOrEqual" val="46387"/>
          </customFilters>
        </filterColumn>
      </autoFilter>
      <extLst>
        <ext xmlns:x15="http://schemas.microsoft.com/office/spreadsheetml/2010/11/main" uri="{0605FD5F-26C8-4aeb-8148-2DB25E43C511}">
          <x15:pivotFilter useWholeDay="1"/>
        </ext>
      </extLst>
    </filter>
  </filters>
  <rowHierarchiesUsage count="4">
    <rowHierarchyUsage hierarchyUsage="17"/>
    <rowHierarchyUsage hierarchyUsage="18"/>
    <rowHierarchyUsage hierarchyUsage="19"/>
    <rowHierarchyUsage hierarchyUsage="1"/>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0" columnCount="4" cacheId="105622057">
        <x15:pivotRow count="4">
          <x15:c>
            <x15:v>0.11778480235098127</x15:v>
          </x15:c>
          <x15:c t="e">
            <x15:v>#NUM!</x15:v>
          </x15:c>
          <x15:c t="e">
            <x15:v/>
          </x15:c>
          <x15:c t="e">
            <x15:v>#NUM!</x15:v>
          </x15:c>
        </x15:pivotRow>
        <x15:pivotRow count="4">
          <x15:c t="e">
            <x15:v>#NUM!</x15:v>
          </x15:c>
          <x15:c t="e">
            <x15:v>#NUM!</x15:v>
          </x15:c>
          <x15:c t="e">
            <x15:v/>
          </x15:c>
          <x15:c t="e">
            <x15:v>#NUM!</x15:v>
          </x15:c>
        </x15:pivotRow>
        <x15:pivotRow count="4">
          <x15:c>
            <x15:v>0.13549093229965847</x15:v>
          </x15:c>
          <x15:c>
            <x15:v>5.4342915386628887E-2</x15:v>
          </x15:c>
          <x15:c t="e">
            <x15:v/>
          </x15:c>
          <x15:c>
            <x15:v>9.4916923843143583E-2</x15:v>
          </x15:c>
        </x15:pivotRow>
        <x15:pivotRow count="4">
          <x15:c>
            <x15:v>0.14296120562668566</x15:v>
          </x15:c>
          <x15:c>
            <x15:v>5.391320031920814E-2</x15:v>
          </x15:c>
          <x15:c t="e">
            <x15:v/>
          </x15:c>
          <x15:c>
            <x15:v>9.8437202972946891E-2</x15:v>
          </x15:c>
        </x15:pivotRow>
        <x15:pivotRow count="4">
          <x15:c>
            <x15:v>0.14284948721995785</x15:v>
          </x15:c>
          <x15:c>
            <x15:v>4.9204089741327638E-2</x15:v>
          </x15:c>
          <x15:c t="e">
            <x15:v/>
          </x15:c>
          <x15:c>
            <x15:v>9.6026788480642999E-2</x15:v>
          </x15:c>
        </x15:pivotRow>
        <x15:pivotRow count="4">
          <x15:c t="e">
            <x15:v>#NUM!</x15:v>
          </x15:c>
          <x15:c t="e">
            <x15:v>#NUM!</x15:v>
          </x15:c>
          <x15:c t="e">
            <x15:v/>
          </x15:c>
          <x15:c t="e">
            <x15:v>#NUM!</x15:v>
          </x15:c>
        </x15:pivotRow>
        <x15:pivotRow count="4">
          <x15:c>
            <x15:v>0.21213749229538598</x15:v>
          </x15:c>
          <x15:c>
            <x15:v>0.1058464941248894</x15:v>
          </x15:c>
          <x15:c t="e">
            <x15:v/>
          </x15:c>
          <x15:c>
            <x15:v>0.15899199321013777</x15:v>
          </x15:c>
        </x15:pivotRow>
        <x15:pivotRow count="4">
          <x15:c>
            <x15:v>0.24206513113360767</x15:v>
          </x15:c>
          <x15:c>
            <x15:v>0.10615491893719323</x15:v>
          </x15:c>
          <x15:c t="e">
            <x15:v/>
          </x15:c>
          <x15:c>
            <x15:v>0.17411002503540032</x15:v>
          </x15:c>
        </x15:pivotRow>
        <x15:pivotRow count="4">
          <x15:c>
            <x15:v>0.18815257497297458</x15:v>
          </x15:c>
          <x15:c>
            <x15:v>0.14839124666615364</x15:v>
          </x15:c>
          <x15:c>
            <x15:v>0</x15:v>
          </x15:c>
          <x15:c>
            <x15:v>0.12716200300029196</x15:v>
          </x15:c>
        </x15:pivotRow>
        <x15:pivotRow count="4">
          <x15:c t="e">
            <x15:v>#NUM!</x15:v>
          </x15:c>
          <x15:c t="e">
            <x15:v>#NUM!</x15:v>
          </x15:c>
          <x15:c>
            <x15:v>0</x15:v>
          </x15:c>
          <x15:c t="e">
            <x15:v>#NUM!</x15:v>
          </x15:c>
        </x15:pivotRow>
      </x15:pivotTableData>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eau croisé dynamique4" cacheId="990" applyNumberFormats="0" applyBorderFormats="0" applyFontFormats="0" applyPatternFormats="0" applyAlignmentFormats="0" applyWidthHeightFormats="1" dataCaption="Valeurs" updatedVersion="7" minRefreshableVersion="3" useAutoFormatting="1" rowGrandTotals="0" itemPrintTitles="1" createdVersion="7" indent="0" outline="1" outlineData="1" multipleFieldFilters="0">
  <location ref="F27:F30" firstHeaderRow="1" firstDataRow="1" firstDataCol="1"/>
  <pivotFields count="4">
    <pivotField showAll="0"/>
    <pivotField axis="axisRow" showAll="0">
      <items count="101">
        <item h="1" x="0"/>
        <item h="1" x="1"/>
        <item h="1" x="2"/>
        <item h="1" x="3"/>
        <item h="1" x="5"/>
        <item h="1" x="6"/>
        <item h="1" x="7"/>
        <item h="1" x="8"/>
        <item h="1" x="9"/>
        <item h="1" x="10"/>
        <item h="1" x="11"/>
        <item h="1" x="66"/>
        <item h="1" x="12"/>
        <item h="1" x="13"/>
        <item h="1" x="14"/>
        <item h="1" x="15"/>
        <item h="1" x="16"/>
        <item h="1" x="17"/>
        <item h="1" x="18"/>
        <item h="1" x="19"/>
        <item h="1" x="20"/>
        <item h="1" x="21"/>
        <item h="1" x="22"/>
        <item h="1" x="78"/>
        <item h="1" x="23"/>
        <item h="1" x="24"/>
        <item h="1" x="25"/>
        <item h="1" x="90"/>
        <item h="1" x="26"/>
        <item h="1" x="27"/>
        <item h="1" x="28"/>
        <item h="1" x="29"/>
        <item h="1" x="31"/>
        <item h="1" x="32"/>
        <item h="1" x="95"/>
        <item h="1" x="96"/>
        <item h="1" x="30"/>
        <item h="1" x="42"/>
        <item h="1" x="51"/>
        <item h="1" x="4"/>
        <item h="1" x="69"/>
        <item h="1" x="73"/>
        <item h="1" x="64"/>
        <item h="1" x="86"/>
        <item h="1" x="67"/>
        <item h="1" x="91"/>
        <item h="1" x="33"/>
        <item h="1" x="34"/>
        <item h="1" x="35"/>
        <item h="1" x="36"/>
        <item h="1" x="37"/>
        <item h="1" x="38"/>
        <item h="1" x="97"/>
        <item h="1" x="39"/>
        <item h="1" x="41"/>
        <item h="1" x="43"/>
        <item h="1" x="44"/>
        <item h="1" x="40"/>
        <item h="1" x="45"/>
        <item h="1" x="46"/>
        <item h="1" x="47"/>
        <item h="1" x="48"/>
        <item h="1" x="49"/>
        <item h="1" x="50"/>
        <item h="1" x="98"/>
        <item h="1" x="52"/>
        <item h="1" x="99"/>
        <item h="1" x="53"/>
        <item h="1" x="54"/>
        <item h="1" x="55"/>
        <item h="1" x="56"/>
        <item h="1" x="57"/>
        <item h="1" x="58"/>
        <item h="1" x="59"/>
        <item h="1" x="60"/>
        <item h="1" x="74"/>
        <item h="1" x="61"/>
        <item h="1" x="62"/>
        <item h="1" x="63"/>
        <item h="1" x="65"/>
        <item h="1" x="68"/>
        <item h="1" x="70"/>
        <item x="71"/>
        <item h="1" x="72"/>
        <item h="1" x="76"/>
        <item h="1" x="75"/>
        <item h="1" x="92"/>
        <item h="1" x="79"/>
        <item h="1" x="80"/>
        <item h="1" x="81"/>
        <item h="1" x="89"/>
        <item h="1" x="94"/>
        <item h="1" x="93"/>
        <item h="1" x="82"/>
        <item h="1" x="83"/>
        <item h="1" x="84"/>
        <item h="1" x="85"/>
        <item h="1" x="87"/>
        <item h="1" x="88"/>
        <item h="1" x="77"/>
        <item t="default"/>
      </items>
    </pivotField>
    <pivotField axis="axisRow" showAll="0">
      <items count="14">
        <item x="8"/>
        <item x="9"/>
        <item x="1"/>
        <item x="4"/>
        <item x="0"/>
        <item x="7"/>
        <item x="6"/>
        <item x="5"/>
        <item x="2"/>
        <item x="3"/>
        <item x="11"/>
        <item x="12"/>
        <item x="10"/>
        <item t="default"/>
      </items>
    </pivotField>
    <pivotField axis="axisRow" showAll="0">
      <items count="15">
        <item h="1" x="0"/>
        <item h="1" x="9"/>
        <item h="1" x="10"/>
        <item h="1" x="7"/>
        <item h="1" x="8"/>
        <item h="1" x="3"/>
        <item h="1" x="1"/>
        <item h="1" x="12"/>
        <item h="1" x="5"/>
        <item h="1" x="6"/>
        <item h="1" x="4"/>
        <item h="1" x="13"/>
        <item x="11"/>
        <item h="1" x="2"/>
        <item t="default"/>
      </items>
    </pivotField>
  </pivotFields>
  <rowFields count="3">
    <field x="3"/>
    <field x="1"/>
    <field x="2"/>
  </rowFields>
  <rowItems count="3">
    <i>
      <x v="12"/>
    </i>
    <i r="1">
      <x v="82"/>
    </i>
    <i r="2">
      <x v="6"/>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Tableau croisé dynamique3" cacheId="989" applyNumberFormats="0" applyBorderFormats="0" applyFontFormats="0" applyPatternFormats="0" applyAlignmentFormats="0" applyWidthHeightFormats="1" dataCaption="Valeurs" updatedVersion="7" minRefreshableVersion="3" useAutoFormatting="1" itemPrintTitles="1" createdVersion="6" indent="0" outline="1" outlineData="1" multipleFieldFilters="0">
  <location ref="L13:M53" firstHeaderRow="1" firstDataRow="1" firstDataCol="1"/>
  <pivotFields count="6">
    <pivotField showAll="0"/>
    <pivotField axis="axisRow" showAll="0">
      <items count="28">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x="24"/>
        <item sd="0" x="26"/>
        <item sd="0" x="25"/>
        <item t="default" sd="0"/>
      </items>
    </pivotField>
    <pivotField axis="axisRow" showAll="0">
      <items count="18">
        <item x="0"/>
        <item x="2"/>
        <item x="3"/>
        <item x="4"/>
        <item x="5"/>
        <item x="6"/>
        <item x="7"/>
        <item x="8"/>
        <item x="9"/>
        <item x="10"/>
        <item x="11"/>
        <item x="1"/>
        <item x="16"/>
        <item x="12"/>
        <item x="13"/>
        <item x="14"/>
        <item x="15"/>
        <item t="default"/>
      </items>
    </pivotField>
    <pivotField axis="axisRow" showAll="0">
      <items count="14">
        <item sd="0" x="0"/>
        <item sd="0" x="1"/>
        <item sd="0" x="2"/>
        <item sd="0" x="3"/>
        <item sd="0" x="4"/>
        <item sd="0" x="5"/>
        <item sd="0" x="6"/>
        <item sd="0" x="7"/>
        <item sd="0" x="8"/>
        <item sd="0" x="9"/>
        <item sd="0" x="10"/>
        <item sd="0" x="11"/>
        <item x="12"/>
        <item t="default"/>
      </items>
    </pivotField>
    <pivotField showAll="0"/>
    <pivotField dataField="1" showAll="0"/>
  </pivotFields>
  <rowFields count="3">
    <field x="1"/>
    <field x="3"/>
    <field x="2"/>
  </rowFields>
  <rowItems count="40">
    <i>
      <x/>
    </i>
    <i>
      <x v="1"/>
    </i>
    <i>
      <x v="2"/>
    </i>
    <i>
      <x v="3"/>
    </i>
    <i>
      <x v="4"/>
    </i>
    <i>
      <x v="5"/>
    </i>
    <i>
      <x v="6"/>
    </i>
    <i>
      <x v="7"/>
    </i>
    <i>
      <x v="8"/>
    </i>
    <i>
      <x v="9"/>
    </i>
    <i>
      <x v="10"/>
    </i>
    <i>
      <x v="11"/>
    </i>
    <i>
      <x v="12"/>
    </i>
    <i>
      <x v="13"/>
    </i>
    <i>
      <x v="14"/>
    </i>
    <i>
      <x v="15"/>
    </i>
    <i>
      <x v="16"/>
    </i>
    <i>
      <x v="17"/>
    </i>
    <i>
      <x v="18"/>
    </i>
    <i>
      <x v="19"/>
    </i>
    <i>
      <x v="20"/>
    </i>
    <i>
      <x v="21"/>
    </i>
    <i>
      <x v="22"/>
    </i>
    <i>
      <x v="23"/>
    </i>
    <i>
      <x v="24"/>
    </i>
    <i r="1">
      <x/>
    </i>
    <i r="1">
      <x v="1"/>
    </i>
    <i r="1">
      <x v="2"/>
    </i>
    <i r="1">
      <x v="3"/>
    </i>
    <i r="1">
      <x v="4"/>
    </i>
    <i r="1">
      <x v="5"/>
    </i>
    <i r="1">
      <x v="6"/>
    </i>
    <i r="1">
      <x v="7"/>
    </i>
    <i r="1">
      <x v="8"/>
    </i>
    <i r="1">
      <x v="9"/>
    </i>
    <i r="1">
      <x v="10"/>
    </i>
    <i r="1">
      <x v="11"/>
    </i>
    <i>
      <x v="25"/>
    </i>
    <i>
      <x v="26"/>
    </i>
    <i t="grand">
      <x/>
    </i>
  </rowItems>
  <colItems count="1">
    <i/>
  </colItems>
  <dataFields count="1">
    <dataField name="Somme de DJU(climaticien)"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Tableau croisé dynamique2" cacheId="989" applyNumberFormats="0" applyBorderFormats="0" applyFontFormats="0" applyPatternFormats="0" applyAlignmentFormats="0" applyWidthHeightFormats="1" dataCaption="Valeurs" updatedVersion="7" minRefreshableVersion="3" useAutoFormatting="1" itemPrintTitles="1" createdVersion="6" indent="0" outline="1" outlineData="1" multipleFieldFilters="0">
  <location ref="H13:I53" firstHeaderRow="1" firstDataRow="1" firstDataCol="1"/>
  <pivotFields count="6">
    <pivotField showAll="0"/>
    <pivotField axis="axisRow" showAll="0">
      <items count="28">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x="24"/>
        <item sd="0" x="26"/>
        <item sd="0" x="25"/>
        <item t="default" sd="0"/>
      </items>
    </pivotField>
    <pivotField axis="axisRow" showAll="0">
      <items count="18">
        <item x="0"/>
        <item x="2"/>
        <item x="3"/>
        <item x="4"/>
        <item x="5"/>
        <item x="12"/>
        <item x="13"/>
        <item x="14"/>
        <item x="15"/>
        <item x="6"/>
        <item x="7"/>
        <item x="8"/>
        <item x="9"/>
        <item x="10"/>
        <item x="11"/>
        <item x="1"/>
        <item x="16"/>
        <item t="default"/>
      </items>
    </pivotField>
    <pivotField axis="axisRow" showAll="0">
      <items count="14">
        <item sd="0" x="0"/>
        <item sd="0" x="1"/>
        <item sd="0" x="2"/>
        <item sd="0" x="3"/>
        <item sd="0" x="4"/>
        <item sd="0" x="5"/>
        <item sd="0" x="6"/>
        <item sd="0" x="7"/>
        <item sd="0" x="8"/>
        <item sd="0" x="9"/>
        <item sd="0" x="10"/>
        <item sd="0" x="11"/>
        <item x="12"/>
        <item t="default"/>
      </items>
    </pivotField>
    <pivotField dataField="1" showAll="0"/>
    <pivotField showAll="0"/>
  </pivotFields>
  <rowFields count="3">
    <field x="1"/>
    <field x="3"/>
    <field x="2"/>
  </rowFields>
  <rowItems count="40">
    <i>
      <x/>
    </i>
    <i>
      <x v="1"/>
    </i>
    <i>
      <x v="2"/>
    </i>
    <i>
      <x v="3"/>
    </i>
    <i>
      <x v="4"/>
    </i>
    <i>
      <x v="5"/>
    </i>
    <i>
      <x v="6"/>
    </i>
    <i>
      <x v="7"/>
    </i>
    <i>
      <x v="8"/>
    </i>
    <i>
      <x v="9"/>
    </i>
    <i>
      <x v="10"/>
    </i>
    <i>
      <x v="11"/>
    </i>
    <i>
      <x v="12"/>
    </i>
    <i>
      <x v="13"/>
    </i>
    <i>
      <x v="14"/>
    </i>
    <i>
      <x v="15"/>
    </i>
    <i>
      <x v="16"/>
    </i>
    <i>
      <x v="17"/>
    </i>
    <i>
      <x v="18"/>
    </i>
    <i>
      <x v="19"/>
    </i>
    <i>
      <x v="20"/>
    </i>
    <i>
      <x v="21"/>
    </i>
    <i>
      <x v="22"/>
    </i>
    <i>
      <x v="23"/>
    </i>
    <i>
      <x v="24"/>
    </i>
    <i r="1">
      <x/>
    </i>
    <i r="1">
      <x v="1"/>
    </i>
    <i r="1">
      <x v="2"/>
    </i>
    <i r="1">
      <x v="3"/>
    </i>
    <i r="1">
      <x v="4"/>
    </i>
    <i r="1">
      <x v="5"/>
    </i>
    <i r="1">
      <x v="6"/>
    </i>
    <i r="1">
      <x v="7"/>
    </i>
    <i r="1">
      <x v="8"/>
    </i>
    <i r="1">
      <x v="9"/>
    </i>
    <i r="1">
      <x v="10"/>
    </i>
    <i r="1">
      <x v="11"/>
    </i>
    <i>
      <x v="25"/>
    </i>
    <i>
      <x v="26"/>
    </i>
    <i t="grand">
      <x/>
    </i>
  </rowItems>
  <colItems count="1">
    <i/>
  </colItems>
  <dataFields count="1">
    <dataField name="Somme de DJU(chauffagis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eau croisé dynamique1" cacheId="989" applyNumberFormats="0" applyBorderFormats="0" applyFontFormats="0" applyPatternFormats="0" applyAlignmentFormats="0" applyWidthHeightFormats="1" dataCaption="Valeurs" updatedVersion="7" minRefreshableVersion="3" useAutoFormatting="1" rowGrandTotals="0" itemPrintTitles="1" createdVersion="6" indent="0" outline="1" outlineData="1" multipleFieldFilters="0">
  <location ref="O13:Q40" firstHeaderRow="0" firstDataRow="1" firstDataCol="1"/>
  <pivotFields count="6">
    <pivotField showAll="0"/>
    <pivotField axis="axisRow" showAll="0">
      <items count="28">
        <item x="0"/>
        <item x="1"/>
        <item x="2"/>
        <item x="3"/>
        <item x="4"/>
        <item x="5"/>
        <item x="6"/>
        <item x="7"/>
        <item x="8"/>
        <item x="9"/>
        <item x="10"/>
        <item x="11"/>
        <item x="12"/>
        <item x="13"/>
        <item x="14"/>
        <item x="15"/>
        <item x="16"/>
        <item x="17"/>
        <item x="18"/>
        <item x="19"/>
        <item x="20"/>
        <item x="21"/>
        <item x="22"/>
        <item x="23"/>
        <item x="24"/>
        <item x="26"/>
        <item x="25"/>
        <item t="default"/>
      </items>
    </pivotField>
    <pivotField showAll="0"/>
    <pivotField showAll="0"/>
    <pivotField dataField="1" showAll="0"/>
    <pivotField dataField="1"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x v="26"/>
    </i>
  </rowItems>
  <colFields count="1">
    <field x="-2"/>
  </colFields>
  <colItems count="2">
    <i>
      <x/>
    </i>
    <i i="1">
      <x v="1"/>
    </i>
  </colItems>
  <dataFields count="2">
    <dataField name="Nombre de DJU(chauffagiste)" fld="4" subtotal="count" baseField="1" baseItem="4"/>
    <dataField name="Nombre de DJU(climaticien)" fld="5" subtotal="count"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C9187E8-6800-4590-86DA-00AF459226A2}" name="TCD_Cout_annuel" cacheId="993" applyNumberFormats="0" applyBorderFormats="0" applyFontFormats="0" applyPatternFormats="0" applyAlignmentFormats="0" applyWidthHeightFormats="1" dataCaption="Valeurs" tag="a161e780-723f-477a-8e70-a9ab8ee8fd73" updatedVersion="7" minRefreshableVersion="3" useAutoFormatting="1" subtotalHiddenItems="1" itemPrintTitles="1" createdVersion="7" indent="0" outline="1" outlineData="1" multipleFieldFilters="0" chartFormat="7">
  <location ref="H5:I9" firstHeaderRow="1" firstDataRow="1" firstDataCol="1" rowPageCount="3" colPageCount="1"/>
  <pivotFields count="5">
    <pivotField axis="axisRow" allDrilled="1" subtotalTop="0" showAll="0" dataSourceSort="1" defaultSubtotal="0" defaultAttributeDrillState="1">
      <items count="3">
        <item x="0"/>
        <item x="1"/>
        <item x="2"/>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4">
    <i>
      <x/>
    </i>
    <i>
      <x v="1"/>
    </i>
    <i>
      <x v="2"/>
    </i>
    <i t="grand">
      <x/>
    </i>
  </rowItems>
  <colItems count="1">
    <i/>
  </colItems>
  <pageFields count="3">
    <pageField fld="1" hier="14" name="[Tab_concat].[Annee].&amp;[2025]" cap="2025"/>
    <pageField fld="2" hier="6" name="[Tab_concat].[Type].&amp;[Consommation]" cap="Consommation"/>
    <pageField fld="3" hier="7" name="[Tab_concat].[Source].[All]" cap="All"/>
  </pageFields>
  <dataFields count="1">
    <dataField name="Somme de Cout_jour" fld="4" baseField="0" baseItem="0"/>
  </dataFields>
  <chartFormats count="4">
    <chartFormat chart="6" format="4" series="1">
      <pivotArea type="data" outline="0" fieldPosition="0">
        <references count="1">
          <reference field="4294967294" count="1" selected="0">
            <x v="0"/>
          </reference>
        </references>
      </pivotArea>
    </chartFormat>
    <chartFormat chart="6" format="9">
      <pivotArea type="data" outline="0" fieldPosition="0">
        <references count="2">
          <reference field="4294967294" count="1" selected="0">
            <x v="0"/>
          </reference>
          <reference field="0" count="1" selected="0">
            <x v="1"/>
          </reference>
        </references>
      </pivotArea>
    </chartFormat>
    <chartFormat chart="6" format="10">
      <pivotArea type="data" outline="0" fieldPosition="0">
        <references count="2">
          <reference field="4294967294" count="1" selected="0">
            <x v="0"/>
          </reference>
          <reference field="0" count="1" selected="0">
            <x v="2"/>
          </reference>
        </references>
      </pivotArea>
    </chartFormat>
    <chartFormat chart="6" format="11">
      <pivotArea type="data" outline="0" fieldPosition="0">
        <references count="2">
          <reference field="4294967294" count="1" selected="0">
            <x v="0"/>
          </reference>
          <reference field="0" count="1" selected="0">
            <x v="0"/>
          </reference>
        </references>
      </pivotArea>
    </chartFormat>
  </chartFormats>
  <pivotHierarchies count="46">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members count="1" level="1">
        <member name="[Tab_concat].[Annee].&amp;[202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9F5D05C-014D-43E3-B4F0-9AF49F01EF66}" name="Tableau croisé dynamique1" cacheId="995" applyNumberFormats="0" applyBorderFormats="0" applyFontFormats="0" applyPatternFormats="0" applyAlignmentFormats="0" applyWidthHeightFormats="1" dataCaption="Valeurs" tag="14900a23-513b-4c7c-8d5c-83267f78b9b7" updatedVersion="7" minRefreshableVersion="3" useAutoFormatting="1" subtotalHiddenItems="1" itemPrintTitles="1" createdVersion="7" indent="0" outline="1" outlineData="1" multipleFieldFilters="0" chartFormat="4">
  <location ref="C46:D50" firstHeaderRow="1" firstDataRow="1" firstDataCol="1" rowPageCount="4" colPageCount="1"/>
  <pivotFields count="7">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s>
  <rowFields count="1">
    <field x="4"/>
  </rowFields>
  <rowItems count="4">
    <i>
      <x/>
    </i>
    <i>
      <x v="1"/>
    </i>
    <i>
      <x v="2"/>
    </i>
    <i t="grand">
      <x/>
    </i>
  </rowItems>
  <colItems count="1">
    <i/>
  </colItems>
  <pageFields count="4">
    <pageField fld="0" hier="14" name="[Tab_concat].[Annee].&amp;[2025]" cap="2025"/>
    <pageField fld="1" hier="6" name="[Tab_concat].[Type].&amp;[Consommation]" cap="Consommation"/>
    <pageField fld="2" hier="7" name="[Tab_concat].[Source].[All]" cap="All"/>
    <pageField fld="3" hier="15" name="[Tab_concat].[Mois].&amp;[7]" cap="7"/>
  </pageFields>
  <dataFields count="1">
    <dataField name="Moyenne de Conso_kWh_PCI" fld="5" subtotal="average" baseField="0" baseItem="0"/>
  </dataFields>
  <chartFormats count="3">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s>
  <pivotHierarchies count="46">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members count="1" level="1">
        <member name="[Tab_concat].[Nom].&amp;[Fioul]"/>
      </members>
    </pivotHierarchy>
    <pivotHierarchy dragToData="1"/>
    <pivotHierarchy dragToData="1"/>
    <pivotHierarchy multipleItemSelectionAllowed="1" dragToData="1">
      <members count="1" level="1">
        <member name="[Tab_concat].[Annee].&amp;[202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Moyenne de Conso_kWh_PCI"/>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concat]"/>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épartement1" xr10:uid="{00000000-0013-0000-FFFF-FFFF0A000000}" sourceName="Département">
  <pivotTables>
    <pivotTable tabId="54" name="Tableau croisé dynamique4"/>
  </pivotTables>
  <data>
    <tabular pivotCacheId="902497723">
      <items count="100">
        <i x="43"/>
        <i x="48"/>
        <i x="52"/>
        <i x="71" s="1"/>
        <i x="84"/>
        <i x="0" nd="1"/>
        <i x="1" nd="1"/>
        <i x="2" nd="1"/>
        <i x="3" nd="1"/>
        <i x="5" nd="1"/>
        <i x="6" nd="1"/>
        <i x="7" nd="1"/>
        <i x="8" nd="1"/>
        <i x="9" nd="1"/>
        <i x="10" nd="1"/>
        <i x="11" nd="1"/>
        <i x="66" nd="1"/>
        <i x="12" nd="1"/>
        <i x="13" nd="1"/>
        <i x="14" nd="1"/>
        <i x="15" nd="1"/>
        <i x="16" nd="1"/>
        <i x="17" nd="1"/>
        <i x="18" nd="1"/>
        <i x="19" nd="1"/>
        <i x="20" nd="1"/>
        <i x="21" nd="1"/>
        <i x="22" nd="1"/>
        <i x="78" nd="1"/>
        <i x="23" nd="1"/>
        <i x="24" nd="1"/>
        <i x="25" nd="1"/>
        <i x="90" nd="1"/>
        <i x="26" nd="1"/>
        <i x="27" nd="1"/>
        <i x="28" nd="1"/>
        <i x="29" nd="1"/>
        <i x="31" nd="1"/>
        <i x="32" nd="1"/>
        <i x="95" nd="1"/>
        <i x="96" nd="1"/>
        <i x="30" nd="1"/>
        <i x="42" nd="1"/>
        <i x="51" nd="1"/>
        <i x="4" nd="1"/>
        <i x="69" nd="1"/>
        <i x="73" nd="1"/>
        <i x="64" nd="1"/>
        <i x="86" nd="1"/>
        <i x="67" nd="1"/>
        <i x="91" nd="1"/>
        <i x="33" nd="1"/>
        <i x="34" nd="1"/>
        <i x="35" nd="1"/>
        <i x="36" nd="1"/>
        <i x="37" nd="1"/>
        <i x="38" nd="1"/>
        <i x="97" nd="1"/>
        <i x="39" nd="1"/>
        <i x="41" nd="1"/>
        <i x="44" nd="1"/>
        <i x="40" nd="1"/>
        <i x="45" nd="1"/>
        <i x="46" nd="1"/>
        <i x="47" nd="1"/>
        <i x="49" nd="1"/>
        <i x="50" nd="1"/>
        <i x="98" nd="1"/>
        <i x="99" nd="1"/>
        <i x="53" nd="1"/>
        <i x="54" nd="1"/>
        <i x="55" nd="1"/>
        <i x="56" nd="1"/>
        <i x="57" nd="1"/>
        <i x="58" nd="1"/>
        <i x="59" nd="1"/>
        <i x="60" nd="1"/>
        <i x="74" nd="1"/>
        <i x="61" nd="1"/>
        <i x="62" nd="1"/>
        <i x="63" nd="1"/>
        <i x="65" nd="1"/>
        <i x="68" nd="1"/>
        <i x="70" nd="1"/>
        <i x="72" nd="1"/>
        <i x="76" nd="1"/>
        <i x="75" nd="1"/>
        <i x="92" nd="1"/>
        <i x="79" nd="1"/>
        <i x="80" nd="1"/>
        <i x="81" nd="1"/>
        <i x="89" nd="1"/>
        <i x="94" nd="1"/>
        <i x="93" nd="1"/>
        <i x="82" nd="1"/>
        <i x="83" nd="1"/>
        <i x="85" nd="1"/>
        <i x="87" nd="1"/>
        <i x="88" nd="1"/>
        <i x="77"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Region1" xr10:uid="{00000000-0013-0000-FFFF-FFFF0B000000}" sourceName="Region">
  <pivotTables>
    <pivotTable tabId="54" name="Tableau croisé dynamique4"/>
  </pivotTables>
  <data>
    <tabular pivotCacheId="902497723">
      <items count="14">
        <i x="11" s="1"/>
        <i x="0" nd="1"/>
        <i x="9" nd="1"/>
        <i x="10" nd="1"/>
        <i x="7" nd="1"/>
        <i x="8" nd="1"/>
        <i x="3" nd="1"/>
        <i x="1" nd="1"/>
        <i x="12" nd="1"/>
        <i x="5" nd="1"/>
        <i x="6" nd="1"/>
        <i x="4" nd="1"/>
        <i x="13" nd="1"/>
        <i x="2"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Annee" xr10:uid="{404AA96A-4BD6-421B-ADA1-31D7DFB0C7F4}" sourceName="[Tab_concat].[Annee]">
  <pivotTables>
    <pivotTable tabId="24" name="TCD_Conso_annuel"/>
    <pivotTable tabId="24" name="TCD_Cout_annuel"/>
    <pivotTable tabId="24" name="TCD_Conso_annuel_eau"/>
    <pivotTable tabId="24" name="Tableau croisé dynamique1"/>
  </pivotTables>
  <data>
    <olap pivotCacheId="1225200921">
      <levels count="2">
        <level uniqueName="[Tab_concat].[Annee].[(All)]" sourceCaption="(All)" count="0"/>
        <level uniqueName="[Tab_concat].[Annee].[Annee]" sourceCaption="Annee" count="17">
          <ranges>
            <range startItem="0">
              <i n="[Tab_concat].[Annee].&amp;[2010]" c="2010"/>
              <i n="[Tab_concat].[Annee].&amp;[2011]" c="2011"/>
              <i n="[Tab_concat].[Annee].&amp;[2012]" c="2012"/>
              <i n="[Tab_concat].[Annee].&amp;[2013]" c="2013"/>
              <i n="[Tab_concat].[Annee].&amp;[2014]" c="2014"/>
              <i n="[Tab_concat].[Annee].&amp;[2015]" c="2015"/>
              <i n="[Tab_concat].[Annee].&amp;[2016]" c="2016"/>
              <i n="[Tab_concat].[Annee].&amp;[2017]" c="2017"/>
              <i n="[Tab_concat].[Annee].&amp;[2018]" c="2018"/>
              <i n="[Tab_concat].[Annee].&amp;[2019]" c="2019"/>
              <i n="[Tab_concat].[Annee].&amp;[2020]" c="2020"/>
              <i n="[Tab_concat].[Annee].&amp;[2021]" c="2021"/>
              <i n="[Tab_concat].[Annee].&amp;[2022]" c="2022"/>
              <i n="[Tab_concat].[Annee].&amp;[2023]" c="2023"/>
              <i n="[Tab_concat].[Annee].&amp;[2024]" c="2024"/>
              <i n="[Tab_concat].[Annee].&amp;[2025]" c="2025"/>
              <i n="[Tab_concat].[Annee].&amp;[2026]" c="2026"/>
            </range>
          </ranges>
        </level>
      </levels>
      <selections count="1">
        <selection n="[Tab_concat].[Annee].&amp;[2025]"/>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ates__année" xr10:uid="{B491C61D-6D2C-4730-A5D0-1BD4CC5E6D98}" sourceName="[Tab_concat].[Dates (année)]">
  <pivotTables>
    <pivotTable tabId="44" name="TCD_OPERAT"/>
  </pivotTables>
  <data>
    <olap pivotCacheId="292682764">
      <levels count="2">
        <level uniqueName="[Tab_concat].[Dates (année)].[(All)]" sourceCaption="(All)" count="0"/>
        <level uniqueName="[Tab_concat].[Dates (année)].[Dates (année)]" sourceCaption="Dates (année)" count="17">
          <ranges>
            <range startItem="0">
              <i n="[Tab_concat].[Dates (année)].&amp;[2010]" c="2010"/>
              <i n="[Tab_concat].[Dates (année)].&amp;[2011]" c="2011"/>
              <i n="[Tab_concat].[Dates (année)].&amp;[2012]" c="2012"/>
              <i n="[Tab_concat].[Dates (année)].&amp;[2013]" c="2013"/>
              <i n="[Tab_concat].[Dates (année)].&amp;[2014]" c="2014"/>
              <i n="[Tab_concat].[Dates (année)].&amp;[2015]" c="2015"/>
              <i n="[Tab_concat].[Dates (année)].&amp;[2016]" c="2016"/>
              <i n="[Tab_concat].[Dates (année)].&amp;[2017]" c="2017"/>
              <i n="[Tab_concat].[Dates (année)].&amp;[2018]" c="2018"/>
              <i n="[Tab_concat].[Dates (année)].&amp;[2019]" c="2019"/>
              <i n="[Tab_concat].[Dates (année)].&amp;[2020]" c="2020"/>
              <i n="[Tab_concat].[Dates (année)].&amp;[2021]" c="2021"/>
              <i n="[Tab_concat].[Dates (année)].&amp;[2022]" c="2022"/>
              <i n="[Tab_concat].[Dates (année)].&amp;[2023]" c="2023"/>
              <i n="[Tab_concat].[Dates (année)].&amp;[2024]" c="2024"/>
              <i n="[Tab_concat].[Dates (année)].&amp;[2025]" c="2025"/>
              <i n="[Tab_concat].[Dates (année)].&amp;[2026]" c="2026"/>
            </range>
          </ranges>
        </level>
      </levels>
      <selections count="1">
        <selection n="[Tab_concat].[Dates (année)].&amp;[2025]"/>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5" xr10:uid="{08C80382-AD53-4125-AE18-E199E0DAA1E0}" sourceName="[Tab_concat].[Nom]">
  <pivotTables>
    <pivotTable tabId="49" name="TCD_Suivi_compteur_1"/>
  </pivotTables>
  <data>
    <olap pivotCacheId="1679345499">
      <levels count="2">
        <level uniqueName="[Tab_concat].[Nom].[(All)]" sourceCaption="(All)" count="0"/>
        <level uniqueName="[Tab_concat].[Nom].[Nom]" sourceCaption="Nom" count="7">
          <ranges>
            <range startItem="0">
              <i n="[Tab_concat].[Nom].&amp;[Chaleur Générale (factures)]" c="Chaleur Générale (factures)"/>
              <i n="[Tab_concat].[Nom].&amp;[Eau Générale (factures)]" c="Eau Générale (factures)"/>
              <i n="[Tab_concat].[Nom].&amp;[Elec Générale (Factures)]" c="Elec Générale (Factures)"/>
              <i n="[Tab_concat].[Nom].&amp;[SCpt ECS]" c="SCpt ECS"/>
              <i n="[Tab_concat].[Nom].&amp;[SCpt EF]" c="SCpt EF"/>
              <i n="[Tab_concat].[Nom].&amp;[Solaire : Boucle Solaire]" c="Solaire : Boucle Solaire"/>
              <i n="[Tab_concat].[Nom].&amp;[Solaire : Sanitaire Solaire]" c="Solaire : Sanitaire Solaire"/>
            </range>
          </ranges>
        </level>
      </levels>
      <selections count="1">
        <selection n="[Tab_concat].[Nom].&amp;[Elec Générale (Factu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6" xr10:uid="{E236F6A0-535B-445D-BBB5-60E898699395}" sourceName="[Tab_concat].[Nom]">
  <pivotTables>
    <pivotTable tabId="49" name="TCD_compteur_2"/>
  </pivotTables>
  <data>
    <olap pivotCacheId="379322284">
      <levels count="2">
        <level uniqueName="[Tab_concat].[Nom].[(All)]" sourceCaption="(All)" count="0"/>
        <level uniqueName="[Tab_concat].[Nom].[Nom]" sourceCaption="Nom" count="7">
          <ranges>
            <range startItem="0">
              <i n="[Tab_concat].[Nom].&amp;[Chaleur Générale (factures)]" c="Chaleur Générale (factures)"/>
              <i n="[Tab_concat].[Nom].&amp;[Eau Générale (factures)]" c="Eau Générale (factures)"/>
              <i n="[Tab_concat].[Nom].&amp;[Elec Générale (Factures)]" c="Elec Générale (Factures)"/>
              <i n="[Tab_concat].[Nom].&amp;[SCpt ECS]" c="SCpt ECS"/>
              <i n="[Tab_concat].[Nom].&amp;[SCpt EF]" c="SCpt EF"/>
              <i n="[Tab_concat].[Nom].&amp;[Solaire : Boucle Solaire]" c="Solaire : Boucle Solaire"/>
              <i n="[Tab_concat].[Nom].&amp;[Solaire : Sanitaire Solaire]" c="Solaire : Sanitaire Solaire"/>
            </range>
          </ranges>
        </level>
      </levels>
      <selections count="1">
        <selection n="[Tab_concat].[Nom].&amp;[Chaleur Générale (facture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7" xr10:uid="{2EAE02AD-C514-43CC-AA01-3D0D1929A40B}" sourceName="[Tab_concat].[Nom]">
  <pivotTables>
    <pivotTable tabId="49" name="TCD_ECS_Mensuel"/>
  </pivotTables>
  <data>
    <olap pivotCacheId="294207118">
      <levels count="2">
        <level uniqueName="[Tab_concat].[Nom].[(All)]" sourceCaption="(All)" count="0"/>
        <level uniqueName="[Tab_concat].[Nom].[Nom]" sourceCaption="Nom" count="7">
          <ranges>
            <range startItem="0">
              <i n="[Tab_concat].[Nom].&amp;[Chaleur Générale (factures)]" c="Chaleur Générale (factures)"/>
              <i n="[Tab_concat].[Nom].&amp;[Eau Générale (factures)]" c="Eau Générale (factures)"/>
              <i n="[Tab_concat].[Nom].&amp;[Elec Générale (Factures)]" c="Elec Générale (Factures)"/>
              <i n="[Tab_concat].[Nom].&amp;[SCpt ECS]" c="SCpt ECS"/>
              <i n="[Tab_concat].[Nom].&amp;[SCpt EF]" c="SCpt EF"/>
              <i n="[Tab_concat].[Nom].&amp;[Solaire : Boucle Solaire]" c="Solaire : Boucle Solaire"/>
              <i n="[Tab_concat].[Nom].&amp;[Solaire : Sanitaire Solaire]" c="Solaire : Sanitaire Solaire"/>
            </range>
          </ranges>
        </level>
      </levels>
      <selections count="1">
        <selection n="[Tab_concat].[Nom].&amp;[Eau Générale (factures)]"/>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ates__mois" xr10:uid="{919249A5-58E2-4C66-AA39-FB26FF6F83A4}" sourceName="[Tab_concat].[Dates (mois)]">
  <pivotTables>
    <pivotTable tabId="43" name="TCD_ECS_ete"/>
  </pivotTables>
  <data>
    <olap pivotCacheId="1093565191">
      <levels count="2">
        <level uniqueName="[Tab_concat].[Dates (mois)].[(All)]" sourceCaption="(All)" count="0"/>
        <level uniqueName="[Tab_concat].[Dates (mois)].[Dates (mois)]" sourceCaption="Dates (mois)" count="12">
          <ranges>
            <range startItem="0">
              <i n="[Tab_concat].[Dates (mois)].&amp;[juin]" c="juin"/>
              <i n="[Tab_concat].[Dates (mois)].&amp;[juil]" c="juil"/>
              <i n="[Tab_concat].[Dates (mois)].&amp;[août]" c="août"/>
              <i n="[Tab_concat].[Dates (mois)].&amp;[sept]" c="sept"/>
              <i n="[Tab_concat].[Dates (mois)].&amp;[janv]" c="janv" nd="1"/>
              <i n="[Tab_concat].[Dates (mois)].&amp;[févr]" c="févr" nd="1"/>
              <i n="[Tab_concat].[Dates (mois)].&amp;[mars]" c="mars" nd="1"/>
              <i n="[Tab_concat].[Dates (mois)].&amp;[avr]" c="avr" nd="1"/>
              <i n="[Tab_concat].[Dates (mois)].&amp;[mai]" c="mai" nd="1"/>
              <i n="[Tab_concat].[Dates (mois)].&amp;[oct]" c="oct" nd="1"/>
              <i n="[Tab_concat].[Dates (mois)].&amp;[nov]" c="nov" nd="1"/>
              <i n="[Tab_concat].[Dates (mois)].&amp;[déc]" c="déc" nd="1"/>
            </range>
          </ranges>
        </level>
      </levels>
      <selections count="4">
        <selection n="[Tab_concat].[Dates (mois)].&amp;[août]"/>
        <selection n="[Tab_concat].[Dates (mois)].&amp;[juil]"/>
        <selection n="[Tab_concat].[Dates (mois)].&amp;[juin]"/>
        <selection n="[Tab_concat].[Dates (mois)].&amp;[sept]"/>
      </selections>
    </olap>
  </data>
  <extLst>
    <x:ext xmlns:x15="http://schemas.microsoft.com/office/spreadsheetml/2010/11/main" uri="{470722E0-AACD-4C17-9CDC-17EF765DBC7E}">
      <x15:slicerCacheHideItemsWithNoData count="1">
        <x15:slicerCacheOlapLevelName uniqueName="[Tab_concat].[Dates (mois)].[Dates (mois)]" count="8"/>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 xr10:uid="{3B366B14-B107-48C3-A9FA-A1E30C01B588}" sourceName="[Tab_concat].[Nom]">
  <data>
    <olap pivotCacheId="2061950590">
      <levels count="2">
        <level uniqueName="[Tab_concat].[Nom].[(All)]" sourceCaption="(All)" count="0"/>
        <level uniqueName="[Tab_concat].[Nom].[Nom]" sourceCaption="Nom" count="7">
          <ranges>
            <range startItem="0">
              <i n="[Tab_concat].[Nom].&amp;[Chaleur Générale (factures)]" c="Chaleur Générale (factures)"/>
              <i n="[Tab_concat].[Nom].&amp;[Eau Générale (factures)]" c="Eau Générale (factures)"/>
              <i n="[Tab_concat].[Nom].&amp;[Elec Générale (Factures)]" c="Elec Générale (Factures)"/>
              <i n="[Tab_concat].[Nom].&amp;[SCpt ECS]" c="SCpt ECS"/>
              <i n="[Tab_concat].[Nom].&amp;[SCpt EF]" c="SCpt EF"/>
              <i n="[Tab_concat].[Nom].&amp;[Solaire : Boucle Solaire]" c="Solaire : Boucle Solaire"/>
              <i n="[Tab_concat].[Nom].&amp;[Solaire : Sanitaire Solaire]" c="Solaire : Sanitaire Solaire"/>
            </range>
          </ranges>
        </level>
      </levels>
      <selections count="1">
        <selection n="[Tab_concat].[Nom].&amp;[Elec Générale (Factures)]"/>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épartement" xr10:uid="{00000000-0014-0000-FFFF-FFFF01000000}" cache="Segment_Département1" caption="Département" rowHeight="241300"/>
  <slicer name="Region" xr10:uid="{00000000-0014-0000-FFFF-FFFF02000000}" cache="Segment_Region1" caption="Region"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épartement 1" xr10:uid="{00000000-0014-0000-FFFF-FFFF03000000}" cache="Segment_Département1" caption="Département" rowHeight="241300"/>
  <slicer name="Region 1" xr10:uid="{00000000-0014-0000-FFFF-FFFF04000000}" cache="Segment_Region1" caption="Region" rowHeight="241300"/>
  <slicer name="Dates (mois)" xr10:uid="{D3ED2D59-2D04-4611-A0C0-746385E1C83E}" cache="Segment_Dates__mois" caption="Sélectionnez les mois sans chauffage" columnCount="4"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nnee 1" xr10:uid="{BFD7B0B3-4849-4989-B330-D68B088FFBF1}" cache="Segment_Annee" caption="Annee" startItem="9"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s (année)" xr10:uid="{CEEFD52C-3D41-4D46-8FAD-C1DA256276A4}" cache="Segment_Dates__année" caption="Dates (année)" startItem="6"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 6" xr10:uid="{D81FBB26-0CF0-407C-84E7-957F291A94CF}" cache="Segment_Nom5" caption="Nom" level="1" rowHeight="241300"/>
  <slicer name="Nom 7" xr10:uid="{4A3D46A0-E22E-4204-A742-042B51858020}" cache="Segment_Nom6" caption="Nom" level="1" rowHeight="241300"/>
  <slicer name="Nom 8" xr10:uid="{71E6C64E-228A-4F50-BFEF-EC43FC57E607}" cache="Segment_Nom7" caption="Nom"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_compteur" xr10:uid="{79417936-4823-4FDB-A2CC-6C058CAD6019}" cache="Segment_Nom" caption="Sélectionnez un compteur"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0000000}" name="Tableau13" displayName="Tableau13" ref="A27:D127" totalsRowShown="0" headerRowDxfId="171" dataDxfId="170">
  <autoFilter ref="A27:D127" xr:uid="{00000000-0009-0000-0100-00000D000000}"/>
  <tableColumns count="4">
    <tableColumn id="1" xr3:uid="{00000000-0010-0000-0000-000001000000}" name="Numéro" dataDxfId="169"/>
    <tableColumn id="2" xr3:uid="{00000000-0010-0000-0000-000002000000}" name="Département" dataDxfId="168"/>
    <tableColumn id="3" xr3:uid="{00000000-0010-0000-0000-000003000000}" name="Zone climatique" dataDxfId="167"/>
    <tableColumn id="4" xr3:uid="{00000000-0010-0000-0000-000004000000}" name="Regio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9000000}" name="Tab_Compteur_6" displayName="Tab_Compteur_6" ref="A2:J243" totalsRowShown="0" headerRowDxfId="54" headerRowBorderDxfId="53" tableBorderDxfId="52">
  <autoFilter ref="A2:J243" xr:uid="{00000000-0009-0000-0100-000006000000}"/>
  <tableColumns count="10">
    <tableColumn id="1" xr3:uid="{00000000-0010-0000-0900-000001000000}" name="Début de période" dataDxfId="51">
      <calculatedColumnFormula>EDATE(B3,-Site!J42)+1</calculatedColumnFormula>
    </tableColumn>
    <tableColumn id="2" xr3:uid="{00000000-0010-0000-0900-000002000000}" name="Fin de période" dataDxfId="50"/>
    <tableColumn id="3" xr3:uid="{00000000-0010-0000-0900-000003000000}" name="Quantité"/>
    <tableColumn id="4" xr3:uid="{00000000-0010-0000-0900-000004000000}" name="Montant" dataDxfId="49" dataCellStyle="Monétaire">
      <calculatedColumnFormula>IF(Tab_Compteur_6[[#This Row],[Fin de période]]&gt;0,IFERROR(B3-A3+1,""),"")</calculatedColumnFormula>
    </tableColumn>
    <tableColumn id="8" xr3:uid="{00000000-0010-0000-0900-000008000000}" name="Index" dataDxfId="48" dataCellStyle="Monétaire"/>
    <tableColumn id="5" xr3:uid="{00000000-0010-0000-0900-000005000000}" name="Delta Jour" dataDxfId="47">
      <calculatedColumnFormula>IFERROR(B3-A3+1,"")</calculatedColumnFormula>
    </tableColumn>
    <tableColumn id="6" xr3:uid="{00000000-0010-0000-0900-000006000000}" name="Demande_jour" dataDxfId="46">
      <calculatedColumnFormula>IFERROR(IF(Str_TypeDonneesCpt6=Cpt_Index,Tab_Compteur_6[[#This Row],[Index]]-M6,Tab_Compteur_6[[#This Row],[Quantité]])/Tab_Compteur_6[[#This Row],[Delta Jour]],"")</calculatedColumnFormula>
    </tableColumn>
    <tableColumn id="7" xr3:uid="{00000000-0010-0000-0900-000007000000}" name="Cout_jour" dataDxfId="45">
      <calculatedColumnFormula>IFERROR(Tab_Compteur_6[[#This Row],[Montant]]/Tab_Compteur_6[[#This Row],[Delta Jour]],"")</calculatedColumnFormula>
    </tableColumn>
    <tableColumn id="10" xr3:uid="{00000000-0010-0000-0900-00000A000000}" name="Conso/Jour" dataDxfId="44">
      <calculatedColumnFormula>G3</calculatedColumnFormula>
    </tableColumn>
    <tableColumn id="9" xr3:uid="{00000000-0010-0000-0900-000009000000}" name="Commentaires" dataDxfId="4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A000000}" name="Tab_Compteur_7" displayName="Tab_Compteur_7" ref="A2:J243" totalsRowShown="0" headerRowDxfId="41" headerRowBorderDxfId="40" tableBorderDxfId="39">
  <autoFilter ref="A2:J243" xr:uid="{00000000-0009-0000-0100-000007000000}"/>
  <tableColumns count="10">
    <tableColumn id="1" xr3:uid="{00000000-0010-0000-0A00-000001000000}" name="Début de période" dataDxfId="38"/>
    <tableColumn id="2" xr3:uid="{00000000-0010-0000-0A00-000002000000}" name="Fin de période" dataDxfId="37"/>
    <tableColumn id="3" xr3:uid="{00000000-0010-0000-0A00-000003000000}" name="Quantité" dataDxfId="36"/>
    <tableColumn id="4" xr3:uid="{00000000-0010-0000-0A00-000004000000}" name="Montant" dataDxfId="35" dataCellStyle="Monétaire">
      <calculatedColumnFormula>IF(Tab_Compteur_7[[#This Row],[Fin de période]]&gt;0,IFERROR(B3-A3+1,""),"")</calculatedColumnFormula>
    </tableColumn>
    <tableColumn id="8" xr3:uid="{00000000-0010-0000-0A00-000008000000}" name="Index" dataDxfId="34" dataCellStyle="Monétaire"/>
    <tableColumn id="5" xr3:uid="{00000000-0010-0000-0A00-000005000000}" name="Delta Jour" dataDxfId="33">
      <calculatedColumnFormula>IFERROR(B3-A3+1,"")</calculatedColumnFormula>
    </tableColumn>
    <tableColumn id="6" xr3:uid="{00000000-0010-0000-0A00-000006000000}" name="Demande_jour" dataDxfId="32">
      <calculatedColumnFormula>IFERROR(IF(Str_TypeDonneesCpt7=Cpt_Index,Tab_Compteur_7[[#This Row],[Index]]-M6,Tab_Compteur_7[[#This Row],[Quantité]])/Tab_Compteur_7[[#This Row],[Delta Jour]],"")</calculatedColumnFormula>
    </tableColumn>
    <tableColumn id="7" xr3:uid="{00000000-0010-0000-0A00-000007000000}" name="Cout_jour" dataDxfId="31">
      <calculatedColumnFormula>IFERROR(Tab_Compteur_7[[#This Row],[Montant]]/Tab_Compteur_7[[#This Row],[Delta Jour]],"")</calculatedColumnFormula>
    </tableColumn>
    <tableColumn id="10" xr3:uid="{00000000-0010-0000-0A00-00000A000000}" name="Conso/Jour" dataDxfId="30" dataCellStyle="Milliers">
      <calculatedColumnFormula>G3</calculatedColumnFormula>
    </tableColumn>
    <tableColumn id="9" xr3:uid="{00000000-0010-0000-0A00-000009000000}" name="Commentaires" dataDxfId="2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B000000}" name="Tab_Compteur_8" displayName="Tab_Compteur_8" ref="A2:J243" totalsRowShown="0" headerRowDxfId="27" headerRowBorderDxfId="26" tableBorderDxfId="25">
  <autoFilter ref="A2:J243" xr:uid="{00000000-0009-0000-0100-000008000000}"/>
  <tableColumns count="10">
    <tableColumn id="1" xr3:uid="{00000000-0010-0000-0B00-000001000000}" name="Début de période" dataDxfId="24"/>
    <tableColumn id="2" xr3:uid="{00000000-0010-0000-0B00-000002000000}" name="Fin de période" dataDxfId="23"/>
    <tableColumn id="3" xr3:uid="{00000000-0010-0000-0B00-000003000000}" name="Quantité" dataDxfId="22">
      <calculatedColumnFormula>E3-E2</calculatedColumnFormula>
    </tableColumn>
    <tableColumn id="4" xr3:uid="{00000000-0010-0000-0B00-000004000000}" name="Montant" dataDxfId="21" dataCellStyle="Monétaire">
      <calculatedColumnFormula>IF(Tab_Compteur_8[[#This Row],[Fin de période]]&gt;0,IFERROR(B3-A3+1,""),"")</calculatedColumnFormula>
    </tableColumn>
    <tableColumn id="8" xr3:uid="{00000000-0010-0000-0B00-000008000000}" name="Index" dataDxfId="20" dataCellStyle="Monétaire"/>
    <tableColumn id="5" xr3:uid="{00000000-0010-0000-0B00-000005000000}" name="Delta Jour" dataDxfId="19">
      <calculatedColumnFormula>IFERROR(B3-A3+1,"")</calculatedColumnFormula>
    </tableColumn>
    <tableColumn id="6" xr3:uid="{00000000-0010-0000-0B00-000006000000}" name="Demande_jour" dataDxfId="18">
      <calculatedColumnFormula>IFERROR(IF(Site!$H$45=Liste!$T$17,Tab_Compteur_8[[#This Row],[Index]]-E2,Tab_Compteur_8[[#This Row],[Quantité]])/Tab_Compteur_8[[#This Row],[Delta Jour]],"")</calculatedColumnFormula>
    </tableColumn>
    <tableColumn id="7" xr3:uid="{00000000-0010-0000-0B00-000007000000}" name="Cout_jour" dataDxfId="17">
      <calculatedColumnFormula>IFERROR(Tab_Compteur_8[[#This Row],[Montant]]/Tab_Compteur_8[[#This Row],[Delta Jour]],"")</calculatedColumnFormula>
    </tableColumn>
    <tableColumn id="10" xr3:uid="{00000000-0010-0000-0B00-00000A000000}" name="Conso/Jour" dataDxfId="16" dataCellStyle="Milliers">
      <calculatedColumnFormula>G3</calculatedColumnFormula>
    </tableColumn>
    <tableColumn id="9" xr3:uid="{00000000-0010-0000-0B00-000009000000}" name="Commentaires" dataDxfId="1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leau12" displayName="Tableau12" ref="A1:J238" totalsRowShown="0" tableBorderDxfId="10">
  <autoFilter ref="A1:J238" xr:uid="{00000000-0009-0000-0100-00000C000000}"/>
  <tableColumns count="10">
    <tableColumn id="1" xr3:uid="{00000000-0010-0000-0C00-000001000000}" name="Date de _x000a_relève" dataDxfId="9"/>
    <tableColumn id="2" xr3:uid="{00000000-0010-0000-0C00-000002000000}" name="Quantité restante dans la cuve_x000a_(si remplissage, valeur _x000a_avant le plein)" dataDxfId="8"/>
    <tableColumn id="3" xr3:uid="{00000000-0010-0000-0C00-000003000000}" name="Remplissage / _x000a_Quantité remise" dataDxfId="7"/>
    <tableColumn id="8" xr3:uid="{00000000-0010-0000-0C00-000008000000}" name="Quantité restante dans la cuve après le plein" dataDxfId="6"/>
    <tableColumn id="11" xr3:uid="{00000000-0010-0000-0C00-00000B000000}" name="Quantité_x000a_/Jour" dataDxfId="5"/>
    <tableColumn id="10" xr3:uid="{00000000-0010-0000-0C00-00000A000000}" name="Fin de période" dataDxfId="4"/>
    <tableColumn id="7" xr3:uid="{00000000-0010-0000-0C00-000007000000}" name="Quantité" dataDxfId="3"/>
    <tableColumn id="5" xr3:uid="{00000000-0010-0000-0C00-000005000000}" name="Montant _x000a_HT ou TTC" dataDxfId="2"/>
    <tableColumn id="4" xr3:uid="{00000000-0010-0000-0C00-000004000000}" name="Observations" dataDxfId="1"/>
    <tableColumn id="9" xr3:uid="{00000000-0010-0000-0C00-000009000000}" name="Test Cohérence"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1000000}" name="Tableau9" displayName="Tableau9" ref="A1:F5172" totalsRowShown="0" headerRowDxfId="166" dataDxfId="165" tableBorderDxfId="164">
  <autoFilter ref="A1:F5172" xr:uid="{00000000-0009-0000-0100-000009000000}"/>
  <tableColumns count="6">
    <tableColumn id="1" xr3:uid="{2A2D97E4-4DF8-4C26-8A8F-4FEA971CFC67}" name="Station Météo" dataDxfId="163"/>
    <tableColumn id="2" xr3:uid="{00000000-0010-0000-0100-000002000000}" name="annee" dataDxfId="162"/>
    <tableColumn id="3" xr3:uid="{00000000-0010-0000-0100-000003000000}" name="mois" dataDxfId="161"/>
    <tableColumn id="6" xr3:uid="{00000000-0010-0000-0100-000006000000}" name="mois_numero" dataDxfId="160"/>
    <tableColumn id="4" xr3:uid="{00000000-0010-0000-0100-000004000000}" name="DJU(chauffagiste)" dataDxfId="159"/>
    <tableColumn id="5" xr3:uid="{00000000-0010-0000-0100-000005000000}" name="DJU(climaticien)" dataDxfId="15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9E338BB-10CF-4960-A9E7-D887197FEB3C}" name="Tableau16" displayName="Tableau16" ref="B6:J14" totalsRowShown="0" headerRowDxfId="120">
  <autoFilter ref="B6:J14" xr:uid="{49E338BB-10CF-4960-A9E7-D887197FEB3C}"/>
  <tableColumns count="9">
    <tableColumn id="1" xr3:uid="{8B17200F-9BD1-47AC-A0F8-BA472EAECD4A}" name="Compteur/Livraison" dataDxfId="119"/>
    <tableColumn id="2" xr3:uid="{BB5F658B-E7EA-4DD6-9EA6-1195C84B614D}" name="Type">
      <calculatedColumnFormula>Site!D38</calculatedColumnFormula>
    </tableColumn>
    <tableColumn id="3" xr3:uid="{28FB958F-701C-4E08-825F-2BE0A5966222}" name="Source">
      <calculatedColumnFormula>Site!E38</calculatedColumnFormula>
    </tableColumn>
    <tableColumn id="4" xr3:uid="{D8546A9A-956E-477C-BA05-20807B6B4B1E}" name="Detail usage">
      <calculatedColumnFormula>Site!F38</calculatedColumnFormula>
    </tableColumn>
    <tableColumn id="5" xr3:uid="{92085F3B-E60E-45E9-8FD0-6812374FDD8F}" name="Combustible ">
      <calculatedColumnFormula>Site!G38</calculatedColumnFormula>
    </tableColumn>
    <tableColumn id="6" xr3:uid="{9764D44B-0958-407E-A787-98EB27C70241}" name="PCI">
      <calculatedColumnFormula>IFERROR(VLOOKUP(F7,Liste!$A$5:$H$19,2,FALSE),0)</calculatedColumnFormula>
    </tableColumn>
    <tableColumn id="7" xr3:uid="{0F42AF64-3E82-47A1-8BC7-C2A19C4E0097}" name="PCI_DEET">
      <calculatedColumnFormula>IFERROR(VLOOKUP(F7,Liste!$A$5:$H$19,3,FALSE),0)</calculatedColumnFormula>
    </tableColumn>
    <tableColumn id="8" xr3:uid="{DB6703DA-7CB3-4D6B-A745-DA051C6E1144}" name="Nom" dataDxfId="118">
      <calculatedColumnFormula>Site!C38</calculatedColumnFormula>
    </tableColumn>
    <tableColumn id="9" xr3:uid="{E2FA0F00-B35E-4165-8B4E-7A9E5CB91FB6}" name="PCI_EP" dataDxfId="117">
      <calculatedColumnFormula>IFERROR(VLOOKUP(F7,Liste!$A$5:$H$19,7,FALSE),0)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_Compteur_1" displayName="Tab_Compteur_1" ref="A2:I243" headerRowDxfId="115">
  <autoFilter ref="A2:I243" xr:uid="{00000000-0009-0000-0100-000004000000}"/>
  <tableColumns count="9">
    <tableColumn id="1" xr3:uid="{00000000-0010-0000-0400-000001000000}" name="Début de période" totalsRowLabel="Total" dataDxfId="114">
      <calculatedColumnFormula>EDATE(B3,-1)</calculatedColumnFormula>
    </tableColumn>
    <tableColumn id="2" xr3:uid="{00000000-0010-0000-0400-000002000000}" name="Fin de période" dataDxfId="113" totalsRowDxfId="112">
      <calculatedColumnFormula>A4-1</calculatedColumnFormula>
    </tableColumn>
    <tableColumn id="3" xr3:uid="{00000000-0010-0000-0400-000003000000}" name="Quantité" dataDxfId="111" totalsRowDxfId="110" dataCellStyle="Milliers"/>
    <tableColumn id="4" xr3:uid="{00000000-0010-0000-0400-000004000000}" name="Montant" totalsRowDxfId="109" dataCellStyle="Monétaire"/>
    <tableColumn id="8" xr3:uid="{00000000-0010-0000-0400-000008000000}" name="Index" dataDxfId="108" totalsRowDxfId="107" dataCellStyle="Monétaire"/>
    <tableColumn id="5" xr3:uid="{00000000-0010-0000-0400-000005000000}" name="Delta Jour" dataDxfId="106">
      <calculatedColumnFormula>IFERROR(B3-A3+1,"")</calculatedColumnFormula>
    </tableColumn>
    <tableColumn id="6" xr3:uid="{00000000-0010-0000-0400-000006000000}" name="Demande_jour" dataDxfId="105">
      <calculatedColumnFormula>IFERROR(IF(Str_TypeDonneesCpt=Cpt_Index,Tab_Compteur_1[[#This Row],[Index]],Tab_Compteur_1[[#This Row],[Quantité]])/Tab_Compteur_1[[#This Row],[Delta Jour]],"")</calculatedColumnFormula>
    </tableColumn>
    <tableColumn id="7" xr3:uid="{00000000-0010-0000-0400-000007000000}" name="Cout_jour" dataDxfId="104">
      <calculatedColumnFormula>IFERROR(Tab_Compteur_1[[#This Row],[Montant]]/Tab_Compteur_1[[#This Row],[Delta Jour]],"")</calculatedColumnFormula>
    </tableColumn>
    <tableColumn id="9" xr3:uid="{00000000-0010-0000-0400-000009000000}" name="Conso/Jour" totalsRowFunction="count" dataDxfId="103" totalsRowDxfId="102" dataCellStyle="Milliers">
      <calculatedColumnFormula>G3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Tab_fériés" displayName="Tab_fériés" ref="O2:R288" totalsRowShown="0">
  <autoFilter ref="O2:R288" xr:uid="{00000000-0009-0000-0100-00000B000000}"/>
  <tableColumns count="4">
    <tableColumn id="1" xr3:uid="{00000000-0010-0000-0300-000001000000}" name="date" dataDxfId="101"/>
    <tableColumn id="2" xr3:uid="{00000000-0010-0000-0300-000002000000}" name="annee"/>
    <tableColumn id="3" xr3:uid="{00000000-0010-0000-0300-000003000000}" name="zone"/>
    <tableColumn id="4" xr3:uid="{00000000-0010-0000-0300-000004000000}" name="nom_jour_feri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Tab_Compteur_2" displayName="Tab_Compteur_2" ref="A2:I243" totalsRowShown="0" headerRowDxfId="99">
  <autoFilter ref="A2:I243" xr:uid="{00000000-0009-0000-0100-000001000000}"/>
  <tableColumns count="9">
    <tableColumn id="1" xr3:uid="{00000000-0010-0000-0500-000001000000}" name="Début de période" dataDxfId="98">
      <calculatedColumnFormula>EDATE(Tab_Compteur_2[[#This Row],[Fin de période]],-1)+1</calculatedColumnFormula>
    </tableColumn>
    <tableColumn id="2" xr3:uid="{00000000-0010-0000-0500-000002000000}" name="Fin de période" dataDxfId="97"/>
    <tableColumn id="3" xr3:uid="{00000000-0010-0000-0500-000003000000}" name="Quantité" dataDxfId="96" dataCellStyle="Milliers"/>
    <tableColumn id="4" xr3:uid="{00000000-0010-0000-0500-000004000000}" name="Colonne1" dataDxfId="95" dataCellStyle="Monétaire">
      <calculatedColumnFormula>Tab_Compteur_2[[#This Row],[Quantité]]/1000*100</calculatedColumnFormula>
    </tableColumn>
    <tableColumn id="8" xr3:uid="{00000000-0010-0000-0500-000008000000}" name="Index" dataDxfId="94" dataCellStyle="Monétaire"/>
    <tableColumn id="5" xr3:uid="{00000000-0010-0000-0500-000005000000}" name="Delta Jour" dataDxfId="93">
      <calculatedColumnFormula>IF(Tab_Compteur_2[[#This Row],[Fin de période]]&gt;0,IFERROR(B3-A3+1,""),"")</calculatedColumnFormula>
    </tableColumn>
    <tableColumn id="6" xr3:uid="{00000000-0010-0000-0500-000006000000}" name="Demande_jour" dataDxfId="92"/>
    <tableColumn id="7" xr3:uid="{00000000-0010-0000-0500-000007000000}" name="Cout_jour" dataDxfId="91"/>
    <tableColumn id="9" xr3:uid="{00000000-0010-0000-0500-000009000000}" name="Conso/Jour" dataDxfId="90" dataCellStyle="Milliers"/>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_Compteur_3" displayName="Tab_Compteur_3" ref="A2:J243" totalsRowShown="0">
  <autoFilter ref="A2:J243" xr:uid="{00000000-0009-0000-0100-000002000000}"/>
  <tableColumns count="10">
    <tableColumn id="7" xr3:uid="{00000000-0010-0000-0600-000007000000}" name="Début de période" dataDxfId="88">
      <calculatedColumnFormula>B2+1</calculatedColumnFormula>
    </tableColumn>
    <tableColumn id="1" xr3:uid="{00000000-0010-0000-0600-000001000000}" name="Fin de période" dataDxfId="87"/>
    <tableColumn id="2" xr3:uid="{00000000-0010-0000-0600-000002000000}" name="Quantité" dataDxfId="86">
      <calculatedColumnFormula>E3-E2</calculatedColumnFormula>
    </tableColumn>
    <tableColumn id="3" xr3:uid="{00000000-0010-0000-0600-000003000000}" name="Montant" dataDxfId="85"/>
    <tableColumn id="8" xr3:uid="{00000000-0010-0000-0600-000008000000}" name="Index" dataDxfId="84" dataCellStyle="Monétaire"/>
    <tableColumn id="4" xr3:uid="{00000000-0010-0000-0600-000004000000}" name="Delta Jour" dataDxfId="83">
      <calculatedColumnFormula>IFERROR(B3-A3+1,"")</calculatedColumnFormula>
    </tableColumn>
    <tableColumn id="5" xr3:uid="{00000000-0010-0000-0600-000005000000}" name="Demande_jour" dataDxfId="82">
      <calculatedColumnFormula>IFERROR(Tab_Compteur_3[[#This Row],[Quantité]]/Tab_Compteur_3[[#This Row],[Delta Jour]],"")</calculatedColumnFormula>
    </tableColumn>
    <tableColumn id="6" xr3:uid="{00000000-0010-0000-0600-000006000000}" name="Cout_jour" dataDxfId="81">
      <calculatedColumnFormula>IFERROR(Tab_Compteur_3[[#This Row],[Montant]]/Tab_Compteur_3[[#This Row],[Delta Jour]],"")</calculatedColumnFormula>
    </tableColumn>
    <tableColumn id="9" xr3:uid="{00000000-0010-0000-0600-000009000000}" name="Conso/Jour" dataDxfId="80">
      <calculatedColumnFormula>G3</calculatedColumnFormula>
    </tableColumn>
    <tableColumn id="10" xr3:uid="{00000000-0010-0000-0600-00000A000000}" name="Commentaires" dataDxfId="7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b_Compteur_4" displayName="Tab_Compteur_4" ref="A2:J243" totalsRowShown="0">
  <autoFilter ref="A2:J243" xr:uid="{00000000-0009-0000-0100-000003000000}"/>
  <tableColumns count="10">
    <tableColumn id="7" xr3:uid="{00000000-0010-0000-0700-000007000000}" name="Début de période" dataDxfId="75">
      <calculatedColumnFormula>B2+1</calculatedColumnFormula>
    </tableColumn>
    <tableColumn id="1" xr3:uid="{00000000-0010-0000-0700-000001000000}" name="Fin de période" dataDxfId="74">
      <calculatedColumnFormula>A4-1</calculatedColumnFormula>
    </tableColumn>
    <tableColumn id="2" xr3:uid="{00000000-0010-0000-0700-000002000000}" name="Quantité" dataDxfId="73"/>
    <tableColumn id="3" xr3:uid="{00000000-0010-0000-0700-000003000000}" name="Montant" dataCellStyle="Monétaire"/>
    <tableColumn id="9" xr3:uid="{00000000-0010-0000-0700-000009000000}" name="Index" dataDxfId="72" dataCellStyle="Monétaire"/>
    <tableColumn id="4" xr3:uid="{00000000-0010-0000-0700-000004000000}" name="Delta Jour" dataDxfId="71">
      <calculatedColumnFormula>IFERROR(B3-A3+1,"")</calculatedColumnFormula>
    </tableColumn>
    <tableColumn id="5" xr3:uid="{00000000-0010-0000-0700-000005000000}" name="Demande_jour" dataDxfId="70">
      <calculatedColumnFormula>IFERROR(IF(Str_TypeDonneesCpt4=Cpt_Index,Tab_Compteur_4[[#This Row],[Index]]-M6,Tab_Compteur_4[[#This Row],[Quantité]])/Tab_Compteur_4[[#This Row],[Delta Jour]],"")</calculatedColumnFormula>
    </tableColumn>
    <tableColumn id="6" xr3:uid="{00000000-0010-0000-0700-000006000000}" name="Cout_jour" dataDxfId="69">
      <calculatedColumnFormula>IFERROR(Tab_Compteur_4[[#This Row],[Montant]]/Tab_Compteur_4[[#This Row],[Delta Jour]],"")</calculatedColumnFormula>
    </tableColumn>
    <tableColumn id="8" xr3:uid="{00000000-0010-0000-0700-000008000000}" name="Conso/Jour" dataDxfId="68" dataCellStyle="Milliers">
      <calculatedColumnFormula>G3</calculatedColumnFormula>
    </tableColumn>
    <tableColumn id="10" xr3:uid="{00000000-0010-0000-0700-00000A000000}" name="Commentaires" dataDxfId="6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_Compteur_5" displayName="Tab_Compteur_5" ref="A2:J243" totalsRowShown="0">
  <autoFilter ref="A2:J243" xr:uid="{00000000-0009-0000-0100-00000A000000}"/>
  <tableColumns count="10">
    <tableColumn id="7" xr3:uid="{00000000-0010-0000-0800-000007000000}" name="Début de période" dataDxfId="65">
      <calculatedColumnFormula>IF(#REF!&gt;0,B2+1,"")</calculatedColumnFormula>
    </tableColumn>
    <tableColumn id="1" xr3:uid="{00000000-0010-0000-0800-000001000000}" name="Fin de période" dataDxfId="64">
      <calculatedColumnFormula>A4-1</calculatedColumnFormula>
    </tableColumn>
    <tableColumn id="2" xr3:uid="{00000000-0010-0000-0800-000002000000}" name="Quantité" dataDxfId="63"/>
    <tableColumn id="3" xr3:uid="{00000000-0010-0000-0800-000003000000}" name="Montant" dataDxfId="62" dataCellStyle="Monétaire"/>
    <tableColumn id="8" xr3:uid="{00000000-0010-0000-0800-000008000000}" name="Index" dataDxfId="61" dataCellStyle="Monétaire"/>
    <tableColumn id="4" xr3:uid="{00000000-0010-0000-0800-000004000000}" name="Delta Jour" dataDxfId="60">
      <calculatedColumnFormula>IFERROR(B3-A3+1,"")</calculatedColumnFormula>
    </tableColumn>
    <tableColumn id="5" xr3:uid="{00000000-0010-0000-0800-000005000000}" name="Demande_jour" dataDxfId="59">
      <calculatedColumnFormula>IFERROR(IF(Str_TypeDonneesCpt5=Cpt_Index,Tab_Compteur_5[[#This Row],[Index]]-M6,Tab_Compteur_5[[#This Row],[Quantité]])/Tab_Compteur_5[[#This Row],[Delta Jour]],"")</calculatedColumnFormula>
    </tableColumn>
    <tableColumn id="6" xr3:uid="{00000000-0010-0000-0800-000006000000}" name="Cout_jour" dataDxfId="58">
      <calculatedColumnFormula>IFERROR(Tab_Compteur_5[[#This Row],[Montant]]/Tab_Compteur_5[[#This Row],[Delta Jour]],"")</calculatedColumnFormula>
    </tableColumn>
    <tableColumn id="10" xr3:uid="{00000000-0010-0000-0800-00000A000000}" name="Conso/Jour" dataDxfId="57" dataCellStyle="Milliers">
      <calculatedColumnFormula>G3</calculatedColumnFormula>
    </tableColumn>
    <tableColumn id="9" xr3:uid="{00000000-0010-0000-0800-000009000000}" name="Commentaires" dataDxfId="56"/>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5" dT="2023-09-27T13:08:57.60" personId="{60167206-CCD6-4093-AFD2-6704D86DD72F}" id="{D0FFACD2-8BE7-466C-BE6F-692B13DB66A4}">
    <text xml:space="preserve">La valeur Cabs est l'objectif de consommation en valeur aboslue calculée par la plateforme OPERAT. Elle permet de calculer l'ajustement climatique du chauffage et du refroidissement. La valeur par défaut si la Cabs de votre bâtiment vous est inconnue </text>
  </threadedComment>
</ThreadedComments>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Chronologie_Dates" xr10:uid="{B0A81E4B-F923-4E29-A6FE-61AD217721E4}" sourceName="[Tab_concat].[Dates]">
  <pivotTables>
    <pivotTable tabId="39" name="Tableau croisé dynamique1"/>
    <pivotTable tabId="4294967295" name="PivotChartTable3"/>
  </pivotTables>
  <state minimalRefreshVersion="6" lastRefreshVersion="6" pivotCacheId="1741343735" filterType="dateBetween">
    <selection startDate="2021-01-01T00:00:00" endDate="2025-12-31T00:00:00"/>
    <bounds startDate="2010-01-01T00:00:00" endDate="2027-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Chronologie_Dates1" xr10:uid="{03FFFCF9-240F-42A5-A387-DD8D35556636}" sourceName="[Tab_concat].[Dates]">
  <pivotTables>
    <pivotTable tabId="4294967295" name="PivotChartTable2"/>
    <pivotTable tabId="4294967295" name="PivotChartTable1"/>
  </pivotTables>
  <state minimalRefreshVersion="6" lastRefreshVersion="6" pivotCacheId="321124030" filterType="dateBetween">
    <selection startDate="2017-01-01T00:00:00" endDate="2026-12-31T00:00:00"/>
    <bounds startDate="2010-01-01T00:00:00" endDate="2027-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s 1" xr10:uid="{A68BFF6A-259C-4E81-A01F-20B5C2BCAA15}" cache="Chronologie_Dates1" caption="Dates" level="0" selectionLevel="0" scrollPosition="2013-01-01T00:00:00"/>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s" xr10:uid="{6B96B2EC-48FD-4B9A-A70D-37A4CB20D0CD}" cache="Chronologie_Dates" caption="Dates" showHeader="0" showSelectionLabel="0" level="0" selectionLevel="0" scrollPosition="2015-04-29T00:00:00"/>
</timeline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operat.ademe.fr/" TargetMode="External"/><Relationship Id="rId1" Type="http://schemas.openxmlformats.org/officeDocument/2006/relationships/pivotTable" Target="../pivotTables/pivotTable13.xml"/><Relationship Id="rId5" Type="http://schemas.microsoft.com/office/2007/relationships/slicer" Target="../slicers/slicer4.xml"/><Relationship Id="rId4"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8" Type="http://schemas.microsoft.com/office/2007/relationships/slicer" Target="../slicers/slicer5.xml"/><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6.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drawing" Target="../drawings/drawing11.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pivotTable" Target="../pivotTables/pivotTable19.xml"/><Relationship Id="rId5" Type="http://schemas.microsoft.com/office/2011/relationships/timeline" Target="../timelines/timeline2.xml"/><Relationship Id="rId4" Type="http://schemas.microsoft.com/office/2007/relationships/slicer" Target="../slicers/slicer6.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21.bin"/><Relationship Id="rId5" Type="http://schemas.openxmlformats.org/officeDocument/2006/relationships/comments" Target="../comments6.xml"/><Relationship Id="rId4" Type="http://schemas.openxmlformats.org/officeDocument/2006/relationships/table" Target="../tables/table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22.bin"/><Relationship Id="rId5" Type="http://schemas.openxmlformats.org/officeDocument/2006/relationships/comments" Target="../comments7.xml"/><Relationship Id="rId4" Type="http://schemas.openxmlformats.org/officeDocument/2006/relationships/table" Target="../tables/table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3.bin"/><Relationship Id="rId5" Type="http://schemas.openxmlformats.org/officeDocument/2006/relationships/comments" Target="../comments8.xml"/><Relationship Id="rId4"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4.bin"/><Relationship Id="rId5" Type="http://schemas.openxmlformats.org/officeDocument/2006/relationships/comments" Target="../comments9.xml"/><Relationship Id="rId4"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4.xml"/><Relationship Id="rId5" Type="http://schemas.microsoft.com/office/2007/relationships/slicer" Target="../slicers/slicer1.xml"/><Relationship Id="rId4"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5.bin"/><Relationship Id="rId5" Type="http://schemas.openxmlformats.org/officeDocument/2006/relationships/comments" Target="../comments10.xml"/><Relationship Id="rId4" Type="http://schemas.openxmlformats.org/officeDocument/2006/relationships/table" Target="../tables/table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26.bin"/><Relationship Id="rId5" Type="http://schemas.openxmlformats.org/officeDocument/2006/relationships/comments" Target="../comments11.xml"/><Relationship Id="rId4" Type="http://schemas.openxmlformats.org/officeDocument/2006/relationships/table" Target="../tables/table1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3.xml"/><Relationship Id="rId1" Type="http://schemas.openxmlformats.org/officeDocument/2006/relationships/printerSettings" Target="../printerSettings/printerSettings27.bin"/><Relationship Id="rId5" Type="http://schemas.openxmlformats.org/officeDocument/2006/relationships/comments" Target="../comments12.xml"/><Relationship Id="rId4" Type="http://schemas.openxmlformats.org/officeDocument/2006/relationships/table" Target="../tables/table1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4.xml"/><Relationship Id="rId1" Type="http://schemas.openxmlformats.org/officeDocument/2006/relationships/printerSettings" Target="../printerSettings/printerSettings28.bin"/><Relationship Id="rId5" Type="http://schemas.openxmlformats.org/officeDocument/2006/relationships/comments" Target="../comments13.xml"/><Relationship Id="rId4" Type="http://schemas.openxmlformats.org/officeDocument/2006/relationships/table" Target="../tables/table1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9.bin"/><Relationship Id="rId5" Type="http://schemas.openxmlformats.org/officeDocument/2006/relationships/comments" Target="../comments14.xml"/><Relationship Id="rId4" Type="http://schemas.openxmlformats.org/officeDocument/2006/relationships/table" Target="../tables/table1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pivotTable" Target="../pivotTables/pivotTable7.xml"/><Relationship Id="rId7" Type="http://schemas.openxmlformats.org/officeDocument/2006/relationships/vmlDrawing" Target="../drawings/vmlDrawing1.v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drawing" Target="../drawings/drawing3.xml"/><Relationship Id="rId5" Type="http://schemas.openxmlformats.org/officeDocument/2006/relationships/printerSettings" Target="../printerSettings/printerSettings5.bin"/><Relationship Id="rId4" Type="http://schemas.openxmlformats.org/officeDocument/2006/relationships/hyperlink" Target="https://www.infoclimat.fr/climatologie/annee/2024/le-mans-arnage/valeurs/07235.html"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0.xml"/><Relationship Id="rId7" Type="http://schemas.openxmlformats.org/officeDocument/2006/relationships/comments" Target="../comments3.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vmlDrawing" Target="../drawings/vmlDrawing3.vml"/><Relationship Id="rId5" Type="http://schemas.openxmlformats.org/officeDocument/2006/relationships/printerSettings" Target="../printerSettings/printerSettings8.bin"/><Relationship Id="rId4" Type="http://schemas.openxmlformats.org/officeDocument/2006/relationships/pivotTable" Target="../pivotTables/pivotTable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2"/>
  <dimension ref="A1:AI395"/>
  <sheetViews>
    <sheetView workbookViewId="0"/>
  </sheetViews>
  <sheetFormatPr baseColWidth="10" defaultColWidth="11.453125" defaultRowHeight="14.5"/>
  <cols>
    <col min="1" max="1" width="40.7265625" style="295" customWidth="1"/>
    <col min="2" max="2" width="43.1796875" style="295" customWidth="1"/>
    <col min="3" max="3" width="105.54296875" style="295" bestFit="1" customWidth="1"/>
    <col min="4" max="4" width="30.26953125" style="295" customWidth="1"/>
    <col min="5" max="5" width="11.453125" style="295"/>
    <col min="6" max="6" width="24.54296875" style="295" customWidth="1"/>
    <col min="7" max="7" width="11.453125" style="295"/>
    <col min="8" max="8" width="17.54296875" style="295" customWidth="1"/>
    <col min="9" max="9" width="31.26953125" style="295" bestFit="1" customWidth="1"/>
    <col min="10" max="10" width="54.1796875" style="295" customWidth="1"/>
    <col min="11" max="11" width="27" style="295" customWidth="1"/>
    <col min="12" max="12" width="31.7265625" style="295" bestFit="1" customWidth="1"/>
    <col min="13" max="13" width="23.1796875" style="295" bestFit="1" customWidth="1"/>
    <col min="14" max="16" width="11.453125" style="295"/>
    <col min="17" max="17" width="30.453125" style="295" customWidth="1"/>
    <col min="18" max="16384" width="11.453125" style="295"/>
  </cols>
  <sheetData>
    <row r="1" spans="1:35">
      <c r="B1" s="295" t="s">
        <v>138</v>
      </c>
      <c r="D1" s="295" t="str">
        <f>'Surface DEET'!E3</f>
        <v>H2b</v>
      </c>
    </row>
    <row r="2" spans="1:35">
      <c r="B2" s="295" t="s">
        <v>139</v>
      </c>
      <c r="D2" s="295" t="str">
        <f>'Surface DEET'!E4</f>
        <v>Altitude &lt; 400 m</v>
      </c>
    </row>
    <row r="5" spans="1:35">
      <c r="F5" s="295" t="s">
        <v>556</v>
      </c>
      <c r="G5" s="295" t="s">
        <v>557</v>
      </c>
      <c r="H5" s="295" t="s">
        <v>558</v>
      </c>
      <c r="I5" s="295" t="s">
        <v>559</v>
      </c>
      <c r="J5" s="295" t="s">
        <v>560</v>
      </c>
      <c r="K5" s="295" t="s">
        <v>561</v>
      </c>
      <c r="L5" s="295" t="s">
        <v>562</v>
      </c>
      <c r="M5" s="295" t="s">
        <v>563</v>
      </c>
      <c r="N5" s="295" t="s">
        <v>564</v>
      </c>
      <c r="O5" s="295" t="s">
        <v>565</v>
      </c>
      <c r="P5" s="295" t="s">
        <v>566</v>
      </c>
      <c r="Q5" s="295" t="s">
        <v>567</v>
      </c>
      <c r="R5" s="295" t="s">
        <v>568</v>
      </c>
      <c r="S5" s="295" t="s">
        <v>569</v>
      </c>
      <c r="T5" s="295" t="s">
        <v>570</v>
      </c>
      <c r="U5" s="295" t="s">
        <v>571</v>
      </c>
      <c r="V5" s="295" t="s">
        <v>572</v>
      </c>
      <c r="W5" s="295" t="s">
        <v>573</v>
      </c>
      <c r="X5" s="295" t="s">
        <v>574</v>
      </c>
      <c r="Y5" s="295" t="s">
        <v>575</v>
      </c>
      <c r="Z5" s="295" t="s">
        <v>576</v>
      </c>
      <c r="AA5" s="295" t="s">
        <v>577</v>
      </c>
      <c r="AB5" s="295" t="s">
        <v>578</v>
      </c>
      <c r="AC5" s="295" t="s">
        <v>579</v>
      </c>
      <c r="AD5" s="295" t="s">
        <v>580</v>
      </c>
      <c r="AE5" s="295" t="s">
        <v>581</v>
      </c>
      <c r="AF5" s="295" t="s">
        <v>582</v>
      </c>
      <c r="AG5" s="295" t="s">
        <v>583</v>
      </c>
      <c r="AH5" s="295" t="s">
        <v>584</v>
      </c>
      <c r="AI5" s="295" t="s">
        <v>585</v>
      </c>
    </row>
    <row r="6" spans="1:35">
      <c r="F6" s="295" t="str">
        <f>INDEX('Surface DEET'!$E$9:$E$38,COLUMN(Calculs_CABS!F5)-COLUMN(Calculs_CABS!$E$5),1)</f>
        <v>Etablissements médico-sociaux – Valeur par défaut</v>
      </c>
      <c r="G6" s="295">
        <f>INDEX('Surface DEET'!$E$9:$E$38,COLUMN(Calculs_CABS!G5)-COLUMN(Calculs_CABS!$E$5),1)</f>
        <v>0</v>
      </c>
      <c r="H6" s="295">
        <f>INDEX('Surface DEET'!$E$9:$E$38,COLUMN(Calculs_CABS!H5)-COLUMN(Calculs_CABS!$E$5),1)</f>
        <v>0</v>
      </c>
      <c r="I6" s="295">
        <f>INDEX('Surface DEET'!$E$9:$E$38,COLUMN(Calculs_CABS!I5)-COLUMN(Calculs_CABS!$E$5),1)</f>
        <v>0</v>
      </c>
      <c r="J6" s="295">
        <f>INDEX('Surface DEET'!$E$9:$E$38,COLUMN(Calculs_CABS!J5)-COLUMN(Calculs_CABS!$E$5),1)</f>
        <v>0</v>
      </c>
      <c r="K6" s="295">
        <f>INDEX('Surface DEET'!$E$9:$E$38,COLUMN(Calculs_CABS!K5)-COLUMN(Calculs_CABS!$E$5),1)</f>
        <v>0</v>
      </c>
      <c r="L6" s="295">
        <f>INDEX('Surface DEET'!$E$9:$E$38,COLUMN(Calculs_CABS!L5)-COLUMN(Calculs_CABS!$E$5),1)</f>
        <v>0</v>
      </c>
      <c r="M6" s="295">
        <f>INDEX('Surface DEET'!$E$9:$E$38,COLUMN(Calculs_CABS!M5)-COLUMN(Calculs_CABS!$E$5),1)</f>
        <v>0</v>
      </c>
      <c r="N6" s="295">
        <f>INDEX('Surface DEET'!$E$9:$E$38,COLUMN(Calculs_CABS!N5)-COLUMN(Calculs_CABS!$E$5),1)</f>
        <v>0</v>
      </c>
      <c r="O6" s="295">
        <f>INDEX('Surface DEET'!$E$9:$E$38,COLUMN(Calculs_CABS!O5)-COLUMN(Calculs_CABS!$E$5),1)</f>
        <v>0</v>
      </c>
      <c r="P6" s="295">
        <f>INDEX('Surface DEET'!$E$9:$E$38,COLUMN(Calculs_CABS!P5)-COLUMN(Calculs_CABS!$E$5),1)</f>
        <v>0</v>
      </c>
      <c r="Q6" s="295">
        <f>INDEX('Surface DEET'!$E$9:$E$38,COLUMN(Calculs_CABS!Q5)-COLUMN(Calculs_CABS!$E$5),1)</f>
        <v>0</v>
      </c>
      <c r="R6" s="295">
        <f>INDEX('Surface DEET'!$E$9:$E$38,COLUMN(Calculs_CABS!R5)-COLUMN(Calculs_CABS!$E$5),1)</f>
        <v>0</v>
      </c>
      <c r="S6" s="295">
        <f>INDEX('Surface DEET'!$E$9:$E$38,COLUMN(Calculs_CABS!S5)-COLUMN(Calculs_CABS!$E$5),1)</f>
        <v>0</v>
      </c>
      <c r="T6" s="295">
        <f>INDEX('Surface DEET'!$E$9:$E$38,COLUMN(Calculs_CABS!T5)-COLUMN(Calculs_CABS!$E$5),1)</f>
        <v>0</v>
      </c>
      <c r="U6" s="295">
        <f>INDEX('Surface DEET'!$E$9:$E$38,COLUMN(Calculs_CABS!U5)-COLUMN(Calculs_CABS!$E$5),1)</f>
        <v>0</v>
      </c>
      <c r="V6" s="295">
        <f>INDEX('Surface DEET'!$E$9:$E$38,COLUMN(Calculs_CABS!V5)-COLUMN(Calculs_CABS!$E$5),1)</f>
        <v>0</v>
      </c>
      <c r="W6" s="295">
        <f>INDEX('Surface DEET'!$E$9:$E$38,COLUMN(Calculs_CABS!W5)-COLUMN(Calculs_CABS!$E$5),1)</f>
        <v>0</v>
      </c>
      <c r="X6" s="295">
        <f>INDEX('Surface DEET'!$E$9:$E$38,COLUMN(Calculs_CABS!X5)-COLUMN(Calculs_CABS!$E$5),1)</f>
        <v>0</v>
      </c>
      <c r="Y6" s="295">
        <f>INDEX('Surface DEET'!$E$9:$E$38,COLUMN(Calculs_CABS!Y5)-COLUMN(Calculs_CABS!$E$5),1)</f>
        <v>0</v>
      </c>
      <c r="Z6" s="295">
        <f>INDEX('Surface DEET'!$E$9:$E$38,COLUMN(Calculs_CABS!Z5)-COLUMN(Calculs_CABS!$E$5),1)</f>
        <v>0</v>
      </c>
      <c r="AA6" s="295">
        <f>INDEX('Surface DEET'!$E$9:$E$38,COLUMN(Calculs_CABS!AA5)-COLUMN(Calculs_CABS!$E$5),1)</f>
        <v>0</v>
      </c>
      <c r="AB6" s="295">
        <f>INDEX('Surface DEET'!$E$9:$E$38,COLUMN(Calculs_CABS!AB5)-COLUMN(Calculs_CABS!$E$5),1)</f>
        <v>0</v>
      </c>
      <c r="AC6" s="295">
        <f>INDEX('Surface DEET'!$E$9:$E$38,COLUMN(Calculs_CABS!AC5)-COLUMN(Calculs_CABS!$E$5),1)</f>
        <v>0</v>
      </c>
      <c r="AD6" s="295">
        <f>INDEX('Surface DEET'!$E$9:$E$38,COLUMN(Calculs_CABS!AD5)-COLUMN(Calculs_CABS!$E$5),1)</f>
        <v>0</v>
      </c>
      <c r="AE6" s="295">
        <f>INDEX('Surface DEET'!$E$9:$E$38,COLUMN(Calculs_CABS!AE5)-COLUMN(Calculs_CABS!$E$5),1)</f>
        <v>0</v>
      </c>
      <c r="AF6" s="295">
        <f>INDEX('Surface DEET'!$E$9:$E$38,COLUMN(Calculs_CABS!AF5)-COLUMN(Calculs_CABS!$E$5),1)</f>
        <v>0</v>
      </c>
      <c r="AG6" s="295">
        <f>INDEX('Surface DEET'!$E$9:$E$38,COLUMN(Calculs_CABS!AG5)-COLUMN(Calculs_CABS!$E$5),1)</f>
        <v>0</v>
      </c>
      <c r="AH6" s="295">
        <f>INDEX('Surface DEET'!$E$9:$E$38,COLUMN(Calculs_CABS!AH5)-COLUMN(Calculs_CABS!$E$5),1)</f>
        <v>0</v>
      </c>
      <c r="AI6" s="295">
        <f>INDEX('Surface DEET'!$E$9:$E$38,COLUMN(Calculs_CABS!AI5)-COLUMN(Calculs_CABS!$E$5),1)</f>
        <v>0</v>
      </c>
    </row>
    <row r="7" spans="1:35">
      <c r="D7" s="32" t="s">
        <v>586</v>
      </c>
      <c r="F7" s="295">
        <f t="array" ref="F7">INDEX($C$9:$AI$900,MATCH(1,($C$9:$C$900=F$6)*($D$9:$D$900="Use modulé"),0),COLUMN(F6)-COLUMN($C$6)+1)</f>
        <v>20</v>
      </c>
      <c r="G7" s="295" t="e">
        <f t="array" ref="G7">INDEX($C$9:$AI$900,MATCH(1,($C$9:$C$900=G$6)*($D$9:$D$900="Use modulé"),0),COLUMN(G6)-COLUMN($C$6)+1)</f>
        <v>#N/A</v>
      </c>
      <c r="H7" s="295" t="e">
        <f t="array" ref="H7">INDEX($C$9:$AI$900,MATCH(1,($C$9:$C$900=H$6)*($D$9:$D$900="Use modulé"),0),COLUMN(H6)-COLUMN($C$6)+1)</f>
        <v>#N/A</v>
      </c>
      <c r="I7" s="295" t="e">
        <f t="array" ref="I7">INDEX($C$9:$AI$900,MATCH(1,($C$9:$C$900=I$6)*($D$9:$D$900="Use modulé"),0),COLUMN(I6)-COLUMN($C$6)+1)</f>
        <v>#N/A</v>
      </c>
      <c r="J7" s="295" t="e">
        <f t="array" ref="J7">INDEX($C$9:$AI$900,MATCH(1,($C$9:$C$900=J$6)*($D$9:$D$900="Use modulé"),0),COLUMN(J6)-COLUMN($C$6)+1)</f>
        <v>#N/A</v>
      </c>
      <c r="K7" s="295" t="e">
        <f t="array" ref="K7">INDEX($C$9:$AI$900,MATCH(1,($C$9:$C$900=K$6)*($D$9:$D$900="Use modulé"),0),COLUMN(K6)-COLUMN($C$6)+1)</f>
        <v>#N/A</v>
      </c>
      <c r="L7" s="295" t="e">
        <f t="array" ref="L7">INDEX($C$9:$AI$900,MATCH(1,($C$9:$C$900=L$6)*($D$9:$D$900="Use modulé"),0),COLUMN(L6)-COLUMN($C$6)+1)</f>
        <v>#N/A</v>
      </c>
      <c r="M7" s="295" t="e">
        <f t="array" ref="M7">INDEX($C$9:$AI$900,MATCH(1,($C$9:$C$900=M$6)*($D$9:$D$900="Use modulé"),0),COLUMN(M6)-COLUMN($C$6)+1)</f>
        <v>#N/A</v>
      </c>
      <c r="N7" s="295" t="e">
        <f t="array" ref="N7">INDEX($C$9:$AI$900,MATCH(1,($C$9:$C$900=N$6)*($D$9:$D$900="Use modulé"),0),COLUMN(N6)-COLUMN($C$6)+1)</f>
        <v>#N/A</v>
      </c>
      <c r="O7" s="295" t="e">
        <f t="array" ref="O7">INDEX($C$9:$AI$900,MATCH(1,($C$9:$C$900=O$6)*($D$9:$D$900="Use modulé"),0),COLUMN(O6)-COLUMN($C$6)+1)</f>
        <v>#N/A</v>
      </c>
      <c r="P7" s="295" t="e">
        <f t="array" ref="P7">INDEX($C$9:$AI$900,MATCH(1,($C$9:$C$900=P$6)*($D$9:$D$900="Use modulé"),0),COLUMN(P6)-COLUMN($C$6)+1)</f>
        <v>#N/A</v>
      </c>
      <c r="Q7" s="295" t="e">
        <f t="array" ref="Q7">INDEX($C$9:$AI$900,MATCH(1,($C$9:$C$900=Q$6)*($D$9:$D$900="Use modulé"),0),COLUMN(Q6)-COLUMN($C$6)+1)</f>
        <v>#N/A</v>
      </c>
      <c r="R7" s="295" t="e">
        <f t="array" ref="R7">INDEX($C$9:$AI$900,MATCH(1,($C$9:$C$900=R$6)*($D$9:$D$900="Use modulé"),0),COLUMN(R6)-COLUMN($C$6)+1)</f>
        <v>#N/A</v>
      </c>
      <c r="S7" s="295" t="e">
        <f t="array" ref="S7">INDEX($C$9:$AI$900,MATCH(1,($C$9:$C$900=S$6)*($D$9:$D$900="Use modulé"),0),COLUMN(S6)-COLUMN($C$6)+1)</f>
        <v>#N/A</v>
      </c>
      <c r="T7" s="295" t="e">
        <f t="array" ref="T7">INDEX($C$9:$AI$900,MATCH(1,($C$9:$C$900=T$6)*($D$9:$D$900="Use modulé"),0),COLUMN(T6)-COLUMN($C$6)+1)</f>
        <v>#N/A</v>
      </c>
      <c r="U7" s="295" t="e">
        <f t="array" ref="U7">INDEX($C$9:$AI$900,MATCH(1,($C$9:$C$900=U$6)*($D$9:$D$900="Use modulé"),0),COLUMN(U6)-COLUMN($C$6)+1)</f>
        <v>#N/A</v>
      </c>
      <c r="V7" s="295" t="e">
        <f t="array" ref="V7">INDEX($C$9:$AI$900,MATCH(1,($C$9:$C$900=V$6)*($D$9:$D$900="Use modulé"),0),COLUMN(V6)-COLUMN($C$6)+1)</f>
        <v>#N/A</v>
      </c>
      <c r="W7" s="295" t="e">
        <f t="array" ref="W7">INDEX($C$9:$AI$900,MATCH(1,($C$9:$C$900=W$6)*($D$9:$D$900="Use modulé"),0),COLUMN(W6)-COLUMN($C$6)+1)</f>
        <v>#N/A</v>
      </c>
      <c r="X7" s="295" t="e">
        <f t="array" ref="X7">INDEX($C$9:$AI$900,MATCH(1,($C$9:$C$900=X$6)*($D$9:$D$900="Use modulé"),0),COLUMN(X6)-COLUMN($C$6)+1)</f>
        <v>#N/A</v>
      </c>
      <c r="Y7" s="295" t="e">
        <f t="array" ref="Y7">INDEX($C$9:$AI$900,MATCH(1,($C$9:$C$900=Y$6)*($D$9:$D$900="Use modulé"),0),COLUMN(Y6)-COLUMN($C$6)+1)</f>
        <v>#N/A</v>
      </c>
      <c r="Z7" s="295" t="e">
        <f t="array" ref="Z7">INDEX($C$9:$AI$900,MATCH(1,($C$9:$C$900=Z$6)*($D$9:$D$900="Use modulé"),0),COLUMN(Z6)-COLUMN($C$6)+1)</f>
        <v>#N/A</v>
      </c>
      <c r="AA7" s="295" t="e">
        <f t="array" ref="AA7">INDEX($C$9:$AI$900,MATCH(1,($C$9:$C$900=AA$6)*($D$9:$D$900="Use modulé"),0),COLUMN(AA6)-COLUMN($C$6)+1)</f>
        <v>#N/A</v>
      </c>
      <c r="AB7" s="295" t="e">
        <f t="array" ref="AB7">INDEX($C$9:$AI$900,MATCH(1,($C$9:$C$900=AB$6)*($D$9:$D$900="Use modulé"),0),COLUMN(AB6)-COLUMN($C$6)+1)</f>
        <v>#N/A</v>
      </c>
      <c r="AC7" s="295" t="e">
        <f t="array" ref="AC7">INDEX($C$9:$AI$900,MATCH(1,($C$9:$C$900=AC$6)*($D$9:$D$900="Use modulé"),0),COLUMN(AC6)-COLUMN($C$6)+1)</f>
        <v>#N/A</v>
      </c>
      <c r="AD7" s="295" t="e">
        <f t="array" ref="AD7">INDEX($C$9:$AI$900,MATCH(1,($C$9:$C$900=AD$6)*($D$9:$D$900="Use modulé"),0),COLUMN(AD6)-COLUMN($C$6)+1)</f>
        <v>#N/A</v>
      </c>
      <c r="AE7" s="295" t="e">
        <f t="array" ref="AE7">INDEX($C$9:$AI$900,MATCH(1,($C$9:$C$900=AE$6)*($D$9:$D$900="Use modulé"),0),COLUMN(AE6)-COLUMN($C$6)+1)</f>
        <v>#N/A</v>
      </c>
      <c r="AF7" s="295" t="e">
        <f t="array" ref="AF7">INDEX($C$9:$AI$900,MATCH(1,($C$9:$C$900=AF$6)*($D$9:$D$900="Use modulé"),0),COLUMN(AF6)-COLUMN($C$6)+1)</f>
        <v>#N/A</v>
      </c>
      <c r="AG7" s="295" t="e">
        <f t="array" ref="AG7">INDEX($C$9:$AI$900,MATCH(1,($C$9:$C$900=AG$6)*($D$9:$D$900="Use modulé"),0),COLUMN(AG6)-COLUMN($C$6)+1)</f>
        <v>#N/A</v>
      </c>
      <c r="AH7" s="295" t="e">
        <f t="array" ref="AH7">INDEX($C$9:$AI$900,MATCH(1,($C$9:$C$900=AH$6)*($D$9:$D$900="Use modulé"),0),COLUMN(AH6)-COLUMN($C$6)+1)</f>
        <v>#N/A</v>
      </c>
      <c r="AI7" s="295" t="e">
        <f t="array" ref="AI7">INDEX($C$9:$AI$900,MATCH(1,($C$9:$C$900=AI$6)*($D$9:$D$900="Use modulé"),0),COLUMN(AI6)-COLUMN($C$6)+1)</f>
        <v>#N/A</v>
      </c>
    </row>
    <row r="8" spans="1:35">
      <c r="B8" s="295" t="s">
        <v>587</v>
      </c>
      <c r="C8" s="295" t="s">
        <v>588</v>
      </c>
      <c r="D8" s="295" t="s">
        <v>589</v>
      </c>
      <c r="E8" s="295" t="s">
        <v>590</v>
      </c>
    </row>
    <row r="9" spans="1:35">
      <c r="B9" s="93" t="s">
        <v>301</v>
      </c>
      <c r="C9" s="295" t="s">
        <v>591</v>
      </c>
      <c r="D9" s="93" t="s">
        <v>301</v>
      </c>
      <c r="E9" s="295">
        <f t="array" ref="E9">INDEX(CABS_CVC!$C$3:$O$894,MATCH(1, (CABS_CVC!$A$3:$A$894=Calculs_CABS!C9)*(CABS_CVC!$B$3:$B$894=Calculs_CABS!$D$2),0),MATCH(Calculs_CABS!$D$1,Liste_CABS!$B$3:$B$15,0))</f>
        <v>50</v>
      </c>
    </row>
    <row r="10" spans="1:35">
      <c r="A10" s="522" t="s">
        <v>591</v>
      </c>
      <c r="B10" s="295" t="s">
        <v>543</v>
      </c>
      <c r="C10" s="295" t="s">
        <v>591</v>
      </c>
      <c r="D10" s="295" t="s">
        <v>543</v>
      </c>
      <c r="E10" s="295">
        <v>50</v>
      </c>
    </row>
    <row r="11" spans="1:35">
      <c r="A11" s="522"/>
      <c r="B11" s="295" t="s">
        <v>544</v>
      </c>
      <c r="C11" s="295" t="s">
        <v>591</v>
      </c>
      <c r="D11" s="295" t="s">
        <v>544</v>
      </c>
      <c r="E11" s="295">
        <f>E9+E10</f>
        <v>100</v>
      </c>
    </row>
    <row r="12" spans="1:35">
      <c r="A12" s="522"/>
      <c r="B12" s="295" t="s">
        <v>545</v>
      </c>
      <c r="C12" s="295" t="s">
        <v>591</v>
      </c>
      <c r="D12" s="295" t="s">
        <v>545</v>
      </c>
      <c r="E12" s="295">
        <v>0.69</v>
      </c>
    </row>
    <row r="13" spans="1:35">
      <c r="A13" s="522"/>
      <c r="B13" s="295" t="s">
        <v>546</v>
      </c>
      <c r="C13" s="295" t="s">
        <v>591</v>
      </c>
      <c r="D13" s="343" t="s">
        <v>592</v>
      </c>
      <c r="E13" s="295">
        <v>3120</v>
      </c>
      <c r="F13" s="295">
        <f>IF(F$6=$C13,IF(INDEX('Surface DEET'!$Q$9:$W$38,COLUMN(F6)-COLUMN($E$5),1)&gt;0,INDEX('Surface DEET'!$Q$9:$W$38,COLUMN(F6)-COLUMN($E$5),1),$E13),0)</f>
        <v>0</v>
      </c>
      <c r="G13" s="295">
        <f>IF(G$6=$C13,IF(INDEX('Surface DEET'!$Q$9:$W$38,COLUMN(G6)-COLUMN($E$5),1)&gt;0,INDEX('Surface DEET'!$Q$9:$W$38,COLUMN(G6)-COLUMN($E$5),1),$E13),0)</f>
        <v>0</v>
      </c>
      <c r="H13" s="295">
        <f>IF(H$6=$C13,IF(INDEX('Surface DEET'!$Q$9:$W$38,COLUMN(H6)-COLUMN($E$5),1)&gt;0,INDEX('Surface DEET'!$Q$9:$W$38,COLUMN(H6)-COLUMN($E$5),1),$E13),0)</f>
        <v>0</v>
      </c>
      <c r="I13" s="295">
        <f>IF(I$6=$C13,IF(INDEX('Surface DEET'!$Q$9:$W$38,COLUMN(I6)-COLUMN($E$5),1)&gt;0,INDEX('Surface DEET'!$Q$9:$W$38,COLUMN(I6)-COLUMN($E$5),1),$E13),0)</f>
        <v>0</v>
      </c>
      <c r="J13" s="295">
        <f>IF(J$6=$C13,IF(INDEX('Surface DEET'!$Q$9:$W$38,COLUMN(J6)-COLUMN($E$5),1)&gt;0,INDEX('Surface DEET'!$Q$9:$W$38,COLUMN(J6)-COLUMN($E$5),1),$E13),0)</f>
        <v>0</v>
      </c>
      <c r="K13" s="295">
        <f>IF(K$6=$C13,IF(INDEX('Surface DEET'!$Q$9:$W$38,COLUMN(K6)-COLUMN($E$5),1)&gt;0,INDEX('Surface DEET'!$Q$9:$W$38,COLUMN(K6)-COLUMN($E$5),1),$E13),0)</f>
        <v>0</v>
      </c>
      <c r="L13" s="295">
        <f>IF(L$6=$C13,IF(INDEX('Surface DEET'!$Q$9:$W$38,COLUMN(L6)-COLUMN($E$5),1)&gt;0,INDEX('Surface DEET'!$Q$9:$W$38,COLUMN(L6)-COLUMN($E$5),1),$E13),0)</f>
        <v>0</v>
      </c>
      <c r="M13" s="295">
        <f>IF(M$6=$C13,IF(INDEX('Surface DEET'!$Q$9:$W$38,COLUMN(M6)-COLUMN($E$5),1)&gt;0,INDEX('Surface DEET'!$Q$9:$W$38,COLUMN(M6)-COLUMN($E$5),1),$E13),0)</f>
        <v>0</v>
      </c>
      <c r="N13" s="295">
        <f>IF(N$6=$C13,IF(INDEX('Surface DEET'!$Q$9:$W$38,COLUMN(N6)-COLUMN($E$5),1)&gt;0,INDEX('Surface DEET'!$Q$9:$W$38,COLUMN(N6)-COLUMN($E$5),1),$E13),0)</f>
        <v>0</v>
      </c>
      <c r="O13" s="295">
        <f>IF(O$6=$C13,IF(INDEX('Surface DEET'!$Q$9:$W$38,COLUMN(O6)-COLUMN($E$5),1)&gt;0,INDEX('Surface DEET'!$Q$9:$W$38,COLUMN(O6)-COLUMN($E$5),1),$E13),0)</f>
        <v>0</v>
      </c>
      <c r="P13" s="295">
        <f>IF(P$6=$C13,IF(INDEX('Surface DEET'!$Q$9:$W$38,COLUMN(P6)-COLUMN($E$5),1)&gt;0,INDEX('Surface DEET'!$Q$9:$W$38,COLUMN(P6)-COLUMN($E$5),1),$E13),0)</f>
        <v>0</v>
      </c>
      <c r="Q13" s="295">
        <f>IF(Q$6=$C13,IF(INDEX('Surface DEET'!$Q$9:$W$38,COLUMN(Q6)-COLUMN($E$5),1)&gt;0,INDEX('Surface DEET'!$Q$9:$W$38,COLUMN(Q6)-COLUMN($E$5),1),$E13),0)</f>
        <v>0</v>
      </c>
      <c r="R13" s="295">
        <f>IF(R$6=$C13,IF(INDEX('Surface DEET'!$Q$9:$W$38,COLUMN(R6)-COLUMN($E$5),1)&gt;0,INDEX('Surface DEET'!$Q$9:$W$38,COLUMN(R6)-COLUMN($E$5),1),$E13),0)</f>
        <v>0</v>
      </c>
      <c r="S13" s="295">
        <f>IF(S$6=$C13,IF(INDEX('Surface DEET'!$Q$9:$W$38,COLUMN(S6)-COLUMN($E$5),1)&gt;0,INDEX('Surface DEET'!$Q$9:$W$38,COLUMN(S6)-COLUMN($E$5),1),$E13),0)</f>
        <v>0</v>
      </c>
      <c r="T13" s="295">
        <f>IF(T$6=$C13,IF(INDEX('Surface DEET'!$Q$9:$W$38,COLUMN(T6)-COLUMN($E$5),1)&gt;0,INDEX('Surface DEET'!$Q$9:$W$38,COLUMN(T6)-COLUMN($E$5),1),$E13),0)</f>
        <v>0</v>
      </c>
      <c r="U13" s="295">
        <f>IF(U$6=$C13,IF(INDEX('Surface DEET'!$Q$9:$W$38,COLUMN(U6)-COLUMN($E$5),1)&gt;0,INDEX('Surface DEET'!$Q$9:$W$38,COLUMN(U6)-COLUMN($E$5),1),$E13),0)</f>
        <v>0</v>
      </c>
      <c r="V13" s="295">
        <f>IF(V$6=$C13,IF(INDEX('Surface DEET'!$Q$9:$W$38,COLUMN(V6)-COLUMN($E$5),1)&gt;0,INDEX('Surface DEET'!$Q$9:$W$38,COLUMN(V6)-COLUMN($E$5),1),$E13),0)</f>
        <v>0</v>
      </c>
      <c r="W13" s="295">
        <f>IF(W$6=$C13,IF(INDEX('Surface DEET'!$Q$9:$W$38,COLUMN(W6)-COLUMN($E$5),1)&gt;0,INDEX('Surface DEET'!$Q$9:$W$38,COLUMN(W6)-COLUMN($E$5),1),$E13),0)</f>
        <v>0</v>
      </c>
      <c r="X13" s="295">
        <f>IF(X$6=$C13,IF(INDEX('Surface DEET'!$Q$9:$W$38,COLUMN(X6)-COLUMN($E$5),1)&gt;0,INDEX('Surface DEET'!$Q$9:$W$38,COLUMN(X6)-COLUMN($E$5),1),$E13),0)</f>
        <v>0</v>
      </c>
      <c r="Y13" s="295">
        <f>IF(Y$6=$C13,IF(INDEX('Surface DEET'!$Q$9:$W$38,COLUMN(Y6)-COLUMN($E$5),1)&gt;0,INDEX('Surface DEET'!$Q$9:$W$38,COLUMN(Y6)-COLUMN($E$5),1),$E13),0)</f>
        <v>0</v>
      </c>
      <c r="Z13" s="295">
        <f>IF(Z$6=$C13,IF(INDEX('Surface DEET'!$Q$9:$W$38,COLUMN(Z6)-COLUMN($E$5),1)&gt;0,INDEX('Surface DEET'!$Q$9:$W$38,COLUMN(Z6)-COLUMN($E$5),1),$E13),0)</f>
        <v>0</v>
      </c>
      <c r="AA13" s="295">
        <f>IF(AA$6=$C13,IF(INDEX('Surface DEET'!$Q$9:$W$38,COLUMN(AA6)-COLUMN($E$5),1)&gt;0,INDEX('Surface DEET'!$Q$9:$W$38,COLUMN(AA6)-COLUMN($E$5),1),$E13),0)</f>
        <v>0</v>
      </c>
      <c r="AB13" s="295">
        <f>IF(AB$6=$C13,IF(INDEX('Surface DEET'!$Q$9:$W$38,COLUMN(AB6)-COLUMN($E$5),1)&gt;0,INDEX('Surface DEET'!$Q$9:$W$38,COLUMN(AB6)-COLUMN($E$5),1),$E13),0)</f>
        <v>0</v>
      </c>
      <c r="AC13" s="295">
        <f>IF(AC$6=$C13,IF(INDEX('Surface DEET'!$Q$9:$W$38,COLUMN(AC6)-COLUMN($E$5),1)&gt;0,INDEX('Surface DEET'!$Q$9:$W$38,COLUMN(AC6)-COLUMN($E$5),1),$E13),0)</f>
        <v>0</v>
      </c>
      <c r="AD13" s="295">
        <f>IF(AD$6=$C13,IF(INDEX('Surface DEET'!$Q$9:$W$38,COLUMN(AD6)-COLUMN($E$5),1)&gt;0,INDEX('Surface DEET'!$Q$9:$W$38,COLUMN(AD6)-COLUMN($E$5),1),$E13),0)</f>
        <v>0</v>
      </c>
      <c r="AE13" s="295">
        <f>IF(AE$6=$C13,IF(INDEX('Surface DEET'!$Q$9:$W$38,COLUMN(AE6)-COLUMN($E$5),1)&gt;0,INDEX('Surface DEET'!$Q$9:$W$38,COLUMN(AE6)-COLUMN($E$5),1),$E13),0)</f>
        <v>0</v>
      </c>
      <c r="AF13" s="295">
        <f>IF(AF$6=$C13,IF(INDEX('Surface DEET'!$Q$9:$W$38,COLUMN(AF6)-COLUMN($E$5),1)&gt;0,INDEX('Surface DEET'!$Q$9:$W$38,COLUMN(AF6)-COLUMN($E$5),1),$E13),0)</f>
        <v>0</v>
      </c>
      <c r="AG13" s="295">
        <f>IF(AG$6=$C13,IF(INDEX('Surface DEET'!$Q$9:$W$38,COLUMN(AG6)-COLUMN($E$5),1)&gt;0,INDEX('Surface DEET'!$Q$9:$W$38,COLUMN(AG6)-COLUMN($E$5),1),$E13),0)</f>
        <v>0</v>
      </c>
      <c r="AH13" s="295">
        <f>IF(AH$6=$C13,IF(INDEX('Surface DEET'!$Q$9:$W$38,COLUMN(AH6)-COLUMN($E$5),1)&gt;0,INDEX('Surface DEET'!$Q$9:$W$38,COLUMN(AH6)-COLUMN($E$5),1),$E13),0)</f>
        <v>0</v>
      </c>
      <c r="AI13" s="295">
        <f>IF(AI$6=$C13,IF(INDEX('Surface DEET'!$Q$9:$W$38,COLUMN(AI6)-COLUMN($E$5),1)&gt;0,INDEX('Surface DEET'!$Q$9:$W$38,COLUMN(AI6)-COLUMN($E$5),1),$E13),0)</f>
        <v>0</v>
      </c>
    </row>
    <row r="14" spans="1:35">
      <c r="A14" s="522"/>
      <c r="B14" s="295" t="s">
        <v>549</v>
      </c>
      <c r="C14" s="295" t="s">
        <v>591</v>
      </c>
      <c r="D14" s="343" t="s">
        <v>593</v>
      </c>
      <c r="E14" s="295">
        <v>18</v>
      </c>
      <c r="F14" s="295">
        <f>IF(F$6=$C14,IF(INDEX('Surface DEET'!$Q$9:$W$38,COLUMN(F7)-COLUMN($E$5),4)&gt;0,INDEX('Surface DEET'!$Q$9:$W$38,COLUMN(F7)-COLUMN($E$5),4),$E14),0)</f>
        <v>0</v>
      </c>
      <c r="G14" s="295">
        <f>IF(G$6=$C14,IF(INDEX('Surface DEET'!$Q$9:$W$38,COLUMN(G7)-COLUMN($E$5),4)&gt;0,INDEX('Surface DEET'!$Q$9:$W$38,COLUMN(G7)-COLUMN($E$5),4),$E14),0)</f>
        <v>0</v>
      </c>
      <c r="H14" s="295">
        <f>IF(H$6=$C14,IF(INDEX('Surface DEET'!$Q$9:$W$38,COLUMN(H7)-COLUMN($E$5),4)&gt;0,INDEX('Surface DEET'!$Q$9:$W$38,COLUMN(H7)-COLUMN($E$5),4),$E14),0)</f>
        <v>0</v>
      </c>
      <c r="I14" s="295">
        <f>IF(I$6=$C14,IF(INDEX('Surface DEET'!$Q$9:$W$38,COLUMN(I7)-COLUMN($E$5),4)&gt;0,INDEX('Surface DEET'!$Q$9:$W$38,COLUMN(I7)-COLUMN($E$5),4),$E14),0)</f>
        <v>0</v>
      </c>
      <c r="J14" s="295">
        <f>IF(J$6=$C14,IF(INDEX('Surface DEET'!$Q$9:$W$38,COLUMN(J7)-COLUMN($E$5),4)&gt;0,INDEX('Surface DEET'!$Q$9:$W$38,COLUMN(J7)-COLUMN($E$5),4),$E14),0)</f>
        <v>0</v>
      </c>
      <c r="K14" s="295">
        <f>IF(K$6=$C14,IF(INDEX('Surface DEET'!$Q$9:$W$38,COLUMN(K7)-COLUMN($E$5),4)&gt;0,INDEX('Surface DEET'!$Q$9:$W$38,COLUMN(K7)-COLUMN($E$5),4),$E14),0)</f>
        <v>0</v>
      </c>
      <c r="L14" s="295">
        <f>IF(L$6=$C14,IF(INDEX('Surface DEET'!$Q$9:$W$38,COLUMN(L7)-COLUMN($E$5),4)&gt;0,INDEX('Surface DEET'!$Q$9:$W$38,COLUMN(L7)-COLUMN($E$5),4),$E14),0)</f>
        <v>0</v>
      </c>
      <c r="M14" s="295">
        <f>IF(M$6=$C14,IF(INDEX('Surface DEET'!$Q$9:$W$38,COLUMN(M7)-COLUMN($E$5),4)&gt;0,INDEX('Surface DEET'!$Q$9:$W$38,COLUMN(M7)-COLUMN($E$5),4),$E14),0)</f>
        <v>0</v>
      </c>
      <c r="N14" s="295">
        <f>IF(N$6=$C14,IF(INDEX('Surface DEET'!$Q$9:$W$38,COLUMN(N7)-COLUMN($E$5),4)&gt;0,INDEX('Surface DEET'!$Q$9:$W$38,COLUMN(N7)-COLUMN($E$5),4),$E14),0)</f>
        <v>0</v>
      </c>
      <c r="O14" s="295">
        <f>IF(O$6=$C14,IF(INDEX('Surface DEET'!$Q$9:$W$38,COLUMN(O7)-COLUMN($E$5),4)&gt;0,INDEX('Surface DEET'!$Q$9:$W$38,COLUMN(O7)-COLUMN($E$5),4),$E14),0)</f>
        <v>0</v>
      </c>
      <c r="P14" s="295">
        <f>IF(P$6=$C14,IF(INDEX('Surface DEET'!$Q$9:$W$38,COLUMN(P7)-COLUMN($E$5),4)&gt;0,INDEX('Surface DEET'!$Q$9:$W$38,COLUMN(P7)-COLUMN($E$5),4),$E14),0)</f>
        <v>0</v>
      </c>
      <c r="Q14" s="295">
        <f>IF(Q$6=$C14,IF(INDEX('Surface DEET'!$Q$9:$W$38,COLUMN(Q7)-COLUMN($E$5),4)&gt;0,INDEX('Surface DEET'!$Q$9:$W$38,COLUMN(Q7)-COLUMN($E$5),4),$E14),0)</f>
        <v>0</v>
      </c>
      <c r="R14" s="295">
        <f>IF(R$6=$C14,IF(INDEX('Surface DEET'!$Q$9:$W$38,COLUMN(R7)-COLUMN($E$5),4)&gt;0,INDEX('Surface DEET'!$Q$9:$W$38,COLUMN(R7)-COLUMN($E$5),4),$E14),0)</f>
        <v>0</v>
      </c>
      <c r="S14" s="295">
        <f>IF(S$6=$C14,IF(INDEX('Surface DEET'!$Q$9:$W$38,COLUMN(S7)-COLUMN($E$5),4)&gt;0,INDEX('Surface DEET'!$Q$9:$W$38,COLUMN(S7)-COLUMN($E$5),4),$E14),0)</f>
        <v>0</v>
      </c>
      <c r="T14" s="295">
        <f>IF(T$6=$C14,IF(INDEX('Surface DEET'!$Q$9:$W$38,COLUMN(T7)-COLUMN($E$5),4)&gt;0,INDEX('Surface DEET'!$Q$9:$W$38,COLUMN(T7)-COLUMN($E$5),4),$E14),0)</f>
        <v>0</v>
      </c>
      <c r="U14" s="295">
        <f>IF(U$6=$C14,IF(INDEX('Surface DEET'!$Q$9:$W$38,COLUMN(U7)-COLUMN($E$5),4)&gt;0,INDEX('Surface DEET'!$Q$9:$W$38,COLUMN(U7)-COLUMN($E$5),4),$E14),0)</f>
        <v>0</v>
      </c>
      <c r="V14" s="295">
        <f>IF(V$6=$C14,IF(INDEX('Surface DEET'!$Q$9:$W$38,COLUMN(V7)-COLUMN($E$5),4)&gt;0,INDEX('Surface DEET'!$Q$9:$W$38,COLUMN(V7)-COLUMN($E$5),4),$E14),0)</f>
        <v>0</v>
      </c>
      <c r="W14" s="295">
        <f>IF(W$6=$C14,IF(INDEX('Surface DEET'!$Q$9:$W$38,COLUMN(W7)-COLUMN($E$5),4)&gt;0,INDEX('Surface DEET'!$Q$9:$W$38,COLUMN(W7)-COLUMN($E$5),4),$E14),0)</f>
        <v>0</v>
      </c>
      <c r="X14" s="295">
        <f>IF(X$6=$C14,IF(INDEX('Surface DEET'!$Q$9:$W$38,COLUMN(X7)-COLUMN($E$5),4)&gt;0,INDEX('Surface DEET'!$Q$9:$W$38,COLUMN(X7)-COLUMN($E$5),4),$E14),0)</f>
        <v>0</v>
      </c>
      <c r="Y14" s="295">
        <f>IF(Y$6=$C14,IF(INDEX('Surface DEET'!$Q$9:$W$38,COLUMN(Y7)-COLUMN($E$5),4)&gt;0,INDEX('Surface DEET'!$Q$9:$W$38,COLUMN(Y7)-COLUMN($E$5),4),$E14),0)</f>
        <v>0</v>
      </c>
      <c r="Z14" s="295">
        <f>IF(Z$6=$C14,IF(INDEX('Surface DEET'!$Q$9:$W$38,COLUMN(Z7)-COLUMN($E$5),4)&gt;0,INDEX('Surface DEET'!$Q$9:$W$38,COLUMN(Z7)-COLUMN($E$5),4),$E14),0)</f>
        <v>0</v>
      </c>
      <c r="AA14" s="295">
        <f>IF(AA$6=$C14,IF(INDEX('Surface DEET'!$Q$9:$W$38,COLUMN(AA7)-COLUMN($E$5),4)&gt;0,INDEX('Surface DEET'!$Q$9:$W$38,COLUMN(AA7)-COLUMN($E$5),4),$E14),0)</f>
        <v>0</v>
      </c>
      <c r="AB14" s="295">
        <f>IF(AB$6=$C14,IF(INDEX('Surface DEET'!$Q$9:$W$38,COLUMN(AB7)-COLUMN($E$5),4)&gt;0,INDEX('Surface DEET'!$Q$9:$W$38,COLUMN(AB7)-COLUMN($E$5),4),$E14),0)</f>
        <v>0</v>
      </c>
      <c r="AC14" s="295">
        <f>IF(AC$6=$C14,IF(INDEX('Surface DEET'!$Q$9:$W$38,COLUMN(AC7)-COLUMN($E$5),4)&gt;0,INDEX('Surface DEET'!$Q$9:$W$38,COLUMN(AC7)-COLUMN($E$5),4),$E14),0)</f>
        <v>0</v>
      </c>
      <c r="AD14" s="295">
        <f>IF(AD$6=$C14,IF(INDEX('Surface DEET'!$Q$9:$W$38,COLUMN(AD7)-COLUMN($E$5),4)&gt;0,INDEX('Surface DEET'!$Q$9:$W$38,COLUMN(AD7)-COLUMN($E$5),4),$E14),0)</f>
        <v>0</v>
      </c>
      <c r="AE14" s="295">
        <f>IF(AE$6=$C14,IF(INDEX('Surface DEET'!$Q$9:$W$38,COLUMN(AE7)-COLUMN($E$5),4)&gt;0,INDEX('Surface DEET'!$Q$9:$W$38,COLUMN(AE7)-COLUMN($E$5),4),$E14),0)</f>
        <v>0</v>
      </c>
      <c r="AF14" s="295">
        <f>IF(AF$6=$C14,IF(INDEX('Surface DEET'!$Q$9:$W$38,COLUMN(AF7)-COLUMN($E$5),4)&gt;0,INDEX('Surface DEET'!$Q$9:$W$38,COLUMN(AF7)-COLUMN($E$5),4),$E14),0)</f>
        <v>0</v>
      </c>
      <c r="AG14" s="295">
        <f>IF(AG$6=$C14,IF(INDEX('Surface DEET'!$Q$9:$W$38,COLUMN(AG7)-COLUMN($E$5),4)&gt;0,INDEX('Surface DEET'!$Q$9:$W$38,COLUMN(AG7)-COLUMN($E$5),4),$E14),0)</f>
        <v>0</v>
      </c>
      <c r="AH14" s="295">
        <f>IF(AH$6=$C14,IF(INDEX('Surface DEET'!$Q$9:$W$38,COLUMN(AH7)-COLUMN($E$5),4)&gt;0,INDEX('Surface DEET'!$Q$9:$W$38,COLUMN(AH7)-COLUMN($E$5),4),$E14),0)</f>
        <v>0</v>
      </c>
      <c r="AI14" s="295">
        <f>IF(AI$6=$C14,IF(INDEX('Surface DEET'!$Q$9:$W$38,COLUMN(AI7)-COLUMN($E$5),4)&gt;0,INDEX('Surface DEET'!$Q$9:$W$38,COLUMN(AI7)-COLUMN($E$5),4),$E14),0)</f>
        <v>0</v>
      </c>
    </row>
    <row r="15" spans="1:35">
      <c r="A15" s="522"/>
      <c r="B15" s="295" t="s">
        <v>552</v>
      </c>
      <c r="C15" s="295" t="s">
        <v>591</v>
      </c>
      <c r="D15" s="343" t="s">
        <v>594</v>
      </c>
      <c r="E15" s="295">
        <v>70</v>
      </c>
      <c r="F15" s="295">
        <f>IF(F$6=$C15,IF(INDEX('Surface DEET'!$Q$9:$W$38,COLUMN(F8)-COLUMN($E$5),7)&gt;0,INDEX('Surface DEET'!$Q$9:$W$38,COLUMN(F8)-COLUMN($E$5),7),$E15),0)</f>
        <v>0</v>
      </c>
      <c r="G15" s="295">
        <f>IF(G$6=$C15,IF(INDEX('Surface DEET'!$Q$9:$W$38,COLUMN(G8)-COLUMN($E$5),7)&gt;0,INDEX('Surface DEET'!$Q$9:$W$38,COLUMN(G8)-COLUMN($E$5),7),$E15),0)</f>
        <v>0</v>
      </c>
      <c r="H15" s="295">
        <f>IF(H$6=$C15,IF(INDEX('Surface DEET'!$Q$9:$W$38,COLUMN(H8)-COLUMN($E$5),7)&gt;0,INDEX('Surface DEET'!$Q$9:$W$38,COLUMN(H8)-COLUMN($E$5),7),$E15),0)</f>
        <v>0</v>
      </c>
      <c r="I15" s="295">
        <f>IF(I$6=$C15,IF(INDEX('Surface DEET'!$Q$9:$W$38,COLUMN(I8)-COLUMN($E$5),7)&gt;0,INDEX('Surface DEET'!$Q$9:$W$38,COLUMN(I8)-COLUMN($E$5),7),$E15),0)</f>
        <v>0</v>
      </c>
      <c r="J15" s="295">
        <f>IF(J$6=$C15,IF(INDEX('Surface DEET'!$Q$9:$W$38,COLUMN(J8)-COLUMN($E$5),7)&gt;0,INDEX('Surface DEET'!$Q$9:$W$38,COLUMN(J8)-COLUMN($E$5),7),$E15),0)</f>
        <v>0</v>
      </c>
      <c r="K15" s="295">
        <f>IF(K$6=$C15,IF(INDEX('Surface DEET'!$Q$9:$W$38,COLUMN(K8)-COLUMN($E$5),7)&gt;0,INDEX('Surface DEET'!$Q$9:$W$38,COLUMN(K8)-COLUMN($E$5),7),$E15),0)</f>
        <v>0</v>
      </c>
      <c r="L15" s="295">
        <f>IF(L$6=$C15,IF(INDEX('Surface DEET'!$Q$9:$W$38,COLUMN(L8)-COLUMN($E$5),7)&gt;0,INDEX('Surface DEET'!$Q$9:$W$38,COLUMN(L8)-COLUMN($E$5),7),$E15),0)</f>
        <v>0</v>
      </c>
      <c r="M15" s="295">
        <f>IF(M$6=$C15,IF(INDEX('Surface DEET'!$Q$9:$W$38,COLUMN(M8)-COLUMN($E$5),7)&gt;0,INDEX('Surface DEET'!$Q$9:$W$38,COLUMN(M8)-COLUMN($E$5),7),$E15),0)</f>
        <v>0</v>
      </c>
      <c r="N15" s="295">
        <f>IF(N$6=$C15,IF(INDEX('Surface DEET'!$Q$9:$W$38,COLUMN(N8)-COLUMN($E$5),7)&gt;0,INDEX('Surface DEET'!$Q$9:$W$38,COLUMN(N8)-COLUMN($E$5),7),$E15),0)</f>
        <v>0</v>
      </c>
      <c r="O15" s="295">
        <f>IF(O$6=$C15,IF(INDEX('Surface DEET'!$Q$9:$W$38,COLUMN(O8)-COLUMN($E$5),7)&gt;0,INDEX('Surface DEET'!$Q$9:$W$38,COLUMN(O8)-COLUMN($E$5),7),$E15),0)</f>
        <v>0</v>
      </c>
      <c r="P15" s="295">
        <f>IF(P$6=$C15,IF(INDEX('Surface DEET'!$Q$9:$W$38,COLUMN(P8)-COLUMN($E$5),7)&gt;0,INDEX('Surface DEET'!$Q$9:$W$38,COLUMN(P8)-COLUMN($E$5),7),$E15),0)</f>
        <v>0</v>
      </c>
      <c r="Q15" s="295">
        <f>IF(Q$6=$C15,IF(INDEX('Surface DEET'!$Q$9:$W$38,COLUMN(Q8)-COLUMN($E$5),7)&gt;0,INDEX('Surface DEET'!$Q$9:$W$38,COLUMN(Q8)-COLUMN($E$5),7),$E15),0)</f>
        <v>0</v>
      </c>
      <c r="R15" s="295">
        <f>IF(R$6=$C15,IF(INDEX('Surface DEET'!$Q$9:$W$38,COLUMN(R8)-COLUMN($E$5),7)&gt;0,INDEX('Surface DEET'!$Q$9:$W$38,COLUMN(R8)-COLUMN($E$5),7),$E15),0)</f>
        <v>0</v>
      </c>
      <c r="S15" s="295">
        <f>IF(S$6=$C15,IF(INDEX('Surface DEET'!$Q$9:$W$38,COLUMN(S8)-COLUMN($E$5),7)&gt;0,INDEX('Surface DEET'!$Q$9:$W$38,COLUMN(S8)-COLUMN($E$5),7),$E15),0)</f>
        <v>0</v>
      </c>
      <c r="T15" s="295">
        <f>IF(T$6=$C15,IF(INDEX('Surface DEET'!$Q$9:$W$38,COLUMN(T8)-COLUMN($E$5),7)&gt;0,INDEX('Surface DEET'!$Q$9:$W$38,COLUMN(T8)-COLUMN($E$5),7),$E15),0)</f>
        <v>0</v>
      </c>
      <c r="U15" s="295">
        <f>IF(U$6=$C15,IF(INDEX('Surface DEET'!$Q$9:$W$38,COLUMN(U8)-COLUMN($E$5),7)&gt;0,INDEX('Surface DEET'!$Q$9:$W$38,COLUMN(U8)-COLUMN($E$5),7),$E15),0)</f>
        <v>0</v>
      </c>
      <c r="V15" s="295">
        <f>IF(V$6=$C15,IF(INDEX('Surface DEET'!$Q$9:$W$38,COLUMN(V8)-COLUMN($E$5),7)&gt;0,INDEX('Surface DEET'!$Q$9:$W$38,COLUMN(V8)-COLUMN($E$5),7),$E15),0)</f>
        <v>0</v>
      </c>
      <c r="W15" s="295">
        <f>IF(W$6=$C15,IF(INDEX('Surface DEET'!$Q$9:$W$38,COLUMN(W8)-COLUMN($E$5),7)&gt;0,INDEX('Surface DEET'!$Q$9:$W$38,COLUMN(W8)-COLUMN($E$5),7),$E15),0)</f>
        <v>0</v>
      </c>
      <c r="X15" s="295">
        <f>IF(X$6=$C15,IF(INDEX('Surface DEET'!$Q$9:$W$38,COLUMN(X8)-COLUMN($E$5),7)&gt;0,INDEX('Surface DEET'!$Q$9:$W$38,COLUMN(X8)-COLUMN($E$5),7),$E15),0)</f>
        <v>0</v>
      </c>
      <c r="Y15" s="295">
        <f>IF(Y$6=$C15,IF(INDEX('Surface DEET'!$Q$9:$W$38,COLUMN(Y8)-COLUMN($E$5),7)&gt;0,INDEX('Surface DEET'!$Q$9:$W$38,COLUMN(Y8)-COLUMN($E$5),7),$E15),0)</f>
        <v>0</v>
      </c>
      <c r="Z15" s="295">
        <f>IF(Z$6=$C15,IF(INDEX('Surface DEET'!$Q$9:$W$38,COLUMN(Z8)-COLUMN($E$5),7)&gt;0,INDEX('Surface DEET'!$Q$9:$W$38,COLUMN(Z8)-COLUMN($E$5),7),$E15),0)</f>
        <v>0</v>
      </c>
      <c r="AA15" s="295">
        <f>IF(AA$6=$C15,IF(INDEX('Surface DEET'!$Q$9:$W$38,COLUMN(AA8)-COLUMN($E$5),7)&gt;0,INDEX('Surface DEET'!$Q$9:$W$38,COLUMN(AA8)-COLUMN($E$5),7),$E15),0)</f>
        <v>0</v>
      </c>
      <c r="AB15" s="295">
        <f>IF(AB$6=$C15,IF(INDEX('Surface DEET'!$Q$9:$W$38,COLUMN(AB8)-COLUMN($E$5),7)&gt;0,INDEX('Surface DEET'!$Q$9:$W$38,COLUMN(AB8)-COLUMN($E$5),7),$E15),0)</f>
        <v>0</v>
      </c>
      <c r="AC15" s="295">
        <f>IF(AC$6=$C15,IF(INDEX('Surface DEET'!$Q$9:$W$38,COLUMN(AC8)-COLUMN($E$5),7)&gt;0,INDEX('Surface DEET'!$Q$9:$W$38,COLUMN(AC8)-COLUMN($E$5),7),$E15),0)</f>
        <v>0</v>
      </c>
      <c r="AD15" s="295">
        <f>IF(AD$6=$C15,IF(INDEX('Surface DEET'!$Q$9:$W$38,COLUMN(AD8)-COLUMN($E$5),7)&gt;0,INDEX('Surface DEET'!$Q$9:$W$38,COLUMN(AD8)-COLUMN($E$5),7),$E15),0)</f>
        <v>0</v>
      </c>
      <c r="AE15" s="295">
        <f>IF(AE$6=$C15,IF(INDEX('Surface DEET'!$Q$9:$W$38,COLUMN(AE8)-COLUMN($E$5),7)&gt;0,INDEX('Surface DEET'!$Q$9:$W$38,COLUMN(AE8)-COLUMN($E$5),7),$E15),0)</f>
        <v>0</v>
      </c>
      <c r="AF15" s="295">
        <f>IF(AF$6=$C15,IF(INDEX('Surface DEET'!$Q$9:$W$38,COLUMN(AF8)-COLUMN($E$5),7)&gt;0,INDEX('Surface DEET'!$Q$9:$W$38,COLUMN(AF8)-COLUMN($E$5),7),$E15),0)</f>
        <v>0</v>
      </c>
      <c r="AG15" s="295">
        <f>IF(AG$6=$C15,IF(INDEX('Surface DEET'!$Q$9:$W$38,COLUMN(AG8)-COLUMN($E$5),7)&gt;0,INDEX('Surface DEET'!$Q$9:$W$38,COLUMN(AG8)-COLUMN($E$5),7),$E15),0)</f>
        <v>0</v>
      </c>
      <c r="AH15" s="295">
        <f>IF(AH$6=$C15,IF(INDEX('Surface DEET'!$Q$9:$W$38,COLUMN(AH8)-COLUMN($E$5),7)&gt;0,INDEX('Surface DEET'!$Q$9:$W$38,COLUMN(AH8)-COLUMN($E$5),7),$E15),0)</f>
        <v>0</v>
      </c>
      <c r="AI15" s="295">
        <f>IF(AI$6=$C15,IF(INDEX('Surface DEET'!$Q$9:$W$38,COLUMN(AI8)-COLUMN($E$5),7)&gt;0,INDEX('Surface DEET'!$Q$9:$W$38,COLUMN(AI8)-COLUMN($E$5),7),$E15),0)</f>
        <v>0</v>
      </c>
    </row>
    <row r="16" spans="1:35">
      <c r="A16" s="522"/>
      <c r="B16" s="295" t="s">
        <v>542</v>
      </c>
      <c r="C16" s="295" t="s">
        <v>591</v>
      </c>
      <c r="D16" s="295" t="s">
        <v>542</v>
      </c>
      <c r="F16" s="295">
        <f>$E$10*(F13/$E$13)*($E$12*(F14/$E$14)*(F15/$E$15)+(1-$E$12))+0.28*(F13-$E$13)/$E$13</f>
        <v>-0.28000000000000003</v>
      </c>
      <c r="G16" s="295">
        <f t="shared" ref="G16:AI16" si="0">$E$10*(G13/$E$13)*($E$12*(G14/$E$14)*(G15/$E$15)+(1-$E$12))+0.28*(G13-$E$13)/$E$13</f>
        <v>-0.28000000000000003</v>
      </c>
      <c r="H16" s="295">
        <f t="shared" si="0"/>
        <v>-0.28000000000000003</v>
      </c>
      <c r="I16" s="295">
        <f t="shared" si="0"/>
        <v>-0.28000000000000003</v>
      </c>
      <c r="J16" s="295">
        <f t="shared" si="0"/>
        <v>-0.28000000000000003</v>
      </c>
      <c r="K16" s="295">
        <f t="shared" si="0"/>
        <v>-0.28000000000000003</v>
      </c>
      <c r="L16" s="295">
        <f t="shared" si="0"/>
        <v>-0.28000000000000003</v>
      </c>
      <c r="M16" s="295">
        <f t="shared" si="0"/>
        <v>-0.28000000000000003</v>
      </c>
      <c r="N16" s="295">
        <f t="shared" si="0"/>
        <v>-0.28000000000000003</v>
      </c>
      <c r="O16" s="295">
        <f t="shared" si="0"/>
        <v>-0.28000000000000003</v>
      </c>
      <c r="P16" s="295">
        <f t="shared" si="0"/>
        <v>-0.28000000000000003</v>
      </c>
      <c r="Q16" s="295">
        <f t="shared" si="0"/>
        <v>-0.28000000000000003</v>
      </c>
      <c r="R16" s="295">
        <f t="shared" si="0"/>
        <v>-0.28000000000000003</v>
      </c>
      <c r="S16" s="295">
        <f t="shared" si="0"/>
        <v>-0.28000000000000003</v>
      </c>
      <c r="T16" s="295">
        <f t="shared" si="0"/>
        <v>-0.28000000000000003</v>
      </c>
      <c r="U16" s="295">
        <f t="shared" si="0"/>
        <v>-0.28000000000000003</v>
      </c>
      <c r="V16" s="295">
        <f t="shared" si="0"/>
        <v>-0.28000000000000003</v>
      </c>
      <c r="W16" s="295">
        <f t="shared" si="0"/>
        <v>-0.28000000000000003</v>
      </c>
      <c r="X16" s="295">
        <f t="shared" si="0"/>
        <v>-0.28000000000000003</v>
      </c>
      <c r="Y16" s="295">
        <f t="shared" si="0"/>
        <v>-0.28000000000000003</v>
      </c>
      <c r="Z16" s="295">
        <f t="shared" si="0"/>
        <v>-0.28000000000000003</v>
      </c>
      <c r="AA16" s="295">
        <f t="shared" si="0"/>
        <v>-0.28000000000000003</v>
      </c>
      <c r="AB16" s="295">
        <f t="shared" si="0"/>
        <v>-0.28000000000000003</v>
      </c>
      <c r="AC16" s="295">
        <f t="shared" si="0"/>
        <v>-0.28000000000000003</v>
      </c>
      <c r="AD16" s="295">
        <f t="shared" si="0"/>
        <v>-0.28000000000000003</v>
      </c>
      <c r="AE16" s="295">
        <f t="shared" si="0"/>
        <v>-0.28000000000000003</v>
      </c>
      <c r="AF16" s="295">
        <f t="shared" si="0"/>
        <v>-0.28000000000000003</v>
      </c>
      <c r="AG16" s="295">
        <f t="shared" si="0"/>
        <v>-0.28000000000000003</v>
      </c>
      <c r="AH16" s="295">
        <f t="shared" si="0"/>
        <v>-0.28000000000000003</v>
      </c>
      <c r="AI16" s="295">
        <f t="shared" si="0"/>
        <v>-0.28000000000000003</v>
      </c>
    </row>
    <row r="17" spans="1:35">
      <c r="A17" s="522" t="s">
        <v>595</v>
      </c>
      <c r="B17" s="93" t="s">
        <v>301</v>
      </c>
      <c r="C17" s="32" t="s">
        <v>595</v>
      </c>
      <c r="D17" s="93" t="s">
        <v>301</v>
      </c>
      <c r="E17" s="295">
        <f t="array" ref="E17">INDEX(CABS_CVC!$C$3:$O$894,MATCH(1, (CABS_CVC!$A$3:$A$894=Calculs_CABS!C17)*(CABS_CVC!$B$3:$B$894=Calculs_CABS!$D$2),0),MATCH(Calculs_CABS!$D$1,Liste_CABS!$B$3:$B$15,0))</f>
        <v>50</v>
      </c>
    </row>
    <row r="18" spans="1:35">
      <c r="A18" s="522"/>
      <c r="B18" s="295" t="s">
        <v>543</v>
      </c>
      <c r="C18" s="32" t="s">
        <v>595</v>
      </c>
      <c r="D18" s="295" t="s">
        <v>543</v>
      </c>
      <c r="E18" s="295">
        <v>26</v>
      </c>
    </row>
    <row r="19" spans="1:35">
      <c r="A19" s="522"/>
      <c r="B19" s="295" t="s">
        <v>544</v>
      </c>
      <c r="C19" s="32" t="s">
        <v>595</v>
      </c>
      <c r="D19" s="295" t="s">
        <v>544</v>
      </c>
      <c r="E19" s="295">
        <f>E17+E18</f>
        <v>76</v>
      </c>
    </row>
    <row r="20" spans="1:35">
      <c r="A20" s="522"/>
      <c r="B20" s="295" t="s">
        <v>545</v>
      </c>
      <c r="C20" s="32" t="s">
        <v>595</v>
      </c>
      <c r="D20" s="295" t="s">
        <v>545</v>
      </c>
      <c r="E20" s="295">
        <v>0.67</v>
      </c>
    </row>
    <row r="21" spans="1:35">
      <c r="A21" s="522"/>
      <c r="B21" s="295" t="s">
        <v>546</v>
      </c>
      <c r="C21" s="32" t="s">
        <v>595</v>
      </c>
      <c r="D21" s="343" t="s">
        <v>592</v>
      </c>
      <c r="E21" s="295">
        <v>3120</v>
      </c>
      <c r="F21" s="295">
        <f>IF(F$6=$C21,IF(INDEX('Surface DEET'!$Q$9:$W$38,COLUMN(F14)-COLUMN($E$5),1)&gt;0,INDEX('Surface DEET'!$Q$9:$W$38,COLUMN(F14)-COLUMN($E$5),1),$E21),0)</f>
        <v>0</v>
      </c>
      <c r="G21" s="295">
        <f>IF(G$6=$C21,IF(INDEX('Surface DEET'!$Q$9:$W$38,COLUMN(G14)-COLUMN($E$5),1)&gt;0,INDEX('Surface DEET'!$Q$9:$W$38,COLUMN(G14)-COLUMN($E$5),1),$E21),0)</f>
        <v>0</v>
      </c>
      <c r="H21" s="295">
        <f>IF(H$6=$C21,IF(INDEX('Surface DEET'!$Q$9:$W$38,COLUMN(H14)-COLUMN($E$5),1)&gt;0,INDEX('Surface DEET'!$Q$9:$W$38,COLUMN(H14)-COLUMN($E$5),1),$E21),0)</f>
        <v>0</v>
      </c>
      <c r="I21" s="295">
        <f>IF(I$6=$C21,IF(INDEX('Surface DEET'!$Q$9:$W$38,COLUMN(I14)-COLUMN($E$5),1)&gt;0,INDEX('Surface DEET'!$Q$9:$W$38,COLUMN(I14)-COLUMN($E$5),1),$E21),0)</f>
        <v>0</v>
      </c>
      <c r="J21" s="295">
        <f>IF(J$6=$C21,IF(INDEX('Surface DEET'!$Q$9:$W$38,COLUMN(J14)-COLUMN($E$5),1)&gt;0,INDEX('Surface DEET'!$Q$9:$W$38,COLUMN(J14)-COLUMN($E$5),1),$E21),0)</f>
        <v>0</v>
      </c>
      <c r="K21" s="295">
        <f>IF(K$6=$C21,IF(INDEX('Surface DEET'!$Q$9:$W$38,COLUMN(K14)-COLUMN($E$5),1)&gt;0,INDEX('Surface DEET'!$Q$9:$W$38,COLUMN(K14)-COLUMN($E$5),1),$E21),0)</f>
        <v>0</v>
      </c>
      <c r="L21" s="295">
        <f>IF(L$6=$C21,IF(INDEX('Surface DEET'!$Q$9:$W$38,COLUMN(L14)-COLUMN($E$5),1)&gt;0,INDEX('Surface DEET'!$Q$9:$W$38,COLUMN(L14)-COLUMN($E$5),1),$E21),0)</f>
        <v>0</v>
      </c>
      <c r="M21" s="295">
        <f>IF(M$6=$C21,IF(INDEX('Surface DEET'!$Q$9:$W$38,COLUMN(M14)-COLUMN($E$5),1)&gt;0,INDEX('Surface DEET'!$Q$9:$W$38,COLUMN(M14)-COLUMN($E$5),1),$E21),0)</f>
        <v>0</v>
      </c>
      <c r="N21" s="295">
        <f>IF(N$6=$C21,IF(INDEX('Surface DEET'!$Q$9:$W$38,COLUMN(N14)-COLUMN($E$5),1)&gt;0,INDEX('Surface DEET'!$Q$9:$W$38,COLUMN(N14)-COLUMN($E$5),1),$E21),0)</f>
        <v>0</v>
      </c>
      <c r="O21" s="295">
        <f>IF(O$6=$C21,IF(INDEX('Surface DEET'!$Q$9:$W$38,COLUMN(O14)-COLUMN($E$5),1)&gt;0,INDEX('Surface DEET'!$Q$9:$W$38,COLUMN(O14)-COLUMN($E$5),1),$E21),0)</f>
        <v>0</v>
      </c>
      <c r="P21" s="295">
        <f>IF(P$6=$C21,IF(INDEX('Surface DEET'!$Q$9:$W$38,COLUMN(P14)-COLUMN($E$5),1)&gt;0,INDEX('Surface DEET'!$Q$9:$W$38,COLUMN(P14)-COLUMN($E$5),1),$E21),0)</f>
        <v>0</v>
      </c>
      <c r="Q21" s="295">
        <f>IF(Q$6=$C21,IF(INDEX('Surface DEET'!$Q$9:$W$38,COLUMN(Q14)-COLUMN($E$5),1)&gt;0,INDEX('Surface DEET'!$Q$9:$W$38,COLUMN(Q14)-COLUMN($E$5),1),$E21),0)</f>
        <v>0</v>
      </c>
      <c r="R21" s="295">
        <f>IF(R$6=$C21,IF(INDEX('Surface DEET'!$Q$9:$W$38,COLUMN(R14)-COLUMN($E$5),1)&gt;0,INDEX('Surface DEET'!$Q$9:$W$38,COLUMN(R14)-COLUMN($E$5),1),$E21),0)</f>
        <v>0</v>
      </c>
      <c r="S21" s="295">
        <f>IF(S$6=$C21,IF(INDEX('Surface DEET'!$Q$9:$W$38,COLUMN(S14)-COLUMN($E$5),1)&gt;0,INDEX('Surface DEET'!$Q$9:$W$38,COLUMN(S14)-COLUMN($E$5),1),$E21),0)</f>
        <v>0</v>
      </c>
      <c r="T21" s="295">
        <f>IF(T$6=$C21,IF(INDEX('Surface DEET'!$Q$9:$W$38,COLUMN(T14)-COLUMN($E$5),1)&gt;0,INDEX('Surface DEET'!$Q$9:$W$38,COLUMN(T14)-COLUMN($E$5),1),$E21),0)</f>
        <v>0</v>
      </c>
      <c r="U21" s="295">
        <f>IF(U$6=$C21,IF(INDEX('Surface DEET'!$Q$9:$W$38,COLUMN(U14)-COLUMN($E$5),1)&gt;0,INDEX('Surface DEET'!$Q$9:$W$38,COLUMN(U14)-COLUMN($E$5),1),$E21),0)</f>
        <v>0</v>
      </c>
      <c r="V21" s="295">
        <f>IF(V$6=$C21,IF(INDEX('Surface DEET'!$Q$9:$W$38,COLUMN(V14)-COLUMN($E$5),1)&gt;0,INDEX('Surface DEET'!$Q$9:$W$38,COLUMN(V14)-COLUMN($E$5),1),$E21),0)</f>
        <v>0</v>
      </c>
      <c r="W21" s="295">
        <f>IF(W$6=$C21,IF(INDEX('Surface DEET'!$Q$9:$W$38,COLUMN(W14)-COLUMN($E$5),1)&gt;0,INDEX('Surface DEET'!$Q$9:$W$38,COLUMN(W14)-COLUMN($E$5),1),$E21),0)</f>
        <v>0</v>
      </c>
      <c r="X21" s="295">
        <f>IF(X$6=$C21,IF(INDEX('Surface DEET'!$Q$9:$W$38,COLUMN(X14)-COLUMN($E$5),1)&gt;0,INDEX('Surface DEET'!$Q$9:$W$38,COLUMN(X14)-COLUMN($E$5),1),$E21),0)</f>
        <v>0</v>
      </c>
      <c r="Y21" s="295">
        <f>IF(Y$6=$C21,IF(INDEX('Surface DEET'!$Q$9:$W$38,COLUMN(Y14)-COLUMN($E$5),1)&gt;0,INDEX('Surface DEET'!$Q$9:$W$38,COLUMN(Y14)-COLUMN($E$5),1),$E21),0)</f>
        <v>0</v>
      </c>
      <c r="Z21" s="295">
        <f>IF(Z$6=$C21,IF(INDEX('Surface DEET'!$Q$9:$W$38,COLUMN(Z14)-COLUMN($E$5),1)&gt;0,INDEX('Surface DEET'!$Q$9:$W$38,COLUMN(Z14)-COLUMN($E$5),1),$E21),0)</f>
        <v>0</v>
      </c>
      <c r="AA21" s="295">
        <f>IF(AA$6=$C21,IF(INDEX('Surface DEET'!$Q$9:$W$38,COLUMN(AA14)-COLUMN($E$5),1)&gt;0,INDEX('Surface DEET'!$Q$9:$W$38,COLUMN(AA14)-COLUMN($E$5),1),$E21),0)</f>
        <v>0</v>
      </c>
      <c r="AB21" s="295">
        <f>IF(AB$6=$C21,IF(INDEX('Surface DEET'!$Q$9:$W$38,COLUMN(AB14)-COLUMN($E$5),1)&gt;0,INDEX('Surface DEET'!$Q$9:$W$38,COLUMN(AB14)-COLUMN($E$5),1),$E21),0)</f>
        <v>0</v>
      </c>
      <c r="AC21" s="295">
        <f>IF(AC$6=$C21,IF(INDEX('Surface DEET'!$Q$9:$W$38,COLUMN(AC14)-COLUMN($E$5),1)&gt;0,INDEX('Surface DEET'!$Q$9:$W$38,COLUMN(AC14)-COLUMN($E$5),1),$E21),0)</f>
        <v>0</v>
      </c>
      <c r="AD21" s="295">
        <f>IF(AD$6=$C21,IF(INDEX('Surface DEET'!$Q$9:$W$38,COLUMN(AD14)-COLUMN($E$5),1)&gt;0,INDEX('Surface DEET'!$Q$9:$W$38,COLUMN(AD14)-COLUMN($E$5),1),$E21),0)</f>
        <v>0</v>
      </c>
      <c r="AE21" s="295">
        <f>IF(AE$6=$C21,IF(INDEX('Surface DEET'!$Q$9:$W$38,COLUMN(AE14)-COLUMN($E$5),1)&gt;0,INDEX('Surface DEET'!$Q$9:$W$38,COLUMN(AE14)-COLUMN($E$5),1),$E21),0)</f>
        <v>0</v>
      </c>
      <c r="AF21" s="295">
        <f>IF(AF$6=$C21,IF(INDEX('Surface DEET'!$Q$9:$W$38,COLUMN(AF14)-COLUMN($E$5),1)&gt;0,INDEX('Surface DEET'!$Q$9:$W$38,COLUMN(AF14)-COLUMN($E$5),1),$E21),0)</f>
        <v>0</v>
      </c>
      <c r="AG21" s="295">
        <f>IF(AG$6=$C21,IF(INDEX('Surface DEET'!$Q$9:$W$38,COLUMN(AG14)-COLUMN($E$5),1)&gt;0,INDEX('Surface DEET'!$Q$9:$W$38,COLUMN(AG14)-COLUMN($E$5),1),$E21),0)</f>
        <v>0</v>
      </c>
      <c r="AH21" s="295">
        <f>IF(AH$6=$C21,IF(INDEX('Surface DEET'!$Q$9:$W$38,COLUMN(AH14)-COLUMN($E$5),1)&gt;0,INDEX('Surface DEET'!$Q$9:$W$38,COLUMN(AH14)-COLUMN($E$5),1),$E21),0)</f>
        <v>0</v>
      </c>
      <c r="AI21" s="295">
        <f>IF(AI$6=$C21,IF(INDEX('Surface DEET'!$Q$9:$W$38,COLUMN(AI14)-COLUMN($E$5),1)&gt;0,INDEX('Surface DEET'!$Q$9:$W$38,COLUMN(AI14)-COLUMN($E$5),1),$E21),0)</f>
        <v>0</v>
      </c>
    </row>
    <row r="22" spans="1:35">
      <c r="A22" s="522"/>
      <c r="B22" s="295" t="s">
        <v>549</v>
      </c>
      <c r="C22" s="32" t="s">
        <v>595</v>
      </c>
      <c r="D22" s="343" t="s">
        <v>596</v>
      </c>
      <c r="E22" s="295">
        <v>31</v>
      </c>
      <c r="F22" s="295">
        <f>IF(F$6=$C22,IF(INDEX('Surface DEET'!$Q$9:$W$38,COLUMN(F15)-COLUMN($E$5),4)&gt;0,INDEX('Surface DEET'!$Q$9:$W$38,COLUMN(F15)-COLUMN($E$5),4),$E22),0)</f>
        <v>0</v>
      </c>
      <c r="G22" s="295">
        <f>IF(G$6=$C22,IF(INDEX('Surface DEET'!$Q$9:$W$38,COLUMN(G15)-COLUMN($E$5),4)&gt;0,INDEX('Surface DEET'!$Q$9:$W$38,COLUMN(G15)-COLUMN($E$5),4),$E22),0)</f>
        <v>0</v>
      </c>
      <c r="H22" s="295">
        <f>IF(H$6=$C22,IF(INDEX('Surface DEET'!$Q$9:$W$38,COLUMN(H15)-COLUMN($E$5),4)&gt;0,INDEX('Surface DEET'!$Q$9:$W$38,COLUMN(H15)-COLUMN($E$5),4),$E22),0)</f>
        <v>0</v>
      </c>
      <c r="I22" s="295">
        <f>IF(I$6=$C22,IF(INDEX('Surface DEET'!$Q$9:$W$38,COLUMN(I15)-COLUMN($E$5),4)&gt;0,INDEX('Surface DEET'!$Q$9:$W$38,COLUMN(I15)-COLUMN($E$5),4),$E22),0)</f>
        <v>0</v>
      </c>
      <c r="J22" s="295">
        <f>IF(J$6=$C22,IF(INDEX('Surface DEET'!$Q$9:$W$38,COLUMN(J15)-COLUMN($E$5),4)&gt;0,INDEX('Surface DEET'!$Q$9:$W$38,COLUMN(J15)-COLUMN($E$5),4),$E22),0)</f>
        <v>0</v>
      </c>
      <c r="K22" s="295">
        <f>IF(K$6=$C22,IF(INDEX('Surface DEET'!$Q$9:$W$38,COLUMN(K15)-COLUMN($E$5),4)&gt;0,INDEX('Surface DEET'!$Q$9:$W$38,COLUMN(K15)-COLUMN($E$5),4),$E22),0)</f>
        <v>0</v>
      </c>
      <c r="L22" s="295">
        <f>IF(L$6=$C22,IF(INDEX('Surface DEET'!$Q$9:$W$38,COLUMN(L15)-COLUMN($E$5),4)&gt;0,INDEX('Surface DEET'!$Q$9:$W$38,COLUMN(L15)-COLUMN($E$5),4),$E22),0)</f>
        <v>0</v>
      </c>
      <c r="M22" s="295">
        <f>IF(M$6=$C22,IF(INDEX('Surface DEET'!$Q$9:$W$38,COLUMN(M15)-COLUMN($E$5),4)&gt;0,INDEX('Surface DEET'!$Q$9:$W$38,COLUMN(M15)-COLUMN($E$5),4),$E22),0)</f>
        <v>0</v>
      </c>
      <c r="N22" s="295">
        <f>IF(N$6=$C22,IF(INDEX('Surface DEET'!$Q$9:$W$38,COLUMN(N15)-COLUMN($E$5),4)&gt;0,INDEX('Surface DEET'!$Q$9:$W$38,COLUMN(N15)-COLUMN($E$5),4),$E22),0)</f>
        <v>0</v>
      </c>
      <c r="O22" s="295">
        <f>IF(O$6=$C22,IF(INDEX('Surface DEET'!$Q$9:$W$38,COLUMN(O15)-COLUMN($E$5),4)&gt;0,INDEX('Surface DEET'!$Q$9:$W$38,COLUMN(O15)-COLUMN($E$5),4),$E22),0)</f>
        <v>0</v>
      </c>
      <c r="P22" s="295">
        <f>IF(P$6=$C22,IF(INDEX('Surface DEET'!$Q$9:$W$38,COLUMN(P15)-COLUMN($E$5),4)&gt;0,INDEX('Surface DEET'!$Q$9:$W$38,COLUMN(P15)-COLUMN($E$5),4),$E22),0)</f>
        <v>0</v>
      </c>
      <c r="Q22" s="295">
        <f>IF(Q$6=$C22,IF(INDEX('Surface DEET'!$Q$9:$W$38,COLUMN(Q15)-COLUMN($E$5),4)&gt;0,INDEX('Surface DEET'!$Q$9:$W$38,COLUMN(Q15)-COLUMN($E$5),4),$E22),0)</f>
        <v>0</v>
      </c>
      <c r="R22" s="295">
        <f>IF(R$6=$C22,IF(INDEX('Surface DEET'!$Q$9:$W$38,COLUMN(R15)-COLUMN($E$5),4)&gt;0,INDEX('Surface DEET'!$Q$9:$W$38,COLUMN(R15)-COLUMN($E$5),4),$E22),0)</f>
        <v>0</v>
      </c>
      <c r="S22" s="295">
        <f>IF(S$6=$C22,IF(INDEX('Surface DEET'!$Q$9:$W$38,COLUMN(S15)-COLUMN($E$5),4)&gt;0,INDEX('Surface DEET'!$Q$9:$W$38,COLUMN(S15)-COLUMN($E$5),4),$E22),0)</f>
        <v>0</v>
      </c>
      <c r="T22" s="295">
        <f>IF(T$6=$C22,IF(INDEX('Surface DEET'!$Q$9:$W$38,COLUMN(T15)-COLUMN($E$5),4)&gt;0,INDEX('Surface DEET'!$Q$9:$W$38,COLUMN(T15)-COLUMN($E$5),4),$E22),0)</f>
        <v>0</v>
      </c>
      <c r="U22" s="295">
        <f>IF(U$6=$C22,IF(INDEX('Surface DEET'!$Q$9:$W$38,COLUMN(U15)-COLUMN($E$5),4)&gt;0,INDEX('Surface DEET'!$Q$9:$W$38,COLUMN(U15)-COLUMN($E$5),4),$E22),0)</f>
        <v>0</v>
      </c>
      <c r="V22" s="295">
        <f>IF(V$6=$C22,IF(INDEX('Surface DEET'!$Q$9:$W$38,COLUMN(V15)-COLUMN($E$5),4)&gt;0,INDEX('Surface DEET'!$Q$9:$W$38,COLUMN(V15)-COLUMN($E$5),4),$E22),0)</f>
        <v>0</v>
      </c>
      <c r="W22" s="295">
        <f>IF(W$6=$C22,IF(INDEX('Surface DEET'!$Q$9:$W$38,COLUMN(W15)-COLUMN($E$5),4)&gt;0,INDEX('Surface DEET'!$Q$9:$W$38,COLUMN(W15)-COLUMN($E$5),4),$E22),0)</f>
        <v>0</v>
      </c>
      <c r="X22" s="295">
        <f>IF(X$6=$C22,IF(INDEX('Surface DEET'!$Q$9:$W$38,COLUMN(X15)-COLUMN($E$5),4)&gt;0,INDEX('Surface DEET'!$Q$9:$W$38,COLUMN(X15)-COLUMN($E$5),4),$E22),0)</f>
        <v>0</v>
      </c>
      <c r="Y22" s="295">
        <f>IF(Y$6=$C22,IF(INDEX('Surface DEET'!$Q$9:$W$38,COLUMN(Y15)-COLUMN($E$5),4)&gt;0,INDEX('Surface DEET'!$Q$9:$W$38,COLUMN(Y15)-COLUMN($E$5),4),$E22),0)</f>
        <v>0</v>
      </c>
      <c r="Z22" s="295">
        <f>IF(Z$6=$C22,IF(INDEX('Surface DEET'!$Q$9:$W$38,COLUMN(Z15)-COLUMN($E$5),4)&gt;0,INDEX('Surface DEET'!$Q$9:$W$38,COLUMN(Z15)-COLUMN($E$5),4),$E22),0)</f>
        <v>0</v>
      </c>
      <c r="AA22" s="295">
        <f>IF(AA$6=$C22,IF(INDEX('Surface DEET'!$Q$9:$W$38,COLUMN(AA15)-COLUMN($E$5),4)&gt;0,INDEX('Surface DEET'!$Q$9:$W$38,COLUMN(AA15)-COLUMN($E$5),4),$E22),0)</f>
        <v>0</v>
      </c>
      <c r="AB22" s="295">
        <f>IF(AB$6=$C22,IF(INDEX('Surface DEET'!$Q$9:$W$38,COLUMN(AB15)-COLUMN($E$5),4)&gt;0,INDEX('Surface DEET'!$Q$9:$W$38,COLUMN(AB15)-COLUMN($E$5),4),$E22),0)</f>
        <v>0</v>
      </c>
      <c r="AC22" s="295">
        <f>IF(AC$6=$C22,IF(INDEX('Surface DEET'!$Q$9:$W$38,COLUMN(AC15)-COLUMN($E$5),4)&gt;0,INDEX('Surface DEET'!$Q$9:$W$38,COLUMN(AC15)-COLUMN($E$5),4),$E22),0)</f>
        <v>0</v>
      </c>
      <c r="AD22" s="295">
        <f>IF(AD$6=$C22,IF(INDEX('Surface DEET'!$Q$9:$W$38,COLUMN(AD15)-COLUMN($E$5),4)&gt;0,INDEX('Surface DEET'!$Q$9:$W$38,COLUMN(AD15)-COLUMN($E$5),4),$E22),0)</f>
        <v>0</v>
      </c>
      <c r="AE22" s="295">
        <f>IF(AE$6=$C22,IF(INDEX('Surface DEET'!$Q$9:$W$38,COLUMN(AE15)-COLUMN($E$5),4)&gt;0,INDEX('Surface DEET'!$Q$9:$W$38,COLUMN(AE15)-COLUMN($E$5),4),$E22),0)</f>
        <v>0</v>
      </c>
      <c r="AF22" s="295">
        <f>IF(AF$6=$C22,IF(INDEX('Surface DEET'!$Q$9:$W$38,COLUMN(AF15)-COLUMN($E$5),4)&gt;0,INDEX('Surface DEET'!$Q$9:$W$38,COLUMN(AF15)-COLUMN($E$5),4),$E22),0)</f>
        <v>0</v>
      </c>
      <c r="AG22" s="295">
        <f>IF(AG$6=$C22,IF(INDEX('Surface DEET'!$Q$9:$W$38,COLUMN(AG15)-COLUMN($E$5),4)&gt;0,INDEX('Surface DEET'!$Q$9:$W$38,COLUMN(AG15)-COLUMN($E$5),4),$E22),0)</f>
        <v>0</v>
      </c>
      <c r="AH22" s="295">
        <f>IF(AH$6=$C22,IF(INDEX('Surface DEET'!$Q$9:$W$38,COLUMN(AH15)-COLUMN($E$5),4)&gt;0,INDEX('Surface DEET'!$Q$9:$W$38,COLUMN(AH15)-COLUMN($E$5),4),$E22),0)</f>
        <v>0</v>
      </c>
      <c r="AI22" s="295">
        <f>IF(AI$6=$C22,IF(INDEX('Surface DEET'!$Q$9:$W$38,COLUMN(AI15)-COLUMN($E$5),4)&gt;0,INDEX('Surface DEET'!$Q$9:$W$38,COLUMN(AI15)-COLUMN($E$5),4),$E22),0)</f>
        <v>0</v>
      </c>
    </row>
    <row r="23" spans="1:35">
      <c r="A23" s="522"/>
      <c r="B23" s="295" t="s">
        <v>542</v>
      </c>
      <c r="C23" s="32" t="s">
        <v>595</v>
      </c>
      <c r="D23" s="295" t="s">
        <v>542</v>
      </c>
      <c r="F23" s="295">
        <f>IFERROR($E$18*(F21/$E$21)*($E$20*($E$22/F22)+(1-$E$20))+0.28*$E$17*(F21-$E$21)/$E$21,0)</f>
        <v>0</v>
      </c>
      <c r="G23" s="295">
        <f>IFERROR($E$18*(G21/$E$21)*($E$20*($E$22/G22)+(1-$E$20))+0.28*$E$17*(G21-$E$21)/$E$21,0)</f>
        <v>0</v>
      </c>
      <c r="H23" s="295">
        <f t="shared" ref="H23:AI23" si="1">IFERROR($E$18*(H21/$E$21)*($E$20*($E$22/H22)+(1-$E$20))+0.28*$E$17*(H21-$E$21)/$E$21,0)</f>
        <v>0</v>
      </c>
      <c r="I23" s="295">
        <f t="shared" si="1"/>
        <v>0</v>
      </c>
      <c r="J23" s="295">
        <f t="shared" si="1"/>
        <v>0</v>
      </c>
      <c r="K23" s="295">
        <f t="shared" si="1"/>
        <v>0</v>
      </c>
      <c r="L23" s="295">
        <f t="shared" si="1"/>
        <v>0</v>
      </c>
      <c r="M23" s="295">
        <f t="shared" si="1"/>
        <v>0</v>
      </c>
      <c r="N23" s="295">
        <f t="shared" si="1"/>
        <v>0</v>
      </c>
      <c r="O23" s="295">
        <f t="shared" si="1"/>
        <v>0</v>
      </c>
      <c r="P23" s="295">
        <f t="shared" si="1"/>
        <v>0</v>
      </c>
      <c r="Q23" s="295">
        <f t="shared" si="1"/>
        <v>0</v>
      </c>
      <c r="R23" s="295">
        <f t="shared" si="1"/>
        <v>0</v>
      </c>
      <c r="S23" s="295">
        <f t="shared" si="1"/>
        <v>0</v>
      </c>
      <c r="T23" s="295">
        <f t="shared" si="1"/>
        <v>0</v>
      </c>
      <c r="U23" s="295">
        <f t="shared" si="1"/>
        <v>0</v>
      </c>
      <c r="V23" s="295">
        <f t="shared" si="1"/>
        <v>0</v>
      </c>
      <c r="W23" s="295">
        <f t="shared" si="1"/>
        <v>0</v>
      </c>
      <c r="X23" s="295">
        <f t="shared" si="1"/>
        <v>0</v>
      </c>
      <c r="Y23" s="295">
        <f t="shared" si="1"/>
        <v>0</v>
      </c>
      <c r="Z23" s="295">
        <f t="shared" si="1"/>
        <v>0</v>
      </c>
      <c r="AA23" s="295">
        <f t="shared" si="1"/>
        <v>0</v>
      </c>
      <c r="AB23" s="295">
        <f t="shared" si="1"/>
        <v>0</v>
      </c>
      <c r="AC23" s="295">
        <f t="shared" si="1"/>
        <v>0</v>
      </c>
      <c r="AD23" s="295">
        <f t="shared" si="1"/>
        <v>0</v>
      </c>
      <c r="AE23" s="295">
        <f t="shared" si="1"/>
        <v>0</v>
      </c>
      <c r="AF23" s="295">
        <f t="shared" si="1"/>
        <v>0</v>
      </c>
      <c r="AG23" s="295">
        <f t="shared" si="1"/>
        <v>0</v>
      </c>
      <c r="AH23" s="295">
        <f t="shared" si="1"/>
        <v>0</v>
      </c>
      <c r="AI23" s="295">
        <f t="shared" si="1"/>
        <v>0</v>
      </c>
    </row>
    <row r="24" spans="1:35">
      <c r="A24" s="522" t="s">
        <v>597</v>
      </c>
      <c r="B24" s="93" t="s">
        <v>301</v>
      </c>
      <c r="C24" s="32" t="s">
        <v>597</v>
      </c>
      <c r="D24" s="93" t="s">
        <v>301</v>
      </c>
      <c r="E24" s="295">
        <f t="array" ref="E24">INDEX(CABS_CVC!$C$3:$O$894,MATCH(1, (CABS_CVC!$A$3:$A$894=Calculs_CABS!C24)*(CABS_CVC!$B$3:$B$894=Calculs_CABS!$D$2),0),MATCH(Calculs_CABS!$D$1,Liste_CABS!$B$3:$B$15,0))</f>
        <v>50</v>
      </c>
    </row>
    <row r="25" spans="1:35">
      <c r="A25" s="522"/>
      <c r="B25" s="295" t="s">
        <v>543</v>
      </c>
      <c r="C25" s="32" t="s">
        <v>597</v>
      </c>
      <c r="D25" s="295" t="s">
        <v>543</v>
      </c>
      <c r="E25" s="295">
        <v>26</v>
      </c>
    </row>
    <row r="26" spans="1:35">
      <c r="A26" s="522"/>
      <c r="B26" s="295" t="s">
        <v>544</v>
      </c>
      <c r="C26" s="32" t="s">
        <v>597</v>
      </c>
      <c r="D26" s="295" t="s">
        <v>544</v>
      </c>
      <c r="E26" s="295">
        <f>E24+E25</f>
        <v>76</v>
      </c>
    </row>
    <row r="27" spans="1:35">
      <c r="A27" s="522"/>
      <c r="B27" s="295" t="s">
        <v>545</v>
      </c>
      <c r="C27" s="32" t="s">
        <v>597</v>
      </c>
      <c r="D27" s="295" t="s">
        <v>545</v>
      </c>
      <c r="E27" s="295">
        <v>0.67</v>
      </c>
    </row>
    <row r="28" spans="1:35" ht="15.75" customHeight="1">
      <c r="A28" s="522"/>
      <c r="B28" s="295" t="s">
        <v>546</v>
      </c>
      <c r="C28" s="32" t="s">
        <v>597</v>
      </c>
      <c r="D28" s="343" t="s">
        <v>592</v>
      </c>
      <c r="E28" s="295">
        <v>3120</v>
      </c>
      <c r="F28" s="295">
        <f>IF(F$6=$C28,IF(INDEX('Surface DEET'!$Q$9:$W$38,COLUMN(F21)-COLUMN($E$5),1)&gt;0,INDEX('Surface DEET'!$Q$9:$W$38,COLUMN(F21)-COLUMN($E$5),1),$E28),0)</f>
        <v>0</v>
      </c>
      <c r="G28" s="295">
        <f>IF(G$6=$C28,IF(INDEX('Surface DEET'!$Q$9:$W$38,COLUMN(G21)-COLUMN($E$5),1)&gt;0,INDEX('Surface DEET'!$Q$9:$W$38,COLUMN(G21)-COLUMN($E$5),1),$E28),0)</f>
        <v>0</v>
      </c>
      <c r="H28" s="295">
        <f>IF(H$6=$C28,IF(INDEX('Surface DEET'!$Q$9:$W$38,COLUMN(H21)-COLUMN($E$5),1)&gt;0,INDEX('Surface DEET'!$Q$9:$W$38,COLUMN(H21)-COLUMN($E$5),1),$E28),0)</f>
        <v>0</v>
      </c>
      <c r="I28" s="295">
        <f>IF(I$6=$C28,IF(INDEX('Surface DEET'!$Q$9:$W$38,COLUMN(I21)-COLUMN($E$5),1)&gt;0,INDEX('Surface DEET'!$Q$9:$W$38,COLUMN(I21)-COLUMN($E$5),1),$E28),0)</f>
        <v>0</v>
      </c>
      <c r="J28" s="295">
        <f>IF(J$6=$C28,IF(INDEX('Surface DEET'!$Q$9:$W$38,COLUMN(J21)-COLUMN($E$5),1)&gt;0,INDEX('Surface DEET'!$Q$9:$W$38,COLUMN(J21)-COLUMN($E$5),1),$E28),0)</f>
        <v>0</v>
      </c>
      <c r="K28" s="295">
        <f>IF(K$6=$C28,IF(INDEX('Surface DEET'!$Q$9:$W$38,COLUMN(K21)-COLUMN($E$5),1)&gt;0,INDEX('Surface DEET'!$Q$9:$W$38,COLUMN(K21)-COLUMN($E$5),1),$E28),0)</f>
        <v>0</v>
      </c>
      <c r="L28" s="295">
        <f>IF(L$6=$C28,IF(INDEX('Surface DEET'!$Q$9:$W$38,COLUMN(L21)-COLUMN($E$5),1)&gt;0,INDEX('Surface DEET'!$Q$9:$W$38,COLUMN(L21)-COLUMN($E$5),1),$E28),0)</f>
        <v>0</v>
      </c>
      <c r="M28" s="295">
        <f>IF(M$6=$C28,IF(INDEX('Surface DEET'!$Q$9:$W$38,COLUMN(M21)-COLUMN($E$5),1)&gt;0,INDEX('Surface DEET'!$Q$9:$W$38,COLUMN(M21)-COLUMN($E$5),1),$E28),0)</f>
        <v>0</v>
      </c>
      <c r="N28" s="295">
        <f>IF(N$6=$C28,IF(INDEX('Surface DEET'!$Q$9:$W$38,COLUMN(N21)-COLUMN($E$5),1)&gt;0,INDEX('Surface DEET'!$Q$9:$W$38,COLUMN(N21)-COLUMN($E$5),1),$E28),0)</f>
        <v>0</v>
      </c>
      <c r="O28" s="295">
        <f>IF(O$6=$C28,IF(INDEX('Surface DEET'!$Q$9:$W$38,COLUMN(O21)-COLUMN($E$5),1)&gt;0,INDEX('Surface DEET'!$Q$9:$W$38,COLUMN(O21)-COLUMN($E$5),1),$E28),0)</f>
        <v>0</v>
      </c>
      <c r="P28" s="295">
        <f>IF(P$6=$C28,IF(INDEX('Surface DEET'!$Q$9:$W$38,COLUMN(P21)-COLUMN($E$5),1)&gt;0,INDEX('Surface DEET'!$Q$9:$W$38,COLUMN(P21)-COLUMN($E$5),1),$E28),0)</f>
        <v>0</v>
      </c>
      <c r="Q28" s="295">
        <f>IF(Q$6=$C28,IF(INDEX('Surface DEET'!$Q$9:$W$38,COLUMN(Q21)-COLUMN($E$5),1)&gt;0,INDEX('Surface DEET'!$Q$9:$W$38,COLUMN(Q21)-COLUMN($E$5),1),$E28),0)</f>
        <v>0</v>
      </c>
      <c r="R28" s="295">
        <f>IF(R$6=$C28,IF(INDEX('Surface DEET'!$Q$9:$W$38,COLUMN(R21)-COLUMN($E$5),1)&gt;0,INDEX('Surface DEET'!$Q$9:$W$38,COLUMN(R21)-COLUMN($E$5),1),$E28),0)</f>
        <v>0</v>
      </c>
      <c r="S28" s="295">
        <f>IF(S$6=$C28,IF(INDEX('Surface DEET'!$Q$9:$W$38,COLUMN(S21)-COLUMN($E$5),1)&gt;0,INDEX('Surface DEET'!$Q$9:$W$38,COLUMN(S21)-COLUMN($E$5),1),$E28),0)</f>
        <v>0</v>
      </c>
      <c r="T28" s="295">
        <f>IF(T$6=$C28,IF(INDEX('Surface DEET'!$Q$9:$W$38,COLUMN(T21)-COLUMN($E$5),1)&gt;0,INDEX('Surface DEET'!$Q$9:$W$38,COLUMN(T21)-COLUMN($E$5),1),$E28),0)</f>
        <v>0</v>
      </c>
      <c r="U28" s="295">
        <f>IF(U$6=$C28,IF(INDEX('Surface DEET'!$Q$9:$W$38,COLUMN(U21)-COLUMN($E$5),1)&gt;0,INDEX('Surface DEET'!$Q$9:$W$38,COLUMN(U21)-COLUMN($E$5),1),$E28),0)</f>
        <v>0</v>
      </c>
      <c r="V28" s="295">
        <f>IF(V$6=$C28,IF(INDEX('Surface DEET'!$Q$9:$W$38,COLUMN(V21)-COLUMN($E$5),1)&gt;0,INDEX('Surface DEET'!$Q$9:$W$38,COLUMN(V21)-COLUMN($E$5),1),$E28),0)</f>
        <v>0</v>
      </c>
      <c r="W28" s="295">
        <f>IF(W$6=$C28,IF(INDEX('Surface DEET'!$Q$9:$W$38,COLUMN(W21)-COLUMN($E$5),1)&gt;0,INDEX('Surface DEET'!$Q$9:$W$38,COLUMN(W21)-COLUMN($E$5),1),$E28),0)</f>
        <v>0</v>
      </c>
      <c r="X28" s="295">
        <f>IF(X$6=$C28,IF(INDEX('Surface DEET'!$Q$9:$W$38,COLUMN(X21)-COLUMN($E$5),1)&gt;0,INDEX('Surface DEET'!$Q$9:$W$38,COLUMN(X21)-COLUMN($E$5),1),$E28),0)</f>
        <v>0</v>
      </c>
      <c r="Y28" s="295">
        <f>IF(Y$6=$C28,IF(INDEX('Surface DEET'!$Q$9:$W$38,COLUMN(Y21)-COLUMN($E$5),1)&gt;0,INDEX('Surface DEET'!$Q$9:$W$38,COLUMN(Y21)-COLUMN($E$5),1),$E28),0)</f>
        <v>0</v>
      </c>
      <c r="Z28" s="295">
        <f>IF(Z$6=$C28,IF(INDEX('Surface DEET'!$Q$9:$W$38,COLUMN(Z21)-COLUMN($E$5),1)&gt;0,INDEX('Surface DEET'!$Q$9:$W$38,COLUMN(Z21)-COLUMN($E$5),1),$E28),0)</f>
        <v>0</v>
      </c>
      <c r="AA28" s="295">
        <f>IF(AA$6=$C28,IF(INDEX('Surface DEET'!$Q$9:$W$38,COLUMN(AA21)-COLUMN($E$5),1)&gt;0,INDEX('Surface DEET'!$Q$9:$W$38,COLUMN(AA21)-COLUMN($E$5),1),$E28),0)</f>
        <v>0</v>
      </c>
      <c r="AB28" s="295">
        <f>IF(AB$6=$C28,IF(INDEX('Surface DEET'!$Q$9:$W$38,COLUMN(AB21)-COLUMN($E$5),1)&gt;0,INDEX('Surface DEET'!$Q$9:$W$38,COLUMN(AB21)-COLUMN($E$5),1),$E28),0)</f>
        <v>0</v>
      </c>
      <c r="AC28" s="295">
        <f>IF(AC$6=$C28,IF(INDEX('Surface DEET'!$Q$9:$W$38,COLUMN(AC21)-COLUMN($E$5),1)&gt;0,INDEX('Surface DEET'!$Q$9:$W$38,COLUMN(AC21)-COLUMN($E$5),1),$E28),0)</f>
        <v>0</v>
      </c>
      <c r="AD28" s="295">
        <f>IF(AD$6=$C28,IF(INDEX('Surface DEET'!$Q$9:$W$38,COLUMN(AD21)-COLUMN($E$5),1)&gt;0,INDEX('Surface DEET'!$Q$9:$W$38,COLUMN(AD21)-COLUMN($E$5),1),$E28),0)</f>
        <v>0</v>
      </c>
      <c r="AE28" s="295">
        <f>IF(AE$6=$C28,IF(INDEX('Surface DEET'!$Q$9:$W$38,COLUMN(AE21)-COLUMN($E$5),1)&gt;0,INDEX('Surface DEET'!$Q$9:$W$38,COLUMN(AE21)-COLUMN($E$5),1),$E28),0)</f>
        <v>0</v>
      </c>
      <c r="AF28" s="295">
        <f>IF(AF$6=$C28,IF(INDEX('Surface DEET'!$Q$9:$W$38,COLUMN(AF21)-COLUMN($E$5),1)&gt;0,INDEX('Surface DEET'!$Q$9:$W$38,COLUMN(AF21)-COLUMN($E$5),1),$E28),0)</f>
        <v>0</v>
      </c>
      <c r="AG28" s="295">
        <f>IF(AG$6=$C28,IF(INDEX('Surface DEET'!$Q$9:$W$38,COLUMN(AG21)-COLUMN($E$5),1)&gt;0,INDEX('Surface DEET'!$Q$9:$W$38,COLUMN(AG21)-COLUMN($E$5),1),$E28),0)</f>
        <v>0</v>
      </c>
      <c r="AH28" s="295">
        <f>IF(AH$6=$C28,IF(INDEX('Surface DEET'!$Q$9:$W$38,COLUMN(AH21)-COLUMN($E$5),1)&gt;0,INDEX('Surface DEET'!$Q$9:$W$38,COLUMN(AH21)-COLUMN($E$5),1),$E28),0)</f>
        <v>0</v>
      </c>
      <c r="AI28" s="295">
        <f>IF(AI$6=$C28,IF(INDEX('Surface DEET'!$Q$9:$W$38,COLUMN(AI21)-COLUMN($E$5),1)&gt;0,INDEX('Surface DEET'!$Q$9:$W$38,COLUMN(AI21)-COLUMN($E$5),1),$E28),0)</f>
        <v>0</v>
      </c>
    </row>
    <row r="29" spans="1:35">
      <c r="A29" s="522"/>
      <c r="B29" s="295" t="s">
        <v>549</v>
      </c>
      <c r="C29" s="32" t="s">
        <v>597</v>
      </c>
      <c r="D29" s="343" t="s">
        <v>596</v>
      </c>
      <c r="E29" s="295">
        <v>31</v>
      </c>
      <c r="F29" s="295">
        <f>IF(F$6=$C29,IF(INDEX('Surface DEET'!$Q$9:$W$38,COLUMN(F22)-COLUMN($E$5),4)&gt;0,INDEX('Surface DEET'!$Q$9:$W$38,COLUMN(F22)-COLUMN($E$5),4),$E29),0)</f>
        <v>0</v>
      </c>
      <c r="G29" s="295">
        <f>IF(G$6=$C29,IF(INDEX('Surface DEET'!$Q$9:$W$38,COLUMN(G22)-COLUMN($E$5),4)&gt;0,INDEX('Surface DEET'!$Q$9:$W$38,COLUMN(G22)-COLUMN($E$5),4),$E29),0)</f>
        <v>0</v>
      </c>
      <c r="H29" s="295">
        <f>IF(H$6=$C29,IF(INDEX('Surface DEET'!$Q$9:$W$38,COLUMN(H22)-COLUMN($E$5),4)&gt;0,INDEX('Surface DEET'!$Q$9:$W$38,COLUMN(H22)-COLUMN($E$5),4),$E29),0)</f>
        <v>0</v>
      </c>
      <c r="I29" s="295">
        <f>IF(I$6=$C29,IF(INDEX('Surface DEET'!$Q$9:$W$38,COLUMN(I22)-COLUMN($E$5),4)&gt;0,INDEX('Surface DEET'!$Q$9:$W$38,COLUMN(I22)-COLUMN($E$5),4),$E29),0)</f>
        <v>0</v>
      </c>
      <c r="J29" s="295">
        <f>IF(J$6=$C29,IF(INDEX('Surface DEET'!$Q$9:$W$38,COLUMN(J22)-COLUMN($E$5),4)&gt;0,INDEX('Surface DEET'!$Q$9:$W$38,COLUMN(J22)-COLUMN($E$5),4),$E29),0)</f>
        <v>0</v>
      </c>
      <c r="K29" s="295">
        <f>IF(K$6=$C29,IF(INDEX('Surface DEET'!$Q$9:$W$38,COLUMN(K22)-COLUMN($E$5),4)&gt;0,INDEX('Surface DEET'!$Q$9:$W$38,COLUMN(K22)-COLUMN($E$5),4),$E29),0)</f>
        <v>0</v>
      </c>
      <c r="L29" s="295">
        <f>IF(L$6=$C29,IF(INDEX('Surface DEET'!$Q$9:$W$38,COLUMN(L22)-COLUMN($E$5),4)&gt;0,INDEX('Surface DEET'!$Q$9:$W$38,COLUMN(L22)-COLUMN($E$5),4),$E29),0)</f>
        <v>0</v>
      </c>
      <c r="M29" s="295">
        <f>IF(M$6=$C29,IF(INDEX('Surface DEET'!$Q$9:$W$38,COLUMN(M22)-COLUMN($E$5),4)&gt;0,INDEX('Surface DEET'!$Q$9:$W$38,COLUMN(M22)-COLUMN($E$5),4),$E29),0)</f>
        <v>0</v>
      </c>
      <c r="N29" s="295">
        <f>IF(N$6=$C29,IF(INDEX('Surface DEET'!$Q$9:$W$38,COLUMN(N22)-COLUMN($E$5),4)&gt;0,INDEX('Surface DEET'!$Q$9:$W$38,COLUMN(N22)-COLUMN($E$5),4),$E29),0)</f>
        <v>0</v>
      </c>
      <c r="O29" s="295">
        <f>IF(O$6=$C29,IF(INDEX('Surface DEET'!$Q$9:$W$38,COLUMN(O22)-COLUMN($E$5),4)&gt;0,INDEX('Surface DEET'!$Q$9:$W$38,COLUMN(O22)-COLUMN($E$5),4),$E29),0)</f>
        <v>0</v>
      </c>
      <c r="P29" s="295">
        <f>IF(P$6=$C29,IF(INDEX('Surface DEET'!$Q$9:$W$38,COLUMN(P22)-COLUMN($E$5),4)&gt;0,INDEX('Surface DEET'!$Q$9:$W$38,COLUMN(P22)-COLUMN($E$5),4),$E29),0)</f>
        <v>0</v>
      </c>
      <c r="Q29" s="295">
        <f>IF(Q$6=$C29,IF(INDEX('Surface DEET'!$Q$9:$W$38,COLUMN(Q22)-COLUMN($E$5),4)&gt;0,INDEX('Surface DEET'!$Q$9:$W$38,COLUMN(Q22)-COLUMN($E$5),4),$E29),0)</f>
        <v>0</v>
      </c>
      <c r="R29" s="295">
        <f>IF(R$6=$C29,IF(INDEX('Surface DEET'!$Q$9:$W$38,COLUMN(R22)-COLUMN($E$5),4)&gt;0,INDEX('Surface DEET'!$Q$9:$W$38,COLUMN(R22)-COLUMN($E$5),4),$E29),0)</f>
        <v>0</v>
      </c>
      <c r="S29" s="295">
        <f>IF(S$6=$C29,IF(INDEX('Surface DEET'!$Q$9:$W$38,COLUMN(S22)-COLUMN($E$5),4)&gt;0,INDEX('Surface DEET'!$Q$9:$W$38,COLUMN(S22)-COLUMN($E$5),4),$E29),0)</f>
        <v>0</v>
      </c>
      <c r="T29" s="295">
        <f>IF(T$6=$C29,IF(INDEX('Surface DEET'!$Q$9:$W$38,COLUMN(T22)-COLUMN($E$5),4)&gt;0,INDEX('Surface DEET'!$Q$9:$W$38,COLUMN(T22)-COLUMN($E$5),4),$E29),0)</f>
        <v>0</v>
      </c>
      <c r="U29" s="295">
        <f>IF(U$6=$C29,IF(INDEX('Surface DEET'!$Q$9:$W$38,COLUMN(U22)-COLUMN($E$5),4)&gt;0,INDEX('Surface DEET'!$Q$9:$W$38,COLUMN(U22)-COLUMN($E$5),4),$E29),0)</f>
        <v>0</v>
      </c>
      <c r="V29" s="295">
        <f>IF(V$6=$C29,IF(INDEX('Surface DEET'!$Q$9:$W$38,COLUMN(V22)-COLUMN($E$5),4)&gt;0,INDEX('Surface DEET'!$Q$9:$W$38,COLUMN(V22)-COLUMN($E$5),4),$E29),0)</f>
        <v>0</v>
      </c>
      <c r="W29" s="295">
        <f>IF(W$6=$C29,IF(INDEX('Surface DEET'!$Q$9:$W$38,COLUMN(W22)-COLUMN($E$5),4)&gt;0,INDEX('Surface DEET'!$Q$9:$W$38,COLUMN(W22)-COLUMN($E$5),4),$E29),0)</f>
        <v>0</v>
      </c>
      <c r="X29" s="295">
        <f>IF(X$6=$C29,IF(INDEX('Surface DEET'!$Q$9:$W$38,COLUMN(X22)-COLUMN($E$5),4)&gt;0,INDEX('Surface DEET'!$Q$9:$W$38,COLUMN(X22)-COLUMN($E$5),4),$E29),0)</f>
        <v>0</v>
      </c>
      <c r="Y29" s="295">
        <f>IF(Y$6=$C29,IF(INDEX('Surface DEET'!$Q$9:$W$38,COLUMN(Y22)-COLUMN($E$5),4)&gt;0,INDEX('Surface DEET'!$Q$9:$W$38,COLUMN(Y22)-COLUMN($E$5),4),$E29),0)</f>
        <v>0</v>
      </c>
      <c r="Z29" s="295">
        <f>IF(Z$6=$C29,IF(INDEX('Surface DEET'!$Q$9:$W$38,COLUMN(Z22)-COLUMN($E$5),4)&gt;0,INDEX('Surface DEET'!$Q$9:$W$38,COLUMN(Z22)-COLUMN($E$5),4),$E29),0)</f>
        <v>0</v>
      </c>
      <c r="AA29" s="295">
        <f>IF(AA$6=$C29,IF(INDEX('Surface DEET'!$Q$9:$W$38,COLUMN(AA22)-COLUMN($E$5),4)&gt;0,INDEX('Surface DEET'!$Q$9:$W$38,COLUMN(AA22)-COLUMN($E$5),4),$E29),0)</f>
        <v>0</v>
      </c>
      <c r="AB29" s="295">
        <f>IF(AB$6=$C29,IF(INDEX('Surface DEET'!$Q$9:$W$38,COLUMN(AB22)-COLUMN($E$5),4)&gt;0,INDEX('Surface DEET'!$Q$9:$W$38,COLUMN(AB22)-COLUMN($E$5),4),$E29),0)</f>
        <v>0</v>
      </c>
      <c r="AC29" s="295">
        <f>IF(AC$6=$C29,IF(INDEX('Surface DEET'!$Q$9:$W$38,COLUMN(AC22)-COLUMN($E$5),4)&gt;0,INDEX('Surface DEET'!$Q$9:$W$38,COLUMN(AC22)-COLUMN($E$5),4),$E29),0)</f>
        <v>0</v>
      </c>
      <c r="AD29" s="295">
        <f>IF(AD$6=$C29,IF(INDEX('Surface DEET'!$Q$9:$W$38,COLUMN(AD22)-COLUMN($E$5),4)&gt;0,INDEX('Surface DEET'!$Q$9:$W$38,COLUMN(AD22)-COLUMN($E$5),4),$E29),0)</f>
        <v>0</v>
      </c>
      <c r="AE29" s="295">
        <f>IF(AE$6=$C29,IF(INDEX('Surface DEET'!$Q$9:$W$38,COLUMN(AE22)-COLUMN($E$5),4)&gt;0,INDEX('Surface DEET'!$Q$9:$W$38,COLUMN(AE22)-COLUMN($E$5),4),$E29),0)</f>
        <v>0</v>
      </c>
      <c r="AF29" s="295">
        <f>IF(AF$6=$C29,IF(INDEX('Surface DEET'!$Q$9:$W$38,COLUMN(AF22)-COLUMN($E$5),4)&gt;0,INDEX('Surface DEET'!$Q$9:$W$38,COLUMN(AF22)-COLUMN($E$5),4),$E29),0)</f>
        <v>0</v>
      </c>
      <c r="AG29" s="295">
        <f>IF(AG$6=$C29,IF(INDEX('Surface DEET'!$Q$9:$W$38,COLUMN(AG22)-COLUMN($E$5),4)&gt;0,INDEX('Surface DEET'!$Q$9:$W$38,COLUMN(AG22)-COLUMN($E$5),4),$E29),0)</f>
        <v>0</v>
      </c>
      <c r="AH29" s="295">
        <f>IF(AH$6=$C29,IF(INDEX('Surface DEET'!$Q$9:$W$38,COLUMN(AH22)-COLUMN($E$5),4)&gt;0,INDEX('Surface DEET'!$Q$9:$W$38,COLUMN(AH22)-COLUMN($E$5),4),$E29),0)</f>
        <v>0</v>
      </c>
      <c r="AI29" s="295">
        <f>IF(AI$6=$C29,IF(INDEX('Surface DEET'!$Q$9:$W$38,COLUMN(AI22)-COLUMN($E$5),4)&gt;0,INDEX('Surface DEET'!$Q$9:$W$38,COLUMN(AI22)-COLUMN($E$5),4),$E29),0)</f>
        <v>0</v>
      </c>
    </row>
    <row r="30" spans="1:35">
      <c r="A30" s="522"/>
      <c r="B30" s="295" t="s">
        <v>542</v>
      </c>
      <c r="C30" s="32" t="s">
        <v>597</v>
      </c>
      <c r="D30" s="295" t="s">
        <v>542</v>
      </c>
      <c r="F30" s="295">
        <f>IFERROR($E$25*(F28/$E$28)*($E$27*($E$29/F29)+(1-$E$27))+0.28*$E$24*(F28-$E$28)/$E$28,0)</f>
        <v>0</v>
      </c>
      <c r="G30" s="295">
        <f>IFERROR($E$25*(G28/$E$28)*($E$27*($E$29/G29)+(1-$E$27))+0.28*$E$24*(G28-$E$28)/$E$28,0)</f>
        <v>0</v>
      </c>
      <c r="H30" s="295">
        <f>IFERROR($E$25*(H28/$E$28)*($E$27*($E$29/H29)+(1-$E$27))+0.28*$E$24*(H28-$E$28)/$E$28,0)</f>
        <v>0</v>
      </c>
      <c r="I30" s="295">
        <f t="shared" ref="I30:AI30" si="2">IFERROR($E$25*(I28/$E$28)*($E$27*($E$29/I29)+(1-$E$27))+0.28*$E$24*(I28-$E$28)/$E$28,0)</f>
        <v>0</v>
      </c>
      <c r="J30" s="295">
        <f t="shared" si="2"/>
        <v>0</v>
      </c>
      <c r="K30" s="295">
        <f t="shared" si="2"/>
        <v>0</v>
      </c>
      <c r="L30" s="295">
        <f t="shared" si="2"/>
        <v>0</v>
      </c>
      <c r="M30" s="295">
        <f t="shared" si="2"/>
        <v>0</v>
      </c>
      <c r="N30" s="295">
        <f t="shared" si="2"/>
        <v>0</v>
      </c>
      <c r="O30" s="295">
        <f t="shared" si="2"/>
        <v>0</v>
      </c>
      <c r="P30" s="295">
        <f t="shared" si="2"/>
        <v>0</v>
      </c>
      <c r="Q30" s="295">
        <f t="shared" si="2"/>
        <v>0</v>
      </c>
      <c r="R30" s="295">
        <f t="shared" si="2"/>
        <v>0</v>
      </c>
      <c r="S30" s="295">
        <f t="shared" si="2"/>
        <v>0</v>
      </c>
      <c r="T30" s="295">
        <f t="shared" si="2"/>
        <v>0</v>
      </c>
      <c r="U30" s="295">
        <f t="shared" si="2"/>
        <v>0</v>
      </c>
      <c r="V30" s="295">
        <f t="shared" si="2"/>
        <v>0</v>
      </c>
      <c r="W30" s="295">
        <f t="shared" si="2"/>
        <v>0</v>
      </c>
      <c r="X30" s="295">
        <f t="shared" si="2"/>
        <v>0</v>
      </c>
      <c r="Y30" s="295">
        <f t="shared" si="2"/>
        <v>0</v>
      </c>
      <c r="Z30" s="295">
        <f t="shared" si="2"/>
        <v>0</v>
      </c>
      <c r="AA30" s="295">
        <f t="shared" si="2"/>
        <v>0</v>
      </c>
      <c r="AB30" s="295">
        <f t="shared" si="2"/>
        <v>0</v>
      </c>
      <c r="AC30" s="295">
        <f t="shared" si="2"/>
        <v>0</v>
      </c>
      <c r="AD30" s="295">
        <f t="shared" si="2"/>
        <v>0</v>
      </c>
      <c r="AE30" s="295">
        <f t="shared" si="2"/>
        <v>0</v>
      </c>
      <c r="AF30" s="295">
        <f t="shared" si="2"/>
        <v>0</v>
      </c>
      <c r="AG30" s="295">
        <f t="shared" si="2"/>
        <v>0</v>
      </c>
      <c r="AH30" s="295">
        <f t="shared" si="2"/>
        <v>0</v>
      </c>
      <c r="AI30" s="295">
        <f t="shared" si="2"/>
        <v>0</v>
      </c>
    </row>
    <row r="31" spans="1:35">
      <c r="A31" s="522" t="s">
        <v>598</v>
      </c>
      <c r="B31" s="93" t="s">
        <v>301</v>
      </c>
      <c r="C31" s="32" t="s">
        <v>598</v>
      </c>
      <c r="D31" s="93" t="s">
        <v>301</v>
      </c>
      <c r="E31" s="295">
        <f t="array" ref="E31">INDEX(CABS_CVC!$C$3:$O$894,MATCH(1, (CABS_CVC!$A$3:$A$894=Calculs_CABS!C31)*(CABS_CVC!$B$3:$B$894=Calculs_CABS!$D$2),0),MATCH(Calculs_CABS!$D$1,Liste_CABS!$B$3:$B$15,0))</f>
        <v>62</v>
      </c>
    </row>
    <row r="32" spans="1:35">
      <c r="A32" s="522"/>
      <c r="B32" s="295" t="s">
        <v>543</v>
      </c>
      <c r="C32" s="32" t="s">
        <v>598</v>
      </c>
      <c r="D32" s="295" t="s">
        <v>543</v>
      </c>
      <c r="E32" s="295">
        <v>76</v>
      </c>
    </row>
    <row r="33" spans="1:35">
      <c r="A33" s="522"/>
      <c r="B33" s="295" t="s">
        <v>544</v>
      </c>
      <c r="C33" s="32" t="s">
        <v>598</v>
      </c>
      <c r="D33" s="295" t="s">
        <v>544</v>
      </c>
      <c r="E33" s="295">
        <f>E31+E32</f>
        <v>138</v>
      </c>
    </row>
    <row r="34" spans="1:35">
      <c r="A34" s="522"/>
      <c r="B34" s="295" t="s">
        <v>545</v>
      </c>
      <c r="C34" s="32" t="s">
        <v>598</v>
      </c>
      <c r="D34" s="295" t="s">
        <v>545</v>
      </c>
      <c r="E34" s="295">
        <v>0.64</v>
      </c>
    </row>
    <row r="35" spans="1:35">
      <c r="A35" s="522"/>
      <c r="B35" s="295" t="s">
        <v>546</v>
      </c>
      <c r="C35" s="32" t="s">
        <v>598</v>
      </c>
      <c r="D35" s="343" t="s">
        <v>592</v>
      </c>
      <c r="E35" s="295">
        <v>8760</v>
      </c>
      <c r="F35" s="295">
        <f>IF(F$6=$C35,IF(INDEX('Surface DEET'!$Q$9:$W$38,COLUMN(F28)-COLUMN($E$5),1)&gt;0,INDEX('Surface DEET'!$Q$9:$W$38,COLUMN(F28)-COLUMN($E$5),1),$E35),0)</f>
        <v>0</v>
      </c>
      <c r="G35" s="295">
        <f>IF(G$6=$C35,IF(INDEX('Surface DEET'!$Q$9:$W$38,COLUMN(G28)-COLUMN($E$5),1)&gt;0,INDEX('Surface DEET'!$Q$9:$W$38,COLUMN(G28)-COLUMN($E$5),1),$E35),0)</f>
        <v>0</v>
      </c>
      <c r="H35" s="295">
        <f>IF(H$6=$C35,IF(INDEX('Surface DEET'!$Q$9:$W$38,COLUMN(H28)-COLUMN($E$5),1)&gt;0,INDEX('Surface DEET'!$Q$9:$W$38,COLUMN(H28)-COLUMN($E$5),1),$E35),0)</f>
        <v>0</v>
      </c>
      <c r="I35" s="295">
        <f>IF(I$6=$C35,IF(INDEX('Surface DEET'!$Q$9:$W$38,COLUMN(I28)-COLUMN($E$5),1)&gt;0,INDEX('Surface DEET'!$Q$9:$W$38,COLUMN(I28)-COLUMN($E$5),1),$E35),0)</f>
        <v>0</v>
      </c>
      <c r="J35" s="295">
        <f>IF(J$6=$C35,IF(INDEX('Surface DEET'!$Q$9:$W$38,COLUMN(J28)-COLUMN($E$5),1)&gt;0,INDEX('Surface DEET'!$Q$9:$W$38,COLUMN(J28)-COLUMN($E$5),1),$E35),0)</f>
        <v>0</v>
      </c>
      <c r="K35" s="295">
        <f>IF(K$6=$C35,IF(INDEX('Surface DEET'!$Q$9:$W$38,COLUMN(K28)-COLUMN($E$5),1)&gt;0,INDEX('Surface DEET'!$Q$9:$W$38,COLUMN(K28)-COLUMN($E$5),1),$E35),0)</f>
        <v>0</v>
      </c>
      <c r="L35" s="295">
        <f>IF(L$6=$C35,IF(INDEX('Surface DEET'!$Q$9:$W$38,COLUMN(L28)-COLUMN($E$5),1)&gt;0,INDEX('Surface DEET'!$Q$9:$W$38,COLUMN(L28)-COLUMN($E$5),1),$E35),0)</f>
        <v>0</v>
      </c>
      <c r="M35" s="295">
        <f>IF(M$6=$C35,IF(INDEX('Surface DEET'!$Q$9:$W$38,COLUMN(M28)-COLUMN($E$5),1)&gt;0,INDEX('Surface DEET'!$Q$9:$W$38,COLUMN(M28)-COLUMN($E$5),1),$E35),0)</f>
        <v>0</v>
      </c>
      <c r="N35" s="295">
        <f>IF(N$6=$C35,IF(INDEX('Surface DEET'!$Q$9:$W$38,COLUMN(N28)-COLUMN($E$5),1)&gt;0,INDEX('Surface DEET'!$Q$9:$W$38,COLUMN(N28)-COLUMN($E$5),1),$E35),0)</f>
        <v>0</v>
      </c>
      <c r="O35" s="295">
        <f>IF(O$6=$C35,IF(INDEX('Surface DEET'!$Q$9:$W$38,COLUMN(O28)-COLUMN($E$5),1)&gt;0,INDEX('Surface DEET'!$Q$9:$W$38,COLUMN(O28)-COLUMN($E$5),1),$E35),0)</f>
        <v>0</v>
      </c>
      <c r="P35" s="295">
        <f>IF(P$6=$C35,IF(INDEX('Surface DEET'!$Q$9:$W$38,COLUMN(P28)-COLUMN($E$5),1)&gt;0,INDEX('Surface DEET'!$Q$9:$W$38,COLUMN(P28)-COLUMN($E$5),1),$E35),0)</f>
        <v>0</v>
      </c>
      <c r="Q35" s="295">
        <f>IF(Q$6=$C35,IF(INDEX('Surface DEET'!$Q$9:$W$38,COLUMN(Q28)-COLUMN($E$5),1)&gt;0,INDEX('Surface DEET'!$Q$9:$W$38,COLUMN(Q28)-COLUMN($E$5),1),$E35),0)</f>
        <v>0</v>
      </c>
      <c r="R35" s="295">
        <f>IF(R$6=$C35,IF(INDEX('Surface DEET'!$Q$9:$W$38,COLUMN(R28)-COLUMN($E$5),1)&gt;0,INDEX('Surface DEET'!$Q$9:$W$38,COLUMN(R28)-COLUMN($E$5),1),$E35),0)</f>
        <v>0</v>
      </c>
      <c r="S35" s="295">
        <f>IF(S$6=$C35,IF(INDEX('Surface DEET'!$Q$9:$W$38,COLUMN(S28)-COLUMN($E$5),1)&gt;0,INDEX('Surface DEET'!$Q$9:$W$38,COLUMN(S28)-COLUMN($E$5),1),$E35),0)</f>
        <v>0</v>
      </c>
      <c r="T35" s="295">
        <f>IF(T$6=$C35,IF(INDEX('Surface DEET'!$Q$9:$W$38,COLUMN(T28)-COLUMN($E$5),1)&gt;0,INDEX('Surface DEET'!$Q$9:$W$38,COLUMN(T28)-COLUMN($E$5),1),$E35),0)</f>
        <v>0</v>
      </c>
      <c r="U35" s="295">
        <f>IF(U$6=$C35,IF(INDEX('Surface DEET'!$Q$9:$W$38,COLUMN(U28)-COLUMN($E$5),1)&gt;0,INDEX('Surface DEET'!$Q$9:$W$38,COLUMN(U28)-COLUMN($E$5),1),$E35),0)</f>
        <v>0</v>
      </c>
      <c r="V35" s="295">
        <f>IF(V$6=$C35,IF(INDEX('Surface DEET'!$Q$9:$W$38,COLUMN(V28)-COLUMN($E$5),1)&gt;0,INDEX('Surface DEET'!$Q$9:$W$38,COLUMN(V28)-COLUMN($E$5),1),$E35),0)</f>
        <v>0</v>
      </c>
      <c r="W35" s="295">
        <f>IF(W$6=$C35,IF(INDEX('Surface DEET'!$Q$9:$W$38,COLUMN(W28)-COLUMN($E$5),1)&gt;0,INDEX('Surface DEET'!$Q$9:$W$38,COLUMN(W28)-COLUMN($E$5),1),$E35),0)</f>
        <v>0</v>
      </c>
      <c r="X35" s="295">
        <f>IF(X$6=$C35,IF(INDEX('Surface DEET'!$Q$9:$W$38,COLUMN(X28)-COLUMN($E$5),1)&gt;0,INDEX('Surface DEET'!$Q$9:$W$38,COLUMN(X28)-COLUMN($E$5),1),$E35),0)</f>
        <v>0</v>
      </c>
      <c r="Y35" s="295">
        <f>IF(Y$6=$C35,IF(INDEX('Surface DEET'!$Q$9:$W$38,COLUMN(Y28)-COLUMN($E$5),1)&gt;0,INDEX('Surface DEET'!$Q$9:$W$38,COLUMN(Y28)-COLUMN($E$5),1),$E35),0)</f>
        <v>0</v>
      </c>
      <c r="Z35" s="295">
        <f>IF(Z$6=$C35,IF(INDEX('Surface DEET'!$Q$9:$W$38,COLUMN(Z28)-COLUMN($E$5),1)&gt;0,INDEX('Surface DEET'!$Q$9:$W$38,COLUMN(Z28)-COLUMN($E$5),1),$E35),0)</f>
        <v>0</v>
      </c>
      <c r="AA35" s="295">
        <f>IF(AA$6=$C35,IF(INDEX('Surface DEET'!$Q$9:$W$38,COLUMN(AA28)-COLUMN($E$5),1)&gt;0,INDEX('Surface DEET'!$Q$9:$W$38,COLUMN(AA28)-COLUMN($E$5),1),$E35),0)</f>
        <v>0</v>
      </c>
      <c r="AB35" s="295">
        <f>IF(AB$6=$C35,IF(INDEX('Surface DEET'!$Q$9:$W$38,COLUMN(AB28)-COLUMN($E$5),1)&gt;0,INDEX('Surface DEET'!$Q$9:$W$38,COLUMN(AB28)-COLUMN($E$5),1),$E35),0)</f>
        <v>0</v>
      </c>
      <c r="AC35" s="295">
        <f>IF(AC$6=$C35,IF(INDEX('Surface DEET'!$Q$9:$W$38,COLUMN(AC28)-COLUMN($E$5),1)&gt;0,INDEX('Surface DEET'!$Q$9:$W$38,COLUMN(AC28)-COLUMN($E$5),1),$E35),0)</f>
        <v>0</v>
      </c>
      <c r="AD35" s="295">
        <f>IF(AD$6=$C35,IF(INDEX('Surface DEET'!$Q$9:$W$38,COLUMN(AD28)-COLUMN($E$5),1)&gt;0,INDEX('Surface DEET'!$Q$9:$W$38,COLUMN(AD28)-COLUMN($E$5),1),$E35),0)</f>
        <v>0</v>
      </c>
      <c r="AE35" s="295">
        <f>IF(AE$6=$C35,IF(INDEX('Surface DEET'!$Q$9:$W$38,COLUMN(AE28)-COLUMN($E$5),1)&gt;0,INDEX('Surface DEET'!$Q$9:$W$38,COLUMN(AE28)-COLUMN($E$5),1),$E35),0)</f>
        <v>0</v>
      </c>
      <c r="AF35" s="295">
        <f>IF(AF$6=$C35,IF(INDEX('Surface DEET'!$Q$9:$W$38,COLUMN(AF28)-COLUMN($E$5),1)&gt;0,INDEX('Surface DEET'!$Q$9:$W$38,COLUMN(AF28)-COLUMN($E$5),1),$E35),0)</f>
        <v>0</v>
      </c>
      <c r="AG35" s="295">
        <f>IF(AG$6=$C35,IF(INDEX('Surface DEET'!$Q$9:$W$38,COLUMN(AG28)-COLUMN($E$5),1)&gt;0,INDEX('Surface DEET'!$Q$9:$W$38,COLUMN(AG28)-COLUMN($E$5),1),$E35),0)</f>
        <v>0</v>
      </c>
      <c r="AH35" s="295">
        <f>IF(AH$6=$C35,IF(INDEX('Surface DEET'!$Q$9:$W$38,COLUMN(AH28)-COLUMN($E$5),1)&gt;0,INDEX('Surface DEET'!$Q$9:$W$38,COLUMN(AH28)-COLUMN($E$5),1),$E35),0)</f>
        <v>0</v>
      </c>
      <c r="AI35" s="295">
        <f>IF(AI$6=$C35,IF(INDEX('Surface DEET'!$Q$9:$W$38,COLUMN(AI28)-COLUMN($E$5),1)&gt;0,INDEX('Surface DEET'!$Q$9:$W$38,COLUMN(AI28)-COLUMN($E$5),1),$E35),0)</f>
        <v>0</v>
      </c>
    </row>
    <row r="36" spans="1:35">
      <c r="A36" s="522"/>
      <c r="B36" s="295" t="s">
        <v>549</v>
      </c>
      <c r="C36" s="32" t="s">
        <v>598</v>
      </c>
      <c r="D36" s="343" t="s">
        <v>599</v>
      </c>
      <c r="E36" s="295">
        <v>20</v>
      </c>
      <c r="F36" s="295">
        <f>IF(F$6=$C36,IF(INDEX('Surface DEET'!$Q$9:$W$38,COLUMN(F29)-COLUMN($E$5),4)&gt;0,INDEX('Surface DEET'!$Q$9:$W$38,COLUMN(F29)-COLUMN($E$5),4),$E36),0)</f>
        <v>0</v>
      </c>
      <c r="G36" s="295">
        <f>IF(G$6=$C36,IF(INDEX('Surface DEET'!$Q$9:$W$38,COLUMN(G29)-COLUMN($E$5),4)&gt;0,INDEX('Surface DEET'!$Q$9:$W$38,COLUMN(G29)-COLUMN($E$5),4),$E36),0)</f>
        <v>0</v>
      </c>
      <c r="H36" s="295">
        <f>IF(H$6=$C36,IF(INDEX('Surface DEET'!$Q$9:$W$38,COLUMN(H29)-COLUMN($E$5),4)&gt;0,INDEX('Surface DEET'!$Q$9:$W$38,COLUMN(H29)-COLUMN($E$5),4),$E36),0)</f>
        <v>0</v>
      </c>
      <c r="I36" s="295">
        <f>IF(I$6=$C36,IF(INDEX('Surface DEET'!$Q$9:$W$38,COLUMN(I29)-COLUMN($E$5),4)&gt;0,INDEX('Surface DEET'!$Q$9:$W$38,COLUMN(I29)-COLUMN($E$5),4),$E36),0)</f>
        <v>0</v>
      </c>
      <c r="J36" s="295">
        <f>IF(J$6=$C36,IF(INDEX('Surface DEET'!$Q$9:$W$38,COLUMN(J29)-COLUMN($E$5),4)&gt;0,INDEX('Surface DEET'!$Q$9:$W$38,COLUMN(J29)-COLUMN($E$5),4),$E36),0)</f>
        <v>0</v>
      </c>
      <c r="K36" s="295">
        <f>IF(K$6=$C36,IF(INDEX('Surface DEET'!$Q$9:$W$38,COLUMN(K29)-COLUMN($E$5),4)&gt;0,INDEX('Surface DEET'!$Q$9:$W$38,COLUMN(K29)-COLUMN($E$5),4),$E36),0)</f>
        <v>0</v>
      </c>
      <c r="L36" s="295">
        <f>IF(L$6=$C36,IF(INDEX('Surface DEET'!$Q$9:$W$38,COLUMN(L29)-COLUMN($E$5),4)&gt;0,INDEX('Surface DEET'!$Q$9:$W$38,COLUMN(L29)-COLUMN($E$5),4),$E36),0)</f>
        <v>0</v>
      </c>
      <c r="M36" s="295">
        <f>IF(M$6=$C36,IF(INDEX('Surface DEET'!$Q$9:$W$38,COLUMN(M29)-COLUMN($E$5),4)&gt;0,INDEX('Surface DEET'!$Q$9:$W$38,COLUMN(M29)-COLUMN($E$5),4),$E36),0)</f>
        <v>0</v>
      </c>
      <c r="N36" s="295">
        <f>IF(N$6=$C36,IF(INDEX('Surface DEET'!$Q$9:$W$38,COLUMN(N29)-COLUMN($E$5),4)&gt;0,INDEX('Surface DEET'!$Q$9:$W$38,COLUMN(N29)-COLUMN($E$5),4),$E36),0)</f>
        <v>0</v>
      </c>
      <c r="O36" s="295">
        <f>IF(O$6=$C36,IF(INDEX('Surface DEET'!$Q$9:$W$38,COLUMN(O29)-COLUMN($E$5),4)&gt;0,INDEX('Surface DEET'!$Q$9:$W$38,COLUMN(O29)-COLUMN($E$5),4),$E36),0)</f>
        <v>0</v>
      </c>
      <c r="P36" s="295">
        <f>IF(P$6=$C36,IF(INDEX('Surface DEET'!$Q$9:$W$38,COLUMN(P29)-COLUMN($E$5),4)&gt;0,INDEX('Surface DEET'!$Q$9:$W$38,COLUMN(P29)-COLUMN($E$5),4),$E36),0)</f>
        <v>0</v>
      </c>
      <c r="Q36" s="295">
        <f>IF(Q$6=$C36,IF(INDEX('Surface DEET'!$Q$9:$W$38,COLUMN(Q29)-COLUMN($E$5),4)&gt;0,INDEX('Surface DEET'!$Q$9:$W$38,COLUMN(Q29)-COLUMN($E$5),4),$E36),0)</f>
        <v>0</v>
      </c>
      <c r="R36" s="295">
        <f>IF(R$6=$C36,IF(INDEX('Surface DEET'!$Q$9:$W$38,COLUMN(R29)-COLUMN($E$5),4)&gt;0,INDEX('Surface DEET'!$Q$9:$W$38,COLUMN(R29)-COLUMN($E$5),4),$E36),0)</f>
        <v>0</v>
      </c>
      <c r="S36" s="295">
        <f>IF(S$6=$C36,IF(INDEX('Surface DEET'!$Q$9:$W$38,COLUMN(S29)-COLUMN($E$5),4)&gt;0,INDEX('Surface DEET'!$Q$9:$W$38,COLUMN(S29)-COLUMN($E$5),4),$E36),0)</f>
        <v>0</v>
      </c>
      <c r="T36" s="295">
        <f>IF(T$6=$C36,IF(INDEX('Surface DEET'!$Q$9:$W$38,COLUMN(T29)-COLUMN($E$5),4)&gt;0,INDEX('Surface DEET'!$Q$9:$W$38,COLUMN(T29)-COLUMN($E$5),4),$E36),0)</f>
        <v>0</v>
      </c>
      <c r="U36" s="295">
        <f>IF(U$6=$C36,IF(INDEX('Surface DEET'!$Q$9:$W$38,COLUMN(U29)-COLUMN($E$5),4)&gt;0,INDEX('Surface DEET'!$Q$9:$W$38,COLUMN(U29)-COLUMN($E$5),4),$E36),0)</f>
        <v>0</v>
      </c>
      <c r="V36" s="295">
        <f>IF(V$6=$C36,IF(INDEX('Surface DEET'!$Q$9:$W$38,COLUMN(V29)-COLUMN($E$5),4)&gt;0,INDEX('Surface DEET'!$Q$9:$W$38,COLUMN(V29)-COLUMN($E$5),4),$E36),0)</f>
        <v>0</v>
      </c>
      <c r="W36" s="295">
        <f>IF(W$6=$C36,IF(INDEX('Surface DEET'!$Q$9:$W$38,COLUMN(W29)-COLUMN($E$5),4)&gt;0,INDEX('Surface DEET'!$Q$9:$W$38,COLUMN(W29)-COLUMN($E$5),4),$E36),0)</f>
        <v>0</v>
      </c>
      <c r="X36" s="295">
        <f>IF(X$6=$C36,IF(INDEX('Surface DEET'!$Q$9:$W$38,COLUMN(X29)-COLUMN($E$5),4)&gt;0,INDEX('Surface DEET'!$Q$9:$W$38,COLUMN(X29)-COLUMN($E$5),4),$E36),0)</f>
        <v>0</v>
      </c>
      <c r="Y36" s="295">
        <f>IF(Y$6=$C36,IF(INDEX('Surface DEET'!$Q$9:$W$38,COLUMN(Y29)-COLUMN($E$5),4)&gt;0,INDEX('Surface DEET'!$Q$9:$W$38,COLUMN(Y29)-COLUMN($E$5),4),$E36),0)</f>
        <v>0</v>
      </c>
      <c r="Z36" s="295">
        <f>IF(Z$6=$C36,IF(INDEX('Surface DEET'!$Q$9:$W$38,COLUMN(Z29)-COLUMN($E$5),4)&gt;0,INDEX('Surface DEET'!$Q$9:$W$38,COLUMN(Z29)-COLUMN($E$5),4),$E36),0)</f>
        <v>0</v>
      </c>
      <c r="AA36" s="295">
        <f>IF(AA$6=$C36,IF(INDEX('Surface DEET'!$Q$9:$W$38,COLUMN(AA29)-COLUMN($E$5),4)&gt;0,INDEX('Surface DEET'!$Q$9:$W$38,COLUMN(AA29)-COLUMN($E$5),4),$E36),0)</f>
        <v>0</v>
      </c>
      <c r="AB36" s="295">
        <f>IF(AB$6=$C36,IF(INDEX('Surface DEET'!$Q$9:$W$38,COLUMN(AB29)-COLUMN($E$5),4)&gt;0,INDEX('Surface DEET'!$Q$9:$W$38,COLUMN(AB29)-COLUMN($E$5),4),$E36),0)</f>
        <v>0</v>
      </c>
      <c r="AC36" s="295">
        <f>IF(AC$6=$C36,IF(INDEX('Surface DEET'!$Q$9:$W$38,COLUMN(AC29)-COLUMN($E$5),4)&gt;0,INDEX('Surface DEET'!$Q$9:$W$38,COLUMN(AC29)-COLUMN($E$5),4),$E36),0)</f>
        <v>0</v>
      </c>
      <c r="AD36" s="295">
        <f>IF(AD$6=$C36,IF(INDEX('Surface DEET'!$Q$9:$W$38,COLUMN(AD29)-COLUMN($E$5),4)&gt;0,INDEX('Surface DEET'!$Q$9:$W$38,COLUMN(AD29)-COLUMN($E$5),4),$E36),0)</f>
        <v>0</v>
      </c>
      <c r="AE36" s="295">
        <f>IF(AE$6=$C36,IF(INDEX('Surface DEET'!$Q$9:$W$38,COLUMN(AE29)-COLUMN($E$5),4)&gt;0,INDEX('Surface DEET'!$Q$9:$W$38,COLUMN(AE29)-COLUMN($E$5),4),$E36),0)</f>
        <v>0</v>
      </c>
      <c r="AF36" s="295">
        <f>IF(AF$6=$C36,IF(INDEX('Surface DEET'!$Q$9:$W$38,COLUMN(AF29)-COLUMN($E$5),4)&gt;0,INDEX('Surface DEET'!$Q$9:$W$38,COLUMN(AF29)-COLUMN($E$5),4),$E36),0)</f>
        <v>0</v>
      </c>
      <c r="AG36" s="295">
        <f>IF(AG$6=$C36,IF(INDEX('Surface DEET'!$Q$9:$W$38,COLUMN(AG29)-COLUMN($E$5),4)&gt;0,INDEX('Surface DEET'!$Q$9:$W$38,COLUMN(AG29)-COLUMN($E$5),4),$E36),0)</f>
        <v>0</v>
      </c>
      <c r="AH36" s="295">
        <f>IF(AH$6=$C36,IF(INDEX('Surface DEET'!$Q$9:$W$38,COLUMN(AH29)-COLUMN($E$5),4)&gt;0,INDEX('Surface DEET'!$Q$9:$W$38,COLUMN(AH29)-COLUMN($E$5),4),$E36),0)</f>
        <v>0</v>
      </c>
      <c r="AI36" s="295">
        <f>IF(AI$6=$C36,IF(INDEX('Surface DEET'!$Q$9:$W$38,COLUMN(AI29)-COLUMN($E$5),4)&gt;0,INDEX('Surface DEET'!$Q$9:$W$38,COLUMN(AI29)-COLUMN($E$5),4),$E36),0)</f>
        <v>0</v>
      </c>
    </row>
    <row r="37" spans="1:35">
      <c r="A37" s="522"/>
      <c r="B37" s="295" t="s">
        <v>552</v>
      </c>
      <c r="C37" s="32" t="s">
        <v>598</v>
      </c>
      <c r="D37" s="344" t="s">
        <v>600</v>
      </c>
      <c r="E37" s="295">
        <v>90</v>
      </c>
      <c r="F37" s="295">
        <f>IF(F$6=$C37,IF(INDEX('Surface DEET'!$Q$9:$W$38,COLUMN(F30)-COLUMN($E$5),7)&gt;0,INDEX('Surface DEET'!$Q$9:$W$38,COLUMN(F30)-COLUMN($E$5),7),$E37),0)</f>
        <v>0</v>
      </c>
      <c r="G37" s="295">
        <f>IF(G$6=$C37,IF(INDEX('Surface DEET'!$Q$9:$W$38,COLUMN(G30)-COLUMN($E$5),7)&gt;0,INDEX('Surface DEET'!$Q$9:$W$38,COLUMN(G30)-COLUMN($E$5),7),$E37),0)</f>
        <v>0</v>
      </c>
      <c r="H37" s="295">
        <f>IF(H$6=$C37,IF(INDEX('Surface DEET'!$Q$9:$W$38,COLUMN(H30)-COLUMN($E$5),7)&gt;0,INDEX('Surface DEET'!$Q$9:$W$38,COLUMN(H30)-COLUMN($E$5),7),$E37),0)</f>
        <v>0</v>
      </c>
      <c r="I37" s="295">
        <f>IF(I$6=$C37,IF(INDEX('Surface DEET'!$Q$9:$W$38,COLUMN(I30)-COLUMN($E$5),7)&gt;0,INDEX('Surface DEET'!$Q$9:$W$38,COLUMN(I30)-COLUMN($E$5),7),$E37),0)</f>
        <v>0</v>
      </c>
      <c r="J37" s="295">
        <f>IF(J$6=$C37,IF(INDEX('Surface DEET'!$Q$9:$W$38,COLUMN(J30)-COLUMN($E$5),7)&gt;0,INDEX('Surface DEET'!$Q$9:$W$38,COLUMN(J30)-COLUMN($E$5),7),$E37),0)</f>
        <v>0</v>
      </c>
      <c r="K37" s="295">
        <f>IF(K$6=$C37,IF(INDEX('Surface DEET'!$Q$9:$W$38,COLUMN(K30)-COLUMN($E$5),7)&gt;0,INDEX('Surface DEET'!$Q$9:$W$38,COLUMN(K30)-COLUMN($E$5),7),$E37),0)</f>
        <v>0</v>
      </c>
      <c r="L37" s="295">
        <f>IF(L$6=$C37,IF(INDEX('Surface DEET'!$Q$9:$W$38,COLUMN(L30)-COLUMN($E$5),7)&gt;0,INDEX('Surface DEET'!$Q$9:$W$38,COLUMN(L30)-COLUMN($E$5),7),$E37),0)</f>
        <v>0</v>
      </c>
      <c r="M37" s="295">
        <f>IF(M$6=$C37,IF(INDEX('Surface DEET'!$Q$9:$W$38,COLUMN(M30)-COLUMN($E$5),7)&gt;0,INDEX('Surface DEET'!$Q$9:$W$38,COLUMN(M30)-COLUMN($E$5),7),$E37),0)</f>
        <v>0</v>
      </c>
      <c r="N37" s="295">
        <f>IF(N$6=$C37,IF(INDEX('Surface DEET'!$Q$9:$W$38,COLUMN(N30)-COLUMN($E$5),7)&gt;0,INDEX('Surface DEET'!$Q$9:$W$38,COLUMN(N30)-COLUMN($E$5),7),$E37),0)</f>
        <v>0</v>
      </c>
      <c r="O37" s="295">
        <f>IF(O$6=$C37,IF(INDEX('Surface DEET'!$Q$9:$W$38,COLUMN(O30)-COLUMN($E$5),7)&gt;0,INDEX('Surface DEET'!$Q$9:$W$38,COLUMN(O30)-COLUMN($E$5),7),$E37),0)</f>
        <v>0</v>
      </c>
      <c r="P37" s="295">
        <f>IF(P$6=$C37,IF(INDEX('Surface DEET'!$Q$9:$W$38,COLUMN(P30)-COLUMN($E$5),7)&gt;0,INDEX('Surface DEET'!$Q$9:$W$38,COLUMN(P30)-COLUMN($E$5),7),$E37),0)</f>
        <v>0</v>
      </c>
      <c r="Q37" s="295">
        <f>IF(Q$6=$C37,IF(INDEX('Surface DEET'!$Q$9:$W$38,COLUMN(Q30)-COLUMN($E$5),7)&gt;0,INDEX('Surface DEET'!$Q$9:$W$38,COLUMN(Q30)-COLUMN($E$5),7),$E37),0)</f>
        <v>0</v>
      </c>
      <c r="R37" s="295">
        <f>IF(R$6=$C37,IF(INDEX('Surface DEET'!$Q$9:$W$38,COLUMN(R30)-COLUMN($E$5),7)&gt;0,INDEX('Surface DEET'!$Q$9:$W$38,COLUMN(R30)-COLUMN($E$5),7),$E37),0)</f>
        <v>0</v>
      </c>
      <c r="S37" s="295">
        <f>IF(S$6=$C37,IF(INDEX('Surface DEET'!$Q$9:$W$38,COLUMN(S30)-COLUMN($E$5),7)&gt;0,INDEX('Surface DEET'!$Q$9:$W$38,COLUMN(S30)-COLUMN($E$5),7),$E37),0)</f>
        <v>0</v>
      </c>
      <c r="T37" s="295">
        <f>IF(T$6=$C37,IF(INDEX('Surface DEET'!$Q$9:$W$38,COLUMN(T30)-COLUMN($E$5),7)&gt;0,INDEX('Surface DEET'!$Q$9:$W$38,COLUMN(T30)-COLUMN($E$5),7),$E37),0)</f>
        <v>0</v>
      </c>
      <c r="U37" s="295">
        <f>IF(U$6=$C37,IF(INDEX('Surface DEET'!$Q$9:$W$38,COLUMN(U30)-COLUMN($E$5),7)&gt;0,INDEX('Surface DEET'!$Q$9:$W$38,COLUMN(U30)-COLUMN($E$5),7),$E37),0)</f>
        <v>0</v>
      </c>
      <c r="V37" s="295">
        <f>IF(V$6=$C37,IF(INDEX('Surface DEET'!$Q$9:$W$38,COLUMN(V30)-COLUMN($E$5),7)&gt;0,INDEX('Surface DEET'!$Q$9:$W$38,COLUMN(V30)-COLUMN($E$5),7),$E37),0)</f>
        <v>0</v>
      </c>
      <c r="W37" s="295">
        <f>IF(W$6=$C37,IF(INDEX('Surface DEET'!$Q$9:$W$38,COLUMN(W30)-COLUMN($E$5),7)&gt;0,INDEX('Surface DEET'!$Q$9:$W$38,COLUMN(W30)-COLUMN($E$5),7),$E37),0)</f>
        <v>0</v>
      </c>
      <c r="X37" s="295">
        <f>IF(X$6=$C37,IF(INDEX('Surface DEET'!$Q$9:$W$38,COLUMN(X30)-COLUMN($E$5),7)&gt;0,INDEX('Surface DEET'!$Q$9:$W$38,COLUMN(X30)-COLUMN($E$5),7),$E37),0)</f>
        <v>0</v>
      </c>
      <c r="Y37" s="295">
        <f>IF(Y$6=$C37,IF(INDEX('Surface DEET'!$Q$9:$W$38,COLUMN(Y30)-COLUMN($E$5),7)&gt;0,INDEX('Surface DEET'!$Q$9:$W$38,COLUMN(Y30)-COLUMN($E$5),7),$E37),0)</f>
        <v>0</v>
      </c>
      <c r="Z37" s="295">
        <f>IF(Z$6=$C37,IF(INDEX('Surface DEET'!$Q$9:$W$38,COLUMN(Z30)-COLUMN($E$5),7)&gt;0,INDEX('Surface DEET'!$Q$9:$W$38,COLUMN(Z30)-COLUMN($E$5),7),$E37),0)</f>
        <v>0</v>
      </c>
      <c r="AA37" s="295">
        <f>IF(AA$6=$C37,IF(INDEX('Surface DEET'!$Q$9:$W$38,COLUMN(AA30)-COLUMN($E$5),7)&gt;0,INDEX('Surface DEET'!$Q$9:$W$38,COLUMN(AA30)-COLUMN($E$5),7),$E37),0)</f>
        <v>0</v>
      </c>
      <c r="AB37" s="295">
        <f>IF(AB$6=$C37,IF(INDEX('Surface DEET'!$Q$9:$W$38,COLUMN(AB30)-COLUMN($E$5),7)&gt;0,INDEX('Surface DEET'!$Q$9:$W$38,COLUMN(AB30)-COLUMN($E$5),7),$E37),0)</f>
        <v>0</v>
      </c>
      <c r="AC37" s="295">
        <f>IF(AC$6=$C37,IF(INDEX('Surface DEET'!$Q$9:$W$38,COLUMN(AC30)-COLUMN($E$5),7)&gt;0,INDEX('Surface DEET'!$Q$9:$W$38,COLUMN(AC30)-COLUMN($E$5),7),$E37),0)</f>
        <v>0</v>
      </c>
      <c r="AD37" s="295">
        <f>IF(AD$6=$C37,IF(INDEX('Surface DEET'!$Q$9:$W$38,COLUMN(AD30)-COLUMN($E$5),7)&gt;0,INDEX('Surface DEET'!$Q$9:$W$38,COLUMN(AD30)-COLUMN($E$5),7),$E37),0)</f>
        <v>0</v>
      </c>
      <c r="AE37" s="295">
        <f>IF(AE$6=$C37,IF(INDEX('Surface DEET'!$Q$9:$W$38,COLUMN(AE30)-COLUMN($E$5),7)&gt;0,INDEX('Surface DEET'!$Q$9:$W$38,COLUMN(AE30)-COLUMN($E$5),7),$E37),0)</f>
        <v>0</v>
      </c>
      <c r="AF37" s="295">
        <f>IF(AF$6=$C37,IF(INDEX('Surface DEET'!$Q$9:$W$38,COLUMN(AF30)-COLUMN($E$5),7)&gt;0,INDEX('Surface DEET'!$Q$9:$W$38,COLUMN(AF30)-COLUMN($E$5),7),$E37),0)</f>
        <v>0</v>
      </c>
      <c r="AG37" s="295">
        <f>IF(AG$6=$C37,IF(INDEX('Surface DEET'!$Q$9:$W$38,COLUMN(AG30)-COLUMN($E$5),7)&gt;0,INDEX('Surface DEET'!$Q$9:$W$38,COLUMN(AG30)-COLUMN($E$5),7),$E37),0)</f>
        <v>0</v>
      </c>
      <c r="AH37" s="295">
        <f>IF(AH$6=$C37,IF(INDEX('Surface DEET'!$Q$9:$W$38,COLUMN(AH30)-COLUMN($E$5),7)&gt;0,INDEX('Surface DEET'!$Q$9:$W$38,COLUMN(AH30)-COLUMN($E$5),7),$E37),0)</f>
        <v>0</v>
      </c>
      <c r="AI37" s="295">
        <f>IF(AI$6=$C37,IF(INDEX('Surface DEET'!$Q$9:$W$38,COLUMN(AI30)-COLUMN($E$5),7)&gt;0,INDEX('Surface DEET'!$Q$9:$W$38,COLUMN(AI30)-COLUMN($E$5),7),$E37),0)</f>
        <v>0</v>
      </c>
    </row>
    <row r="38" spans="1:35">
      <c r="A38" s="522"/>
      <c r="B38" s="295" t="s">
        <v>542</v>
      </c>
      <c r="C38" s="32" t="s">
        <v>598</v>
      </c>
      <c r="D38" s="295" t="s">
        <v>542</v>
      </c>
      <c r="F38" s="295">
        <f>IFERROR($E$32*(F35/$E$35)*($E$34*(F37/$E$37)*($E$36/F36)+(1-$E$34))+0.28*$E$31*(F35-$E$35)/$E$35,0)</f>
        <v>0</v>
      </c>
      <c r="G38" s="295">
        <f t="shared" ref="G38:AI38" si="3">IFERROR($E$32*(G35/$E$35)*($E$34*(G37/$E$37)*($E$36/G36)+(1-$E$34))+0.28*$E$31*(G35-$E$35)/$E$35,0)</f>
        <v>0</v>
      </c>
      <c r="H38" s="295">
        <f t="shared" si="3"/>
        <v>0</v>
      </c>
      <c r="I38" s="295">
        <f t="shared" si="3"/>
        <v>0</v>
      </c>
      <c r="J38" s="295">
        <f t="shared" si="3"/>
        <v>0</v>
      </c>
      <c r="K38" s="295">
        <f t="shared" si="3"/>
        <v>0</v>
      </c>
      <c r="L38" s="295">
        <f t="shared" si="3"/>
        <v>0</v>
      </c>
      <c r="M38" s="295">
        <f t="shared" si="3"/>
        <v>0</v>
      </c>
      <c r="N38" s="295">
        <f t="shared" si="3"/>
        <v>0</v>
      </c>
      <c r="O38" s="295">
        <f t="shared" si="3"/>
        <v>0</v>
      </c>
      <c r="P38" s="295">
        <f t="shared" si="3"/>
        <v>0</v>
      </c>
      <c r="Q38" s="295">
        <f t="shared" si="3"/>
        <v>0</v>
      </c>
      <c r="R38" s="295">
        <f t="shared" si="3"/>
        <v>0</v>
      </c>
      <c r="S38" s="295">
        <f t="shared" si="3"/>
        <v>0</v>
      </c>
      <c r="T38" s="295">
        <f t="shared" si="3"/>
        <v>0</v>
      </c>
      <c r="U38" s="295">
        <f t="shared" si="3"/>
        <v>0</v>
      </c>
      <c r="V38" s="295">
        <f t="shared" si="3"/>
        <v>0</v>
      </c>
      <c r="W38" s="295">
        <f t="shared" si="3"/>
        <v>0</v>
      </c>
      <c r="X38" s="295">
        <f t="shared" si="3"/>
        <v>0</v>
      </c>
      <c r="Y38" s="295">
        <f t="shared" si="3"/>
        <v>0</v>
      </c>
      <c r="Z38" s="295">
        <f t="shared" si="3"/>
        <v>0</v>
      </c>
      <c r="AA38" s="295">
        <f t="shared" si="3"/>
        <v>0</v>
      </c>
      <c r="AB38" s="295">
        <f t="shared" si="3"/>
        <v>0</v>
      </c>
      <c r="AC38" s="295">
        <f t="shared" si="3"/>
        <v>0</v>
      </c>
      <c r="AD38" s="295">
        <f t="shared" si="3"/>
        <v>0</v>
      </c>
      <c r="AE38" s="295">
        <f t="shared" si="3"/>
        <v>0</v>
      </c>
      <c r="AF38" s="295">
        <f t="shared" si="3"/>
        <v>0</v>
      </c>
      <c r="AG38" s="295">
        <f t="shared" si="3"/>
        <v>0</v>
      </c>
      <c r="AH38" s="295">
        <f t="shared" si="3"/>
        <v>0</v>
      </c>
      <c r="AI38" s="295">
        <f t="shared" si="3"/>
        <v>0</v>
      </c>
    </row>
    <row r="39" spans="1:35">
      <c r="A39" s="522" t="s">
        <v>601</v>
      </c>
      <c r="B39" s="93" t="s">
        <v>301</v>
      </c>
      <c r="C39" s="32" t="s">
        <v>601</v>
      </c>
      <c r="D39" s="93" t="s">
        <v>301</v>
      </c>
      <c r="E39" s="295">
        <f t="array" ref="E39">INDEX(CABS_CVC!$C$3:$O$894,MATCH(1, (CABS_CVC!$A$3:$A$894=Calculs_CABS!C39)*(CABS_CVC!$B$3:$B$894=Calculs_CABS!$D$2),0),MATCH(Calculs_CABS!$D$1,Liste_CABS!$B$3:$B$15,0))</f>
        <v>62</v>
      </c>
    </row>
    <row r="40" spans="1:35">
      <c r="A40" s="522"/>
      <c r="B40" s="295" t="s">
        <v>543</v>
      </c>
      <c r="C40" s="32" t="s">
        <v>601</v>
      </c>
      <c r="D40" s="295" t="s">
        <v>543</v>
      </c>
      <c r="E40" s="295">
        <v>84</v>
      </c>
    </row>
    <row r="41" spans="1:35">
      <c r="A41" s="522"/>
      <c r="B41" s="295" t="s">
        <v>544</v>
      </c>
      <c r="C41" s="32" t="s">
        <v>601</v>
      </c>
      <c r="D41" s="295" t="s">
        <v>544</v>
      </c>
      <c r="E41" s="295">
        <f>E39+E40</f>
        <v>146</v>
      </c>
    </row>
    <row r="42" spans="1:35">
      <c r="A42" s="522"/>
      <c r="B42" s="295" t="s">
        <v>545</v>
      </c>
      <c r="C42" s="32" t="s">
        <v>601</v>
      </c>
      <c r="D42" s="295" t="s">
        <v>545</v>
      </c>
      <c r="E42" s="295">
        <v>0.67</v>
      </c>
    </row>
    <row r="43" spans="1:35">
      <c r="A43" s="522"/>
      <c r="B43" s="295" t="s">
        <v>546</v>
      </c>
      <c r="C43" s="32" t="s">
        <v>601</v>
      </c>
      <c r="D43" s="343" t="s">
        <v>592</v>
      </c>
      <c r="E43" s="295">
        <v>8760</v>
      </c>
      <c r="F43" s="295">
        <f>IF(F$6=$C43,IF(INDEX('Surface DEET'!$Q$9:$W$38,COLUMN(F36)-COLUMN($E$5),1)&gt;0,INDEX('Surface DEET'!$Q$9:$W$38,COLUMN(F36)-COLUMN($E$5),1),$E43),0)</f>
        <v>0</v>
      </c>
      <c r="G43" s="295">
        <f>IF(G$6=$C43,IF(INDEX('Surface DEET'!$Q$9:$W$38,COLUMN(G36)-COLUMN($E$5),1)&gt;0,INDEX('Surface DEET'!$Q$9:$W$38,COLUMN(G36)-COLUMN($E$5),1),$E43),0)</f>
        <v>0</v>
      </c>
      <c r="H43" s="295">
        <f>IF(H$6=$C43,IF(INDEX('Surface DEET'!$Q$9:$W$38,COLUMN(H36)-COLUMN($E$5),1)&gt;0,INDEX('Surface DEET'!$Q$9:$W$38,COLUMN(H36)-COLUMN($E$5),1),$E43),0)</f>
        <v>0</v>
      </c>
      <c r="I43" s="295">
        <f>IF(I$6=$C43,IF(INDEX('Surface DEET'!$Q$9:$W$38,COLUMN(I36)-COLUMN($E$5),1)&gt;0,INDEX('Surface DEET'!$Q$9:$W$38,COLUMN(I36)-COLUMN($E$5),1),$E43),0)</f>
        <v>0</v>
      </c>
      <c r="J43" s="295">
        <f>IF(J$6=$C43,IF(INDEX('Surface DEET'!$Q$9:$W$38,COLUMN(J36)-COLUMN($E$5),1)&gt;0,INDEX('Surface DEET'!$Q$9:$W$38,COLUMN(J36)-COLUMN($E$5),1),$E43),0)</f>
        <v>0</v>
      </c>
      <c r="K43" s="295">
        <f>IF(K$6=$C43,IF(INDEX('Surface DEET'!$Q$9:$W$38,COLUMN(K36)-COLUMN($E$5),1)&gt;0,INDEX('Surface DEET'!$Q$9:$W$38,COLUMN(K36)-COLUMN($E$5),1),$E43),0)</f>
        <v>0</v>
      </c>
      <c r="L43" s="295">
        <f>IF(L$6=$C43,IF(INDEX('Surface DEET'!$Q$9:$W$38,COLUMN(L36)-COLUMN($E$5),1)&gt;0,INDEX('Surface DEET'!$Q$9:$W$38,COLUMN(L36)-COLUMN($E$5),1),$E43),0)</f>
        <v>0</v>
      </c>
      <c r="M43" s="295">
        <f>IF(M$6=$C43,IF(INDEX('Surface DEET'!$Q$9:$W$38,COLUMN(M36)-COLUMN($E$5),1)&gt;0,INDEX('Surface DEET'!$Q$9:$W$38,COLUMN(M36)-COLUMN($E$5),1),$E43),0)</f>
        <v>0</v>
      </c>
      <c r="N43" s="295">
        <f>IF(N$6=$C43,IF(INDEX('Surface DEET'!$Q$9:$W$38,COLUMN(N36)-COLUMN($E$5),1)&gt;0,INDEX('Surface DEET'!$Q$9:$W$38,COLUMN(N36)-COLUMN($E$5),1),$E43),0)</f>
        <v>0</v>
      </c>
      <c r="O43" s="295">
        <f>IF(O$6=$C43,IF(INDEX('Surface DEET'!$Q$9:$W$38,COLUMN(O36)-COLUMN($E$5),1)&gt;0,INDEX('Surface DEET'!$Q$9:$W$38,COLUMN(O36)-COLUMN($E$5),1),$E43),0)</f>
        <v>0</v>
      </c>
      <c r="P43" s="295">
        <f>IF(P$6=$C43,IF(INDEX('Surface DEET'!$Q$9:$W$38,COLUMN(P36)-COLUMN($E$5),1)&gt;0,INDEX('Surface DEET'!$Q$9:$W$38,COLUMN(P36)-COLUMN($E$5),1),$E43),0)</f>
        <v>0</v>
      </c>
      <c r="Q43" s="295">
        <f>IF(Q$6=$C43,IF(INDEX('Surface DEET'!$Q$9:$W$38,COLUMN(Q36)-COLUMN($E$5),1)&gt;0,INDEX('Surface DEET'!$Q$9:$W$38,COLUMN(Q36)-COLUMN($E$5),1),$E43),0)</f>
        <v>0</v>
      </c>
      <c r="R43" s="295">
        <f>IF(R$6=$C43,IF(INDEX('Surface DEET'!$Q$9:$W$38,COLUMN(R36)-COLUMN($E$5),1)&gt;0,INDEX('Surface DEET'!$Q$9:$W$38,COLUMN(R36)-COLUMN($E$5),1),$E43),0)</f>
        <v>0</v>
      </c>
      <c r="S43" s="295">
        <f>IF(S$6=$C43,IF(INDEX('Surface DEET'!$Q$9:$W$38,COLUMN(S36)-COLUMN($E$5),1)&gt;0,INDEX('Surface DEET'!$Q$9:$W$38,COLUMN(S36)-COLUMN($E$5),1),$E43),0)</f>
        <v>0</v>
      </c>
      <c r="T43" s="295">
        <f>IF(T$6=$C43,IF(INDEX('Surface DEET'!$Q$9:$W$38,COLUMN(T36)-COLUMN($E$5),1)&gt;0,INDEX('Surface DEET'!$Q$9:$W$38,COLUMN(T36)-COLUMN($E$5),1),$E43),0)</f>
        <v>0</v>
      </c>
      <c r="U43" s="295">
        <f>IF(U$6=$C43,IF(INDEX('Surface DEET'!$Q$9:$W$38,COLUMN(U36)-COLUMN($E$5),1)&gt;0,INDEX('Surface DEET'!$Q$9:$W$38,COLUMN(U36)-COLUMN($E$5),1),$E43),0)</f>
        <v>0</v>
      </c>
      <c r="V43" s="295">
        <f>IF(V$6=$C43,IF(INDEX('Surface DEET'!$Q$9:$W$38,COLUMN(V36)-COLUMN($E$5),1)&gt;0,INDEX('Surface DEET'!$Q$9:$W$38,COLUMN(V36)-COLUMN($E$5),1),$E43),0)</f>
        <v>0</v>
      </c>
      <c r="W43" s="295">
        <f>IF(W$6=$C43,IF(INDEX('Surface DEET'!$Q$9:$W$38,COLUMN(W36)-COLUMN($E$5),1)&gt;0,INDEX('Surface DEET'!$Q$9:$W$38,COLUMN(W36)-COLUMN($E$5),1),$E43),0)</f>
        <v>0</v>
      </c>
      <c r="X43" s="295">
        <f>IF(X$6=$C43,IF(INDEX('Surface DEET'!$Q$9:$W$38,COLUMN(X36)-COLUMN($E$5),1)&gt;0,INDEX('Surface DEET'!$Q$9:$W$38,COLUMN(X36)-COLUMN($E$5),1),$E43),0)</f>
        <v>0</v>
      </c>
      <c r="Y43" s="295">
        <f>IF(Y$6=$C43,IF(INDEX('Surface DEET'!$Q$9:$W$38,COLUMN(Y36)-COLUMN($E$5),1)&gt;0,INDEX('Surface DEET'!$Q$9:$W$38,COLUMN(Y36)-COLUMN($E$5),1),$E43),0)</f>
        <v>0</v>
      </c>
      <c r="Z43" s="295">
        <f>IF(Z$6=$C43,IF(INDEX('Surface DEET'!$Q$9:$W$38,COLUMN(Z36)-COLUMN($E$5),1)&gt;0,INDEX('Surface DEET'!$Q$9:$W$38,COLUMN(Z36)-COLUMN($E$5),1),$E43),0)</f>
        <v>0</v>
      </c>
      <c r="AA43" s="295">
        <f>IF(AA$6=$C43,IF(INDEX('Surface DEET'!$Q$9:$W$38,COLUMN(AA36)-COLUMN($E$5),1)&gt;0,INDEX('Surface DEET'!$Q$9:$W$38,COLUMN(AA36)-COLUMN($E$5),1),$E43),0)</f>
        <v>0</v>
      </c>
      <c r="AB43" s="295">
        <f>IF(AB$6=$C43,IF(INDEX('Surface DEET'!$Q$9:$W$38,COLUMN(AB36)-COLUMN($E$5),1)&gt;0,INDEX('Surface DEET'!$Q$9:$W$38,COLUMN(AB36)-COLUMN($E$5),1),$E43),0)</f>
        <v>0</v>
      </c>
      <c r="AC43" s="295">
        <f>IF(AC$6=$C43,IF(INDEX('Surface DEET'!$Q$9:$W$38,COLUMN(AC36)-COLUMN($E$5),1)&gt;0,INDEX('Surface DEET'!$Q$9:$W$38,COLUMN(AC36)-COLUMN($E$5),1),$E43),0)</f>
        <v>0</v>
      </c>
      <c r="AD43" s="295">
        <f>IF(AD$6=$C43,IF(INDEX('Surface DEET'!$Q$9:$W$38,COLUMN(AD36)-COLUMN($E$5),1)&gt;0,INDEX('Surface DEET'!$Q$9:$W$38,COLUMN(AD36)-COLUMN($E$5),1),$E43),0)</f>
        <v>0</v>
      </c>
      <c r="AE43" s="295">
        <f>IF(AE$6=$C43,IF(INDEX('Surface DEET'!$Q$9:$W$38,COLUMN(AE36)-COLUMN($E$5),1)&gt;0,INDEX('Surface DEET'!$Q$9:$W$38,COLUMN(AE36)-COLUMN($E$5),1),$E43),0)</f>
        <v>0</v>
      </c>
      <c r="AF43" s="295">
        <f>IF(AF$6=$C43,IF(INDEX('Surface DEET'!$Q$9:$W$38,COLUMN(AF36)-COLUMN($E$5),1)&gt;0,INDEX('Surface DEET'!$Q$9:$W$38,COLUMN(AF36)-COLUMN($E$5),1),$E43),0)</f>
        <v>0</v>
      </c>
      <c r="AG43" s="295">
        <f>IF(AG$6=$C43,IF(INDEX('Surface DEET'!$Q$9:$W$38,COLUMN(AG36)-COLUMN($E$5),1)&gt;0,INDEX('Surface DEET'!$Q$9:$W$38,COLUMN(AG36)-COLUMN($E$5),1),$E43),0)</f>
        <v>0</v>
      </c>
      <c r="AH43" s="295">
        <f>IF(AH$6=$C43,IF(INDEX('Surface DEET'!$Q$9:$W$38,COLUMN(AH36)-COLUMN($E$5),1)&gt;0,INDEX('Surface DEET'!$Q$9:$W$38,COLUMN(AH36)-COLUMN($E$5),1),$E43),0)</f>
        <v>0</v>
      </c>
      <c r="AI43" s="295">
        <f>IF(AI$6=$C43,IF(INDEX('Surface DEET'!$Q$9:$W$38,COLUMN(AI36)-COLUMN($E$5),1)&gt;0,INDEX('Surface DEET'!$Q$9:$W$38,COLUMN(AI36)-COLUMN($E$5),1),$E43),0)</f>
        <v>0</v>
      </c>
    </row>
    <row r="44" spans="1:35">
      <c r="A44" s="522"/>
      <c r="B44" s="295" t="s">
        <v>549</v>
      </c>
      <c r="C44" s="32" t="s">
        <v>601</v>
      </c>
      <c r="D44" s="343" t="s">
        <v>599</v>
      </c>
      <c r="E44" s="295">
        <v>23</v>
      </c>
      <c r="F44" s="295">
        <f>IF(F$6=$C44,IF(INDEX('Surface DEET'!$Q$9:$W$38,COLUMN(F37)-COLUMN($E$5),4)&gt;0,INDEX('Surface DEET'!$Q$9:$W$38,COLUMN(F37)-COLUMN($E$5),4),$E44),0)</f>
        <v>0</v>
      </c>
      <c r="G44" s="295">
        <f>IF(G$6=$C44,IF(INDEX('Surface DEET'!$Q$9:$W$38,COLUMN(G37)-COLUMN($E$5),4)&gt;0,INDEX('Surface DEET'!$Q$9:$W$38,COLUMN(G37)-COLUMN($E$5),4),$E44),0)</f>
        <v>0</v>
      </c>
      <c r="H44" s="295">
        <f>IF(H$6=$C44,IF(INDEX('Surface DEET'!$Q$9:$W$38,COLUMN(H37)-COLUMN($E$5),4)&gt;0,INDEX('Surface DEET'!$Q$9:$W$38,COLUMN(H37)-COLUMN($E$5),4),$E44),0)</f>
        <v>0</v>
      </c>
      <c r="I44" s="295">
        <f>IF(I$6=$C44,IF(INDEX('Surface DEET'!$Q$9:$W$38,COLUMN(I37)-COLUMN($E$5),4)&gt;0,INDEX('Surface DEET'!$Q$9:$W$38,COLUMN(I37)-COLUMN($E$5),4),$E44),0)</f>
        <v>0</v>
      </c>
      <c r="J44" s="295">
        <f>IF(J$6=$C44,IF(INDEX('Surface DEET'!$Q$9:$W$38,COLUMN(J37)-COLUMN($E$5),4)&gt;0,INDEX('Surface DEET'!$Q$9:$W$38,COLUMN(J37)-COLUMN($E$5),4),$E44),0)</f>
        <v>0</v>
      </c>
      <c r="K44" s="295">
        <f>IF(K$6=$C44,IF(INDEX('Surface DEET'!$Q$9:$W$38,COLUMN(K37)-COLUMN($E$5),4)&gt;0,INDEX('Surface DEET'!$Q$9:$W$38,COLUMN(K37)-COLUMN($E$5),4),$E44),0)</f>
        <v>0</v>
      </c>
      <c r="L44" s="295">
        <f>IF(L$6=$C44,IF(INDEX('Surface DEET'!$Q$9:$W$38,COLUMN(L37)-COLUMN($E$5),4)&gt;0,INDEX('Surface DEET'!$Q$9:$W$38,COLUMN(L37)-COLUMN($E$5),4),$E44),0)</f>
        <v>0</v>
      </c>
      <c r="M44" s="295">
        <f>IF(M$6=$C44,IF(INDEX('Surface DEET'!$Q$9:$W$38,COLUMN(M37)-COLUMN($E$5),4)&gt;0,INDEX('Surface DEET'!$Q$9:$W$38,COLUMN(M37)-COLUMN($E$5),4),$E44),0)</f>
        <v>0</v>
      </c>
      <c r="N44" s="295">
        <f>IF(N$6=$C44,IF(INDEX('Surface DEET'!$Q$9:$W$38,COLUMN(N37)-COLUMN($E$5),4)&gt;0,INDEX('Surface DEET'!$Q$9:$W$38,COLUMN(N37)-COLUMN($E$5),4),$E44),0)</f>
        <v>0</v>
      </c>
      <c r="O44" s="295">
        <f>IF(O$6=$C44,IF(INDEX('Surface DEET'!$Q$9:$W$38,COLUMN(O37)-COLUMN($E$5),4)&gt;0,INDEX('Surface DEET'!$Q$9:$W$38,COLUMN(O37)-COLUMN($E$5),4),$E44),0)</f>
        <v>0</v>
      </c>
      <c r="P44" s="295">
        <f>IF(P$6=$C44,IF(INDEX('Surface DEET'!$Q$9:$W$38,COLUMN(P37)-COLUMN($E$5),4)&gt;0,INDEX('Surface DEET'!$Q$9:$W$38,COLUMN(P37)-COLUMN($E$5),4),$E44),0)</f>
        <v>0</v>
      </c>
      <c r="Q44" s="295">
        <f>IF(Q$6=$C44,IF(INDEX('Surface DEET'!$Q$9:$W$38,COLUMN(Q37)-COLUMN($E$5),4)&gt;0,INDEX('Surface DEET'!$Q$9:$W$38,COLUMN(Q37)-COLUMN($E$5),4),$E44),0)</f>
        <v>0</v>
      </c>
      <c r="R44" s="295">
        <f>IF(R$6=$C44,IF(INDEX('Surface DEET'!$Q$9:$W$38,COLUMN(R37)-COLUMN($E$5),4)&gt;0,INDEX('Surface DEET'!$Q$9:$W$38,COLUMN(R37)-COLUMN($E$5),4),$E44),0)</f>
        <v>0</v>
      </c>
      <c r="S44" s="295">
        <f>IF(S$6=$C44,IF(INDEX('Surface DEET'!$Q$9:$W$38,COLUMN(S37)-COLUMN($E$5),4)&gt;0,INDEX('Surface DEET'!$Q$9:$W$38,COLUMN(S37)-COLUMN($E$5),4),$E44),0)</f>
        <v>0</v>
      </c>
      <c r="T44" s="295">
        <f>IF(T$6=$C44,IF(INDEX('Surface DEET'!$Q$9:$W$38,COLUMN(T37)-COLUMN($E$5),4)&gt;0,INDEX('Surface DEET'!$Q$9:$W$38,COLUMN(T37)-COLUMN($E$5),4),$E44),0)</f>
        <v>0</v>
      </c>
      <c r="U44" s="295">
        <f>IF(U$6=$C44,IF(INDEX('Surface DEET'!$Q$9:$W$38,COLUMN(U37)-COLUMN($E$5),4)&gt;0,INDEX('Surface DEET'!$Q$9:$W$38,COLUMN(U37)-COLUMN($E$5),4),$E44),0)</f>
        <v>0</v>
      </c>
      <c r="V44" s="295">
        <f>IF(V$6=$C44,IF(INDEX('Surface DEET'!$Q$9:$W$38,COLUMN(V37)-COLUMN($E$5),4)&gt;0,INDEX('Surface DEET'!$Q$9:$W$38,COLUMN(V37)-COLUMN($E$5),4),$E44),0)</f>
        <v>0</v>
      </c>
      <c r="W44" s="295">
        <f>IF(W$6=$C44,IF(INDEX('Surface DEET'!$Q$9:$W$38,COLUMN(W37)-COLUMN($E$5),4)&gt;0,INDEX('Surface DEET'!$Q$9:$W$38,COLUMN(W37)-COLUMN($E$5),4),$E44),0)</f>
        <v>0</v>
      </c>
      <c r="X44" s="295">
        <f>IF(X$6=$C44,IF(INDEX('Surface DEET'!$Q$9:$W$38,COLUMN(X37)-COLUMN($E$5),4)&gt;0,INDEX('Surface DEET'!$Q$9:$W$38,COLUMN(X37)-COLUMN($E$5),4),$E44),0)</f>
        <v>0</v>
      </c>
      <c r="Y44" s="295">
        <f>IF(Y$6=$C44,IF(INDEX('Surface DEET'!$Q$9:$W$38,COLUMN(Y37)-COLUMN($E$5),4)&gt;0,INDEX('Surface DEET'!$Q$9:$W$38,COLUMN(Y37)-COLUMN($E$5),4),$E44),0)</f>
        <v>0</v>
      </c>
      <c r="Z44" s="295">
        <f>IF(Z$6=$C44,IF(INDEX('Surface DEET'!$Q$9:$W$38,COLUMN(Z37)-COLUMN($E$5),4)&gt;0,INDEX('Surface DEET'!$Q$9:$W$38,COLUMN(Z37)-COLUMN($E$5),4),$E44),0)</f>
        <v>0</v>
      </c>
      <c r="AA44" s="295">
        <f>IF(AA$6=$C44,IF(INDEX('Surface DEET'!$Q$9:$W$38,COLUMN(AA37)-COLUMN($E$5),4)&gt;0,INDEX('Surface DEET'!$Q$9:$W$38,COLUMN(AA37)-COLUMN($E$5),4),$E44),0)</f>
        <v>0</v>
      </c>
      <c r="AB44" s="295">
        <f>IF(AB$6=$C44,IF(INDEX('Surface DEET'!$Q$9:$W$38,COLUMN(AB37)-COLUMN($E$5),4)&gt;0,INDEX('Surface DEET'!$Q$9:$W$38,COLUMN(AB37)-COLUMN($E$5),4),$E44),0)</f>
        <v>0</v>
      </c>
      <c r="AC44" s="295">
        <f>IF(AC$6=$C44,IF(INDEX('Surface DEET'!$Q$9:$W$38,COLUMN(AC37)-COLUMN($E$5),4)&gt;0,INDEX('Surface DEET'!$Q$9:$W$38,COLUMN(AC37)-COLUMN($E$5),4),$E44),0)</f>
        <v>0</v>
      </c>
      <c r="AD44" s="295">
        <f>IF(AD$6=$C44,IF(INDEX('Surface DEET'!$Q$9:$W$38,COLUMN(AD37)-COLUMN($E$5),4)&gt;0,INDEX('Surface DEET'!$Q$9:$W$38,COLUMN(AD37)-COLUMN($E$5),4),$E44),0)</f>
        <v>0</v>
      </c>
      <c r="AE44" s="295">
        <f>IF(AE$6=$C44,IF(INDEX('Surface DEET'!$Q$9:$W$38,COLUMN(AE37)-COLUMN($E$5),4)&gt;0,INDEX('Surface DEET'!$Q$9:$W$38,COLUMN(AE37)-COLUMN($E$5),4),$E44),0)</f>
        <v>0</v>
      </c>
      <c r="AF44" s="295">
        <f>IF(AF$6=$C44,IF(INDEX('Surface DEET'!$Q$9:$W$38,COLUMN(AF37)-COLUMN($E$5),4)&gt;0,INDEX('Surface DEET'!$Q$9:$W$38,COLUMN(AF37)-COLUMN($E$5),4),$E44),0)</f>
        <v>0</v>
      </c>
      <c r="AG44" s="295">
        <f>IF(AG$6=$C44,IF(INDEX('Surface DEET'!$Q$9:$W$38,COLUMN(AG37)-COLUMN($E$5),4)&gt;0,INDEX('Surface DEET'!$Q$9:$W$38,COLUMN(AG37)-COLUMN($E$5),4),$E44),0)</f>
        <v>0</v>
      </c>
      <c r="AH44" s="295">
        <f>IF(AH$6=$C44,IF(INDEX('Surface DEET'!$Q$9:$W$38,COLUMN(AH37)-COLUMN($E$5),4)&gt;0,INDEX('Surface DEET'!$Q$9:$W$38,COLUMN(AH37)-COLUMN($E$5),4),$E44),0)</f>
        <v>0</v>
      </c>
      <c r="AI44" s="295">
        <f>IF(AI$6=$C44,IF(INDEX('Surface DEET'!$Q$9:$W$38,COLUMN(AI37)-COLUMN($E$5),4)&gt;0,INDEX('Surface DEET'!$Q$9:$W$38,COLUMN(AI37)-COLUMN($E$5),4),$E44),0)</f>
        <v>0</v>
      </c>
    </row>
    <row r="45" spans="1:35">
      <c r="A45" s="522"/>
      <c r="B45" s="295" t="s">
        <v>552</v>
      </c>
      <c r="C45" s="32" t="s">
        <v>601</v>
      </c>
      <c r="D45" s="344"/>
    </row>
    <row r="46" spans="1:35">
      <c r="A46" s="522"/>
      <c r="B46" s="295" t="s">
        <v>542</v>
      </c>
      <c r="C46" s="32" t="s">
        <v>601</v>
      </c>
      <c r="D46" s="295" t="s">
        <v>542</v>
      </c>
      <c r="F46" s="295">
        <f>IFERROR($E$40*(F43/$E$43)*(($E$42*($E$44/F44))+(1-$E$42))+0.28*$E$39*(F43-$E$43)/$E$43,0)</f>
        <v>0</v>
      </c>
      <c r="G46" s="295">
        <f t="shared" ref="G46:AI46" si="4">IFERROR($E$40*(G44/$E$43)*(($E$42*($E$44/G45))+(1-$E$42))+0.28*$E$39*(G44-$E$43)/$E$43,0)</f>
        <v>0</v>
      </c>
      <c r="H46" s="295">
        <f t="shared" si="4"/>
        <v>0</v>
      </c>
      <c r="I46" s="295">
        <f t="shared" si="4"/>
        <v>0</v>
      </c>
      <c r="J46" s="295">
        <f t="shared" si="4"/>
        <v>0</v>
      </c>
      <c r="K46" s="295">
        <f t="shared" si="4"/>
        <v>0</v>
      </c>
      <c r="L46" s="295">
        <f t="shared" si="4"/>
        <v>0</v>
      </c>
      <c r="M46" s="295">
        <f t="shared" si="4"/>
        <v>0</v>
      </c>
      <c r="N46" s="295">
        <f t="shared" si="4"/>
        <v>0</v>
      </c>
      <c r="O46" s="295">
        <f t="shared" si="4"/>
        <v>0</v>
      </c>
      <c r="P46" s="295">
        <f t="shared" si="4"/>
        <v>0</v>
      </c>
      <c r="Q46" s="295">
        <f t="shared" si="4"/>
        <v>0</v>
      </c>
      <c r="R46" s="295">
        <f t="shared" si="4"/>
        <v>0</v>
      </c>
      <c r="S46" s="295">
        <f t="shared" si="4"/>
        <v>0</v>
      </c>
      <c r="T46" s="295">
        <f t="shared" si="4"/>
        <v>0</v>
      </c>
      <c r="U46" s="295">
        <f t="shared" si="4"/>
        <v>0</v>
      </c>
      <c r="V46" s="295">
        <f t="shared" si="4"/>
        <v>0</v>
      </c>
      <c r="W46" s="295">
        <f t="shared" si="4"/>
        <v>0</v>
      </c>
      <c r="X46" s="295">
        <f t="shared" si="4"/>
        <v>0</v>
      </c>
      <c r="Y46" s="295">
        <f t="shared" si="4"/>
        <v>0</v>
      </c>
      <c r="Z46" s="295">
        <f t="shared" si="4"/>
        <v>0</v>
      </c>
      <c r="AA46" s="295">
        <f t="shared" si="4"/>
        <v>0</v>
      </c>
      <c r="AB46" s="295">
        <f t="shared" si="4"/>
        <v>0</v>
      </c>
      <c r="AC46" s="295">
        <f t="shared" si="4"/>
        <v>0</v>
      </c>
      <c r="AD46" s="295">
        <f t="shared" si="4"/>
        <v>0</v>
      </c>
      <c r="AE46" s="295">
        <f t="shared" si="4"/>
        <v>0</v>
      </c>
      <c r="AF46" s="295">
        <f t="shared" si="4"/>
        <v>0</v>
      </c>
      <c r="AG46" s="295">
        <f t="shared" si="4"/>
        <v>0</v>
      </c>
      <c r="AH46" s="295">
        <f t="shared" si="4"/>
        <v>0</v>
      </c>
      <c r="AI46" s="295">
        <f t="shared" si="4"/>
        <v>0</v>
      </c>
    </row>
    <row r="47" spans="1:35">
      <c r="A47" s="522" t="s">
        <v>602</v>
      </c>
      <c r="B47" s="93" t="s">
        <v>301</v>
      </c>
      <c r="C47" s="32" t="s">
        <v>602</v>
      </c>
      <c r="D47" s="93" t="s">
        <v>301</v>
      </c>
      <c r="E47" s="295">
        <f t="array" ref="E47">INDEX(CABS_CVC!$C$3:$O$894,MATCH(1, (CABS_CVC!$A$3:$A$894=Calculs_CABS!C47)*(CABS_CVC!$B$3:$B$894=Calculs_CABS!$D$2),0),MATCH(Calculs_CABS!$D$1,Liste_CABS!$B$3:$B$15,0))</f>
        <v>68</v>
      </c>
    </row>
    <row r="48" spans="1:35">
      <c r="A48" s="522"/>
      <c r="B48" s="295" t="s">
        <v>543</v>
      </c>
      <c r="C48" s="32" t="s">
        <v>602</v>
      </c>
      <c r="D48" s="295" t="s">
        <v>543</v>
      </c>
      <c r="E48" s="295">
        <v>73</v>
      </c>
    </row>
    <row r="49" spans="1:35">
      <c r="A49" s="522"/>
      <c r="B49" s="295" t="s">
        <v>544</v>
      </c>
      <c r="C49" s="32" t="s">
        <v>602</v>
      </c>
      <c r="D49" s="295" t="s">
        <v>544</v>
      </c>
      <c r="E49" s="295">
        <f>E47+E48</f>
        <v>141</v>
      </c>
    </row>
    <row r="50" spans="1:35">
      <c r="A50" s="522"/>
      <c r="B50" s="295" t="s">
        <v>545</v>
      </c>
      <c r="C50" s="32" t="s">
        <v>602</v>
      </c>
      <c r="D50" s="295" t="s">
        <v>545</v>
      </c>
      <c r="E50" s="295">
        <v>0.74</v>
      </c>
    </row>
    <row r="51" spans="1:35">
      <c r="A51" s="522"/>
      <c r="B51" s="295" t="s">
        <v>546</v>
      </c>
      <c r="C51" s="32" t="s">
        <v>602</v>
      </c>
      <c r="D51" s="343" t="s">
        <v>592</v>
      </c>
      <c r="E51" s="295">
        <v>8760</v>
      </c>
      <c r="F51" s="295">
        <f>IF(F$6=$C51,IF(INDEX('Surface DEET'!$Q$9:$W$38,COLUMN(F44)-COLUMN($E$5),1)&gt;0,INDEX('Surface DEET'!$Q$9:$W$38,COLUMN(F44)-COLUMN($E$5),1),$E51),0)</f>
        <v>0</v>
      </c>
      <c r="G51" s="295">
        <f>IF(G$6=$C51,IF(INDEX('Surface DEET'!$Q$9:$W$38,COLUMN(G44)-COLUMN($E$5),1)&gt;0,INDEX('Surface DEET'!$Q$9:$W$38,COLUMN(G44)-COLUMN($E$5),1),$E51),0)</f>
        <v>0</v>
      </c>
      <c r="H51" s="295">
        <f>IF(H$6=$C51,IF(INDEX('Surface DEET'!$Q$9:$W$38,COLUMN(H44)-COLUMN($E$5),1)&gt;0,INDEX('Surface DEET'!$Q$9:$W$38,COLUMN(H44)-COLUMN($E$5),1),$E51),0)</f>
        <v>0</v>
      </c>
      <c r="I51" s="295">
        <f>IF(I$6=$C51,IF(INDEX('Surface DEET'!$Q$9:$W$38,COLUMN(I44)-COLUMN($E$5),1)&gt;0,INDEX('Surface DEET'!$Q$9:$W$38,COLUMN(I44)-COLUMN($E$5),1),$E51),0)</f>
        <v>0</v>
      </c>
      <c r="J51" s="295">
        <f>IF(J$6=$C51,IF(INDEX('Surface DEET'!$Q$9:$W$38,COLUMN(J44)-COLUMN($E$5),1)&gt;0,INDEX('Surface DEET'!$Q$9:$W$38,COLUMN(J44)-COLUMN($E$5),1),$E51),0)</f>
        <v>0</v>
      </c>
      <c r="K51" s="295">
        <f>IF(K$6=$C51,IF(INDEX('Surface DEET'!$Q$9:$W$38,COLUMN(K44)-COLUMN($E$5),1)&gt;0,INDEX('Surface DEET'!$Q$9:$W$38,COLUMN(K44)-COLUMN($E$5),1),$E51),0)</f>
        <v>0</v>
      </c>
      <c r="L51" s="295">
        <f>IF(L$6=$C51,IF(INDEX('Surface DEET'!$Q$9:$W$38,COLUMN(L44)-COLUMN($E$5),1)&gt;0,INDEX('Surface DEET'!$Q$9:$W$38,COLUMN(L44)-COLUMN($E$5),1),$E51),0)</f>
        <v>0</v>
      </c>
      <c r="M51" s="295">
        <f>IF(M$6=$C51,IF(INDEX('Surface DEET'!$Q$9:$W$38,COLUMN(M44)-COLUMN($E$5),1)&gt;0,INDEX('Surface DEET'!$Q$9:$W$38,COLUMN(M44)-COLUMN($E$5),1),$E51),0)</f>
        <v>0</v>
      </c>
      <c r="N51" s="295">
        <f>IF(N$6=$C51,IF(INDEX('Surface DEET'!$Q$9:$W$38,COLUMN(N44)-COLUMN($E$5),1)&gt;0,INDEX('Surface DEET'!$Q$9:$W$38,COLUMN(N44)-COLUMN($E$5),1),$E51),0)</f>
        <v>0</v>
      </c>
      <c r="O51" s="295">
        <f>IF(O$6=$C51,IF(INDEX('Surface DEET'!$Q$9:$W$38,COLUMN(O44)-COLUMN($E$5),1)&gt;0,INDEX('Surface DEET'!$Q$9:$W$38,COLUMN(O44)-COLUMN($E$5),1),$E51),0)</f>
        <v>0</v>
      </c>
      <c r="P51" s="295">
        <f>IF(P$6=$C51,IF(INDEX('Surface DEET'!$Q$9:$W$38,COLUMN(P44)-COLUMN($E$5),1)&gt;0,INDEX('Surface DEET'!$Q$9:$W$38,COLUMN(P44)-COLUMN($E$5),1),$E51),0)</f>
        <v>0</v>
      </c>
      <c r="Q51" s="295">
        <f>IF(Q$6=$C51,IF(INDEX('Surface DEET'!$Q$9:$W$38,COLUMN(Q44)-COLUMN($E$5),1)&gt;0,INDEX('Surface DEET'!$Q$9:$W$38,COLUMN(Q44)-COLUMN($E$5),1),$E51),0)</f>
        <v>0</v>
      </c>
      <c r="R51" s="295">
        <f>IF(R$6=$C51,IF(INDEX('Surface DEET'!$Q$9:$W$38,COLUMN(R44)-COLUMN($E$5),1)&gt;0,INDEX('Surface DEET'!$Q$9:$W$38,COLUMN(R44)-COLUMN($E$5),1),$E51),0)</f>
        <v>0</v>
      </c>
      <c r="S51" s="295">
        <f>IF(S$6=$C51,IF(INDEX('Surface DEET'!$Q$9:$W$38,COLUMN(S44)-COLUMN($E$5),1)&gt;0,INDEX('Surface DEET'!$Q$9:$W$38,COLUMN(S44)-COLUMN($E$5),1),$E51),0)</f>
        <v>0</v>
      </c>
      <c r="T51" s="295">
        <f>IF(T$6=$C51,IF(INDEX('Surface DEET'!$Q$9:$W$38,COLUMN(T44)-COLUMN($E$5),1)&gt;0,INDEX('Surface DEET'!$Q$9:$W$38,COLUMN(T44)-COLUMN($E$5),1),$E51),0)</f>
        <v>0</v>
      </c>
      <c r="U51" s="295">
        <f>IF(U$6=$C51,IF(INDEX('Surface DEET'!$Q$9:$W$38,COLUMN(U44)-COLUMN($E$5),1)&gt;0,INDEX('Surface DEET'!$Q$9:$W$38,COLUMN(U44)-COLUMN($E$5),1),$E51),0)</f>
        <v>0</v>
      </c>
      <c r="V51" s="295">
        <f>IF(V$6=$C51,IF(INDEX('Surface DEET'!$Q$9:$W$38,COLUMN(V44)-COLUMN($E$5),1)&gt;0,INDEX('Surface DEET'!$Q$9:$W$38,COLUMN(V44)-COLUMN($E$5),1),$E51),0)</f>
        <v>0</v>
      </c>
      <c r="W51" s="295">
        <f>IF(W$6=$C51,IF(INDEX('Surface DEET'!$Q$9:$W$38,COLUMN(W44)-COLUMN($E$5),1)&gt;0,INDEX('Surface DEET'!$Q$9:$W$38,COLUMN(W44)-COLUMN($E$5),1),$E51),0)</f>
        <v>0</v>
      </c>
      <c r="X51" s="295">
        <f>IF(X$6=$C51,IF(INDEX('Surface DEET'!$Q$9:$W$38,COLUMN(X44)-COLUMN($E$5),1)&gt;0,INDEX('Surface DEET'!$Q$9:$W$38,COLUMN(X44)-COLUMN($E$5),1),$E51),0)</f>
        <v>0</v>
      </c>
      <c r="Y51" s="295">
        <f>IF(Y$6=$C51,IF(INDEX('Surface DEET'!$Q$9:$W$38,COLUMN(Y44)-COLUMN($E$5),1)&gt;0,INDEX('Surface DEET'!$Q$9:$W$38,COLUMN(Y44)-COLUMN($E$5),1),$E51),0)</f>
        <v>0</v>
      </c>
      <c r="Z51" s="295">
        <f>IF(Z$6=$C51,IF(INDEX('Surface DEET'!$Q$9:$W$38,COLUMN(Z44)-COLUMN($E$5),1)&gt;0,INDEX('Surface DEET'!$Q$9:$W$38,COLUMN(Z44)-COLUMN($E$5),1),$E51),0)</f>
        <v>0</v>
      </c>
      <c r="AA51" s="295">
        <f>IF(AA$6=$C51,IF(INDEX('Surface DEET'!$Q$9:$W$38,COLUMN(AA44)-COLUMN($E$5),1)&gt;0,INDEX('Surface DEET'!$Q$9:$W$38,COLUMN(AA44)-COLUMN($E$5),1),$E51),0)</f>
        <v>0</v>
      </c>
      <c r="AB51" s="295">
        <f>IF(AB$6=$C51,IF(INDEX('Surface DEET'!$Q$9:$W$38,COLUMN(AB44)-COLUMN($E$5),1)&gt;0,INDEX('Surface DEET'!$Q$9:$W$38,COLUMN(AB44)-COLUMN($E$5),1),$E51),0)</f>
        <v>0</v>
      </c>
      <c r="AC51" s="295">
        <f>IF(AC$6=$C51,IF(INDEX('Surface DEET'!$Q$9:$W$38,COLUMN(AC44)-COLUMN($E$5),1)&gt;0,INDEX('Surface DEET'!$Q$9:$W$38,COLUMN(AC44)-COLUMN($E$5),1),$E51),0)</f>
        <v>0</v>
      </c>
      <c r="AD51" s="295">
        <f>IF(AD$6=$C51,IF(INDEX('Surface DEET'!$Q$9:$W$38,COLUMN(AD44)-COLUMN($E$5),1)&gt;0,INDEX('Surface DEET'!$Q$9:$W$38,COLUMN(AD44)-COLUMN($E$5),1),$E51),0)</f>
        <v>0</v>
      </c>
      <c r="AE51" s="295">
        <f>IF(AE$6=$C51,IF(INDEX('Surface DEET'!$Q$9:$W$38,COLUMN(AE44)-COLUMN($E$5),1)&gt;0,INDEX('Surface DEET'!$Q$9:$W$38,COLUMN(AE44)-COLUMN($E$5),1),$E51),0)</f>
        <v>0</v>
      </c>
      <c r="AF51" s="295">
        <f>IF(AF$6=$C51,IF(INDEX('Surface DEET'!$Q$9:$W$38,COLUMN(AF44)-COLUMN($E$5),1)&gt;0,INDEX('Surface DEET'!$Q$9:$W$38,COLUMN(AF44)-COLUMN($E$5),1),$E51),0)</f>
        <v>0</v>
      </c>
      <c r="AG51" s="295">
        <f>IF(AG$6=$C51,IF(INDEX('Surface DEET'!$Q$9:$W$38,COLUMN(AG44)-COLUMN($E$5),1)&gt;0,INDEX('Surface DEET'!$Q$9:$W$38,COLUMN(AG44)-COLUMN($E$5),1),$E51),0)</f>
        <v>0</v>
      </c>
      <c r="AH51" s="295">
        <f>IF(AH$6=$C51,IF(INDEX('Surface DEET'!$Q$9:$W$38,COLUMN(AH44)-COLUMN($E$5),1)&gt;0,INDEX('Surface DEET'!$Q$9:$W$38,COLUMN(AH44)-COLUMN($E$5),1),$E51),0)</f>
        <v>0</v>
      </c>
      <c r="AI51" s="295">
        <f>IF(AI$6=$C51,IF(INDEX('Surface DEET'!$Q$9:$W$38,COLUMN(AI44)-COLUMN($E$5),1)&gt;0,INDEX('Surface DEET'!$Q$9:$W$38,COLUMN(AI44)-COLUMN($E$5),1),$E51),0)</f>
        <v>0</v>
      </c>
    </row>
    <row r="52" spans="1:35">
      <c r="A52" s="522"/>
      <c r="B52" s="295" t="s">
        <v>549</v>
      </c>
      <c r="C52" s="32" t="s">
        <v>602</v>
      </c>
      <c r="D52" s="345" t="s">
        <v>603</v>
      </c>
      <c r="E52" s="345">
        <v>23</v>
      </c>
      <c r="F52" s="295">
        <f>IF(F$6=$C52,IF(INDEX('Surface DEET'!$Q$9:$W$38,COLUMN(F45)-COLUMN($E$5),4)&gt;0,INDEX('Surface DEET'!$Q$9:$W$38,COLUMN(F45)-COLUMN($E$5),4),$E52),0)</f>
        <v>0</v>
      </c>
      <c r="G52" s="295">
        <f>IF(G$6=$C52,IF(INDEX('Surface DEET'!$Q$9:$W$38,COLUMN(G45)-COLUMN($E$5),4)&gt;0,INDEX('Surface DEET'!$Q$9:$W$38,COLUMN(G45)-COLUMN($E$5),4),$E52),0)</f>
        <v>0</v>
      </c>
      <c r="H52" s="295">
        <f>IF(H$6=$C52,IF(INDEX('Surface DEET'!$Q$9:$W$38,COLUMN(H45)-COLUMN($E$5),4)&gt;0,INDEX('Surface DEET'!$Q$9:$W$38,COLUMN(H45)-COLUMN($E$5),4),$E52),0)</f>
        <v>0</v>
      </c>
      <c r="I52" s="295">
        <f>IF(I$6=$C52,IF(INDEX('Surface DEET'!$Q$9:$W$38,COLUMN(I45)-COLUMN($E$5),4)&gt;0,INDEX('Surface DEET'!$Q$9:$W$38,COLUMN(I45)-COLUMN($E$5),4),$E52),0)</f>
        <v>0</v>
      </c>
      <c r="J52" s="295">
        <f>IF(J$6=$C52,IF(INDEX('Surface DEET'!$Q$9:$W$38,COLUMN(J45)-COLUMN($E$5),4)&gt;0,INDEX('Surface DEET'!$Q$9:$W$38,COLUMN(J45)-COLUMN($E$5),4),$E52),0)</f>
        <v>0</v>
      </c>
      <c r="K52" s="295">
        <f>IF(K$6=$C52,IF(INDEX('Surface DEET'!$Q$9:$W$38,COLUMN(K45)-COLUMN($E$5),4)&gt;0,INDEX('Surface DEET'!$Q$9:$W$38,COLUMN(K45)-COLUMN($E$5),4),$E52),0)</f>
        <v>0</v>
      </c>
      <c r="L52" s="295">
        <f>IF(L$6=$C52,IF(INDEX('Surface DEET'!$Q$9:$W$38,COLUMN(L45)-COLUMN($E$5),4)&gt;0,INDEX('Surface DEET'!$Q$9:$W$38,COLUMN(L45)-COLUMN($E$5),4),$E52),0)</f>
        <v>0</v>
      </c>
      <c r="M52" s="295">
        <f>IF(M$6=$C52,IF(INDEX('Surface DEET'!$Q$9:$W$38,COLUMN(M45)-COLUMN($E$5),4)&gt;0,INDEX('Surface DEET'!$Q$9:$W$38,COLUMN(M45)-COLUMN($E$5),4),$E52),0)</f>
        <v>0</v>
      </c>
      <c r="N52" s="295">
        <f>IF(N$6=$C52,IF(INDEX('Surface DEET'!$Q$9:$W$38,COLUMN(N45)-COLUMN($E$5),4)&gt;0,INDEX('Surface DEET'!$Q$9:$W$38,COLUMN(N45)-COLUMN($E$5),4),$E52),0)</f>
        <v>0</v>
      </c>
      <c r="O52" s="295">
        <f>IF(O$6=$C52,IF(INDEX('Surface DEET'!$Q$9:$W$38,COLUMN(O45)-COLUMN($E$5),4)&gt;0,INDEX('Surface DEET'!$Q$9:$W$38,COLUMN(O45)-COLUMN($E$5),4),$E52),0)</f>
        <v>0</v>
      </c>
      <c r="P52" s="295">
        <f>IF(P$6=$C52,IF(INDEX('Surface DEET'!$Q$9:$W$38,COLUMN(P45)-COLUMN($E$5),4)&gt;0,INDEX('Surface DEET'!$Q$9:$W$38,COLUMN(P45)-COLUMN($E$5),4),$E52),0)</f>
        <v>0</v>
      </c>
      <c r="Q52" s="295">
        <f>IF(Q$6=$C52,IF(INDEX('Surface DEET'!$Q$9:$W$38,COLUMN(Q45)-COLUMN($E$5),4)&gt;0,INDEX('Surface DEET'!$Q$9:$W$38,COLUMN(Q45)-COLUMN($E$5),4),$E52),0)</f>
        <v>0</v>
      </c>
      <c r="R52" s="295">
        <f>IF(R$6=$C52,IF(INDEX('Surface DEET'!$Q$9:$W$38,COLUMN(R45)-COLUMN($E$5),4)&gt;0,INDEX('Surface DEET'!$Q$9:$W$38,COLUMN(R45)-COLUMN($E$5),4),$E52),0)</f>
        <v>0</v>
      </c>
      <c r="S52" s="295">
        <f>IF(S$6=$C52,IF(INDEX('Surface DEET'!$Q$9:$W$38,COLUMN(S45)-COLUMN($E$5),4)&gt;0,INDEX('Surface DEET'!$Q$9:$W$38,COLUMN(S45)-COLUMN($E$5),4),$E52),0)</f>
        <v>0</v>
      </c>
      <c r="T52" s="295">
        <f>IF(T$6=$C52,IF(INDEX('Surface DEET'!$Q$9:$W$38,COLUMN(T45)-COLUMN($E$5),4)&gt;0,INDEX('Surface DEET'!$Q$9:$W$38,COLUMN(T45)-COLUMN($E$5),4),$E52),0)</f>
        <v>0</v>
      </c>
      <c r="U52" s="295">
        <f>IF(U$6=$C52,IF(INDEX('Surface DEET'!$Q$9:$W$38,COLUMN(U45)-COLUMN($E$5),4)&gt;0,INDEX('Surface DEET'!$Q$9:$W$38,COLUMN(U45)-COLUMN($E$5),4),$E52),0)</f>
        <v>0</v>
      </c>
      <c r="V52" s="295">
        <f>IF(V$6=$C52,IF(INDEX('Surface DEET'!$Q$9:$W$38,COLUMN(V45)-COLUMN($E$5),4)&gt;0,INDEX('Surface DEET'!$Q$9:$W$38,COLUMN(V45)-COLUMN($E$5),4),$E52),0)</f>
        <v>0</v>
      </c>
      <c r="W52" s="295">
        <f>IF(W$6=$C52,IF(INDEX('Surface DEET'!$Q$9:$W$38,COLUMN(W45)-COLUMN($E$5),4)&gt;0,INDEX('Surface DEET'!$Q$9:$W$38,COLUMN(W45)-COLUMN($E$5),4),$E52),0)</f>
        <v>0</v>
      </c>
      <c r="X52" s="295">
        <f>IF(X$6=$C52,IF(INDEX('Surface DEET'!$Q$9:$W$38,COLUMN(X45)-COLUMN($E$5),4)&gt;0,INDEX('Surface DEET'!$Q$9:$W$38,COLUMN(X45)-COLUMN($E$5),4),$E52),0)</f>
        <v>0</v>
      </c>
      <c r="Y52" s="295">
        <f>IF(Y$6=$C52,IF(INDEX('Surface DEET'!$Q$9:$W$38,COLUMN(Y45)-COLUMN($E$5),4)&gt;0,INDEX('Surface DEET'!$Q$9:$W$38,COLUMN(Y45)-COLUMN($E$5),4),$E52),0)</f>
        <v>0</v>
      </c>
      <c r="Z52" s="295">
        <f>IF(Z$6=$C52,IF(INDEX('Surface DEET'!$Q$9:$W$38,COLUMN(Z45)-COLUMN($E$5),4)&gt;0,INDEX('Surface DEET'!$Q$9:$W$38,COLUMN(Z45)-COLUMN($E$5),4),$E52),0)</f>
        <v>0</v>
      </c>
      <c r="AA52" s="295">
        <f>IF(AA$6=$C52,IF(INDEX('Surface DEET'!$Q$9:$W$38,COLUMN(AA45)-COLUMN($E$5),4)&gt;0,INDEX('Surface DEET'!$Q$9:$W$38,COLUMN(AA45)-COLUMN($E$5),4),$E52),0)</f>
        <v>0</v>
      </c>
      <c r="AB52" s="295">
        <f>IF(AB$6=$C52,IF(INDEX('Surface DEET'!$Q$9:$W$38,COLUMN(AB45)-COLUMN($E$5),4)&gt;0,INDEX('Surface DEET'!$Q$9:$W$38,COLUMN(AB45)-COLUMN($E$5),4),$E52),0)</f>
        <v>0</v>
      </c>
      <c r="AC52" s="295">
        <f>IF(AC$6=$C52,IF(INDEX('Surface DEET'!$Q$9:$W$38,COLUMN(AC45)-COLUMN($E$5),4)&gt;0,INDEX('Surface DEET'!$Q$9:$W$38,COLUMN(AC45)-COLUMN($E$5),4),$E52),0)</f>
        <v>0</v>
      </c>
      <c r="AD52" s="295">
        <f>IF(AD$6=$C52,IF(INDEX('Surface DEET'!$Q$9:$W$38,COLUMN(AD45)-COLUMN($E$5),4)&gt;0,INDEX('Surface DEET'!$Q$9:$W$38,COLUMN(AD45)-COLUMN($E$5),4),$E52),0)</f>
        <v>0</v>
      </c>
      <c r="AE52" s="295">
        <f>IF(AE$6=$C52,IF(INDEX('Surface DEET'!$Q$9:$W$38,COLUMN(AE45)-COLUMN($E$5),4)&gt;0,INDEX('Surface DEET'!$Q$9:$W$38,COLUMN(AE45)-COLUMN($E$5),4),$E52),0)</f>
        <v>0</v>
      </c>
      <c r="AF52" s="295">
        <f>IF(AF$6=$C52,IF(INDEX('Surface DEET'!$Q$9:$W$38,COLUMN(AF45)-COLUMN($E$5),4)&gt;0,INDEX('Surface DEET'!$Q$9:$W$38,COLUMN(AF45)-COLUMN($E$5),4),$E52),0)</f>
        <v>0</v>
      </c>
      <c r="AG52" s="295">
        <f>IF(AG$6=$C52,IF(INDEX('Surface DEET'!$Q$9:$W$38,COLUMN(AG45)-COLUMN($E$5),4)&gt;0,INDEX('Surface DEET'!$Q$9:$W$38,COLUMN(AG45)-COLUMN($E$5),4),$E52),0)</f>
        <v>0</v>
      </c>
      <c r="AH52" s="295">
        <f>IF(AH$6=$C52,IF(INDEX('Surface DEET'!$Q$9:$W$38,COLUMN(AH45)-COLUMN($E$5),4)&gt;0,INDEX('Surface DEET'!$Q$9:$W$38,COLUMN(AH45)-COLUMN($E$5),4),$E52),0)</f>
        <v>0</v>
      </c>
      <c r="AI52" s="295">
        <f>IF(AI$6=$C52,IF(INDEX('Surface DEET'!$Q$9:$W$38,COLUMN(AI45)-COLUMN($E$5),4)&gt;0,INDEX('Surface DEET'!$Q$9:$W$38,COLUMN(AI45)-COLUMN($E$5),4),$E52),0)</f>
        <v>0</v>
      </c>
    </row>
    <row r="53" spans="1:35">
      <c r="A53" s="522"/>
      <c r="B53" s="295" t="s">
        <v>542</v>
      </c>
      <c r="C53" s="32" t="s">
        <v>602</v>
      </c>
      <c r="D53" s="295" t="s">
        <v>542</v>
      </c>
      <c r="F53" s="295">
        <f>IFERROR($E$48*(F51/$E$51)*(($E$50*($E$52/F52))+(1-$E$50))+0.28*$E$47*(F51-$E$51)/$E$51,0)</f>
        <v>0</v>
      </c>
      <c r="G53" s="295">
        <f t="shared" ref="G53:AI53" si="5">IFERROR($E$48*(G51/$E$51)*(($E$50*($E$52/G52))+(1-$E$50))+0.28*$E$47*(G51-$E$51)/$E$51,0)</f>
        <v>0</v>
      </c>
      <c r="H53" s="295">
        <f t="shared" si="5"/>
        <v>0</v>
      </c>
      <c r="I53" s="295">
        <f t="shared" si="5"/>
        <v>0</v>
      </c>
      <c r="J53" s="295">
        <f t="shared" si="5"/>
        <v>0</v>
      </c>
      <c r="K53" s="295">
        <f t="shared" si="5"/>
        <v>0</v>
      </c>
      <c r="L53" s="295">
        <f t="shared" si="5"/>
        <v>0</v>
      </c>
      <c r="M53" s="295">
        <f t="shared" si="5"/>
        <v>0</v>
      </c>
      <c r="N53" s="295">
        <f t="shared" si="5"/>
        <v>0</v>
      </c>
      <c r="O53" s="295">
        <f t="shared" si="5"/>
        <v>0</v>
      </c>
      <c r="P53" s="295">
        <f t="shared" si="5"/>
        <v>0</v>
      </c>
      <c r="Q53" s="295">
        <f t="shared" si="5"/>
        <v>0</v>
      </c>
      <c r="R53" s="295">
        <f t="shared" si="5"/>
        <v>0</v>
      </c>
      <c r="S53" s="295">
        <f t="shared" si="5"/>
        <v>0</v>
      </c>
      <c r="T53" s="295">
        <f t="shared" si="5"/>
        <v>0</v>
      </c>
      <c r="U53" s="295">
        <f t="shared" si="5"/>
        <v>0</v>
      </c>
      <c r="V53" s="295">
        <f t="shared" si="5"/>
        <v>0</v>
      </c>
      <c r="W53" s="295">
        <f t="shared" si="5"/>
        <v>0</v>
      </c>
      <c r="X53" s="295">
        <f t="shared" si="5"/>
        <v>0</v>
      </c>
      <c r="Y53" s="295">
        <f t="shared" si="5"/>
        <v>0</v>
      </c>
      <c r="Z53" s="295">
        <f t="shared" si="5"/>
        <v>0</v>
      </c>
      <c r="AA53" s="295">
        <f t="shared" si="5"/>
        <v>0</v>
      </c>
      <c r="AB53" s="295">
        <f t="shared" si="5"/>
        <v>0</v>
      </c>
      <c r="AC53" s="295">
        <f t="shared" si="5"/>
        <v>0</v>
      </c>
      <c r="AD53" s="295">
        <f t="shared" si="5"/>
        <v>0</v>
      </c>
      <c r="AE53" s="295">
        <f t="shared" si="5"/>
        <v>0</v>
      </c>
      <c r="AF53" s="295">
        <f t="shared" si="5"/>
        <v>0</v>
      </c>
      <c r="AG53" s="295">
        <f t="shared" si="5"/>
        <v>0</v>
      </c>
      <c r="AH53" s="295">
        <f t="shared" si="5"/>
        <v>0</v>
      </c>
      <c r="AI53" s="295">
        <f t="shared" si="5"/>
        <v>0</v>
      </c>
    </row>
    <row r="54" spans="1:35">
      <c r="A54" s="521" t="s">
        <v>604</v>
      </c>
      <c r="B54" s="93" t="s">
        <v>301</v>
      </c>
      <c r="C54" s="32" t="s">
        <v>605</v>
      </c>
      <c r="D54" s="93" t="s">
        <v>301</v>
      </c>
      <c r="E54" s="295">
        <f t="array" ref="E54">INDEX(CABS_CVC!$C$3:$O$894,MATCH(1, (CABS_CVC!$A$3:$A$894=Calculs_CABS!C54)*(CABS_CVC!$B$3:$B$894=Calculs_CABS!$D$2),0),MATCH(Calculs_CABS!$D$1,Liste_CABS!$B$3:$B$15,0))</f>
        <v>73</v>
      </c>
    </row>
    <row r="55" spans="1:35">
      <c r="A55" s="521"/>
      <c r="B55" s="295" t="s">
        <v>543</v>
      </c>
      <c r="C55" s="32" t="s">
        <v>605</v>
      </c>
      <c r="D55" s="295" t="s">
        <v>543</v>
      </c>
      <c r="E55" s="346">
        <v>363</v>
      </c>
    </row>
    <row r="56" spans="1:35">
      <c r="A56" s="521"/>
      <c r="B56" s="295" t="s">
        <v>544</v>
      </c>
      <c r="C56" s="32" t="s">
        <v>605</v>
      </c>
      <c r="D56" s="295" t="s">
        <v>544</v>
      </c>
      <c r="E56" s="295">
        <f>E54+E55</f>
        <v>436</v>
      </c>
    </row>
    <row r="57" spans="1:35">
      <c r="A57" s="521"/>
      <c r="B57" s="295" t="s">
        <v>545</v>
      </c>
      <c r="C57" s="32" t="s">
        <v>605</v>
      </c>
      <c r="D57" s="295" t="s">
        <v>545</v>
      </c>
      <c r="E57" s="343">
        <v>0.95</v>
      </c>
    </row>
    <row r="58" spans="1:35">
      <c r="A58" s="521"/>
      <c r="B58" s="295" t="s">
        <v>546</v>
      </c>
      <c r="C58" s="32" t="s">
        <v>605</v>
      </c>
      <c r="D58" s="295" t="s">
        <v>606</v>
      </c>
      <c r="E58" s="343">
        <v>2900</v>
      </c>
      <c r="F58" s="295">
        <f>IF(F$6=$C58,IF(INDEX('Surface DEET'!$Q$9:$W$38,COLUMN(F51)-COLUMN($E$5),1)&gt;0,INDEX('Surface DEET'!$Q$9:$W$38,COLUMN(F51)-COLUMN($E$5),1),$E58),0)</f>
        <v>0</v>
      </c>
      <c r="G58" s="295">
        <f>IF(G$6=$C58,IF(INDEX('Surface DEET'!$Q$9:$W$38,COLUMN(G51)-COLUMN($E$5),1)&gt;0,INDEX('Surface DEET'!$Q$9:$W$38,COLUMN(G51)-COLUMN($E$5),1),$E58),0)</f>
        <v>0</v>
      </c>
      <c r="H58" s="295">
        <f>IF(H$6=$C58,IF(INDEX('Surface DEET'!$Q$9:$W$38,COLUMN(H51)-COLUMN($E$5),1)&gt;0,INDEX('Surface DEET'!$Q$9:$W$38,COLUMN(H51)-COLUMN($E$5),1),$E58),0)</f>
        <v>0</v>
      </c>
      <c r="I58" s="295">
        <f>IF(I$6=$C58,IF(INDEX('Surface DEET'!$Q$9:$W$38,COLUMN(I51)-COLUMN($E$5),1)&gt;0,INDEX('Surface DEET'!$Q$9:$W$38,COLUMN(I51)-COLUMN($E$5),1),$E58),0)</f>
        <v>0</v>
      </c>
      <c r="J58" s="295">
        <f>IF(J$6=$C58,IF(INDEX('Surface DEET'!$Q$9:$W$38,COLUMN(J51)-COLUMN($E$5),1)&gt;0,INDEX('Surface DEET'!$Q$9:$W$38,COLUMN(J51)-COLUMN($E$5),1),$E58),0)</f>
        <v>0</v>
      </c>
      <c r="K58" s="295">
        <f>IF(K$6=$C58,IF(INDEX('Surface DEET'!$Q$9:$W$38,COLUMN(K51)-COLUMN($E$5),1)&gt;0,INDEX('Surface DEET'!$Q$9:$W$38,COLUMN(K51)-COLUMN($E$5),1),$E58),0)</f>
        <v>0</v>
      </c>
      <c r="L58" s="295">
        <f>IF(L$6=$C58,IF(INDEX('Surface DEET'!$Q$9:$W$38,COLUMN(L51)-COLUMN($E$5),1)&gt;0,INDEX('Surface DEET'!$Q$9:$W$38,COLUMN(L51)-COLUMN($E$5),1),$E58),0)</f>
        <v>0</v>
      </c>
      <c r="M58" s="295">
        <f>IF(M$6=$C58,IF(INDEX('Surface DEET'!$Q$9:$W$38,COLUMN(M51)-COLUMN($E$5),1)&gt;0,INDEX('Surface DEET'!$Q$9:$W$38,COLUMN(M51)-COLUMN($E$5),1),$E58),0)</f>
        <v>0</v>
      </c>
      <c r="N58" s="295">
        <f>IF(N$6=$C58,IF(INDEX('Surface DEET'!$Q$9:$W$38,COLUMN(N51)-COLUMN($E$5),1)&gt;0,INDEX('Surface DEET'!$Q$9:$W$38,COLUMN(N51)-COLUMN($E$5),1),$E58),0)</f>
        <v>0</v>
      </c>
      <c r="O58" s="295">
        <f>IF(O$6=$C58,IF(INDEX('Surface DEET'!$Q$9:$W$38,COLUMN(O51)-COLUMN($E$5),1)&gt;0,INDEX('Surface DEET'!$Q$9:$W$38,COLUMN(O51)-COLUMN($E$5),1),$E58),0)</f>
        <v>0</v>
      </c>
      <c r="P58" s="295">
        <f>IF(P$6=$C58,IF(INDEX('Surface DEET'!$Q$9:$W$38,COLUMN(P51)-COLUMN($E$5),1)&gt;0,INDEX('Surface DEET'!$Q$9:$W$38,COLUMN(P51)-COLUMN($E$5),1),$E58),0)</f>
        <v>0</v>
      </c>
      <c r="Q58" s="295">
        <f>IF(Q$6=$C58,IF(INDEX('Surface DEET'!$Q$9:$W$38,COLUMN(Q51)-COLUMN($E$5),1)&gt;0,INDEX('Surface DEET'!$Q$9:$W$38,COLUMN(Q51)-COLUMN($E$5),1),$E58),0)</f>
        <v>0</v>
      </c>
      <c r="R58" s="295">
        <f>IF(R$6=$C58,IF(INDEX('Surface DEET'!$Q$9:$W$38,COLUMN(R51)-COLUMN($E$5),1)&gt;0,INDEX('Surface DEET'!$Q$9:$W$38,COLUMN(R51)-COLUMN($E$5),1),$E58),0)</f>
        <v>0</v>
      </c>
      <c r="S58" s="295">
        <f>IF(S$6=$C58,IF(INDEX('Surface DEET'!$Q$9:$W$38,COLUMN(S51)-COLUMN($E$5),1)&gt;0,INDEX('Surface DEET'!$Q$9:$W$38,COLUMN(S51)-COLUMN($E$5),1),$E58),0)</f>
        <v>0</v>
      </c>
      <c r="T58" s="295">
        <f>IF(T$6=$C58,IF(INDEX('Surface DEET'!$Q$9:$W$38,COLUMN(T51)-COLUMN($E$5),1)&gt;0,INDEX('Surface DEET'!$Q$9:$W$38,COLUMN(T51)-COLUMN($E$5),1),$E58),0)</f>
        <v>0</v>
      </c>
      <c r="U58" s="295">
        <f>IF(U$6=$C58,IF(INDEX('Surface DEET'!$Q$9:$W$38,COLUMN(U51)-COLUMN($E$5),1)&gt;0,INDEX('Surface DEET'!$Q$9:$W$38,COLUMN(U51)-COLUMN($E$5),1),$E58),0)</f>
        <v>0</v>
      </c>
      <c r="V58" s="295">
        <f>IF(V$6=$C58,IF(INDEX('Surface DEET'!$Q$9:$W$38,COLUMN(V51)-COLUMN($E$5),1)&gt;0,INDEX('Surface DEET'!$Q$9:$W$38,COLUMN(V51)-COLUMN($E$5),1),$E58),0)</f>
        <v>0</v>
      </c>
      <c r="W58" s="295">
        <f>IF(W$6=$C58,IF(INDEX('Surface DEET'!$Q$9:$W$38,COLUMN(W51)-COLUMN($E$5),1)&gt;0,INDEX('Surface DEET'!$Q$9:$W$38,COLUMN(W51)-COLUMN($E$5),1),$E58),0)</f>
        <v>0</v>
      </c>
      <c r="X58" s="295">
        <f>IF(X$6=$C58,IF(INDEX('Surface DEET'!$Q$9:$W$38,COLUMN(X51)-COLUMN($E$5),1)&gt;0,INDEX('Surface DEET'!$Q$9:$W$38,COLUMN(X51)-COLUMN($E$5),1),$E58),0)</f>
        <v>0</v>
      </c>
      <c r="Y58" s="295">
        <f>IF(Y$6=$C58,IF(INDEX('Surface DEET'!$Q$9:$W$38,COLUMN(Y51)-COLUMN($E$5),1)&gt;0,INDEX('Surface DEET'!$Q$9:$W$38,COLUMN(Y51)-COLUMN($E$5),1),$E58),0)</f>
        <v>0</v>
      </c>
      <c r="Z58" s="295">
        <f>IF(Z$6=$C58,IF(INDEX('Surface DEET'!$Q$9:$W$38,COLUMN(Z51)-COLUMN($E$5),1)&gt;0,INDEX('Surface DEET'!$Q$9:$W$38,COLUMN(Z51)-COLUMN($E$5),1),$E58),0)</f>
        <v>0</v>
      </c>
      <c r="AA58" s="295">
        <f>IF(AA$6=$C58,IF(INDEX('Surface DEET'!$Q$9:$W$38,COLUMN(AA51)-COLUMN($E$5),1)&gt;0,INDEX('Surface DEET'!$Q$9:$W$38,COLUMN(AA51)-COLUMN($E$5),1),$E58),0)</f>
        <v>0</v>
      </c>
      <c r="AB58" s="295">
        <f>IF(AB$6=$C58,IF(INDEX('Surface DEET'!$Q$9:$W$38,COLUMN(AB51)-COLUMN($E$5),1)&gt;0,INDEX('Surface DEET'!$Q$9:$W$38,COLUMN(AB51)-COLUMN($E$5),1),$E58),0)</f>
        <v>0</v>
      </c>
      <c r="AC58" s="295">
        <f>IF(AC$6=$C58,IF(INDEX('Surface DEET'!$Q$9:$W$38,COLUMN(AC51)-COLUMN($E$5),1)&gt;0,INDEX('Surface DEET'!$Q$9:$W$38,COLUMN(AC51)-COLUMN($E$5),1),$E58),0)</f>
        <v>0</v>
      </c>
      <c r="AD58" s="295">
        <f>IF(AD$6=$C58,IF(INDEX('Surface DEET'!$Q$9:$W$38,COLUMN(AD51)-COLUMN($E$5),1)&gt;0,INDEX('Surface DEET'!$Q$9:$W$38,COLUMN(AD51)-COLUMN($E$5),1),$E58),0)</f>
        <v>0</v>
      </c>
      <c r="AE58" s="295">
        <f>IF(AE$6=$C58,IF(INDEX('Surface DEET'!$Q$9:$W$38,COLUMN(AE51)-COLUMN($E$5),1)&gt;0,INDEX('Surface DEET'!$Q$9:$W$38,COLUMN(AE51)-COLUMN($E$5),1),$E58),0)</f>
        <v>0</v>
      </c>
      <c r="AF58" s="295">
        <f>IF(AF$6=$C58,IF(INDEX('Surface DEET'!$Q$9:$W$38,COLUMN(AF51)-COLUMN($E$5),1)&gt;0,INDEX('Surface DEET'!$Q$9:$W$38,COLUMN(AF51)-COLUMN($E$5),1),$E58),0)</f>
        <v>0</v>
      </c>
      <c r="AG58" s="295">
        <f>IF(AG$6=$C58,IF(INDEX('Surface DEET'!$Q$9:$W$38,COLUMN(AG51)-COLUMN($E$5),1)&gt;0,INDEX('Surface DEET'!$Q$9:$W$38,COLUMN(AG51)-COLUMN($E$5),1),$E58),0)</f>
        <v>0</v>
      </c>
      <c r="AH58" s="295">
        <f>IF(AH$6=$C58,IF(INDEX('Surface DEET'!$Q$9:$W$38,COLUMN(AH51)-COLUMN($E$5),1)&gt;0,INDEX('Surface DEET'!$Q$9:$W$38,COLUMN(AH51)-COLUMN($E$5),1),$E58),0)</f>
        <v>0</v>
      </c>
      <c r="AI58" s="295">
        <f>IF(AI$6=$C58,IF(INDEX('Surface DEET'!$Q$9:$W$38,COLUMN(AI51)-COLUMN($E$5),1)&gt;0,INDEX('Surface DEET'!$Q$9:$W$38,COLUMN(AI51)-COLUMN($E$5),1),$E58),0)</f>
        <v>0</v>
      </c>
    </row>
    <row r="59" spans="1:35">
      <c r="A59" s="521"/>
      <c r="B59" s="295" t="s">
        <v>549</v>
      </c>
      <c r="C59" s="32" t="s">
        <v>605</v>
      </c>
      <c r="D59" s="295" t="s">
        <v>607</v>
      </c>
      <c r="E59" s="343">
        <v>80</v>
      </c>
      <c r="F59" s="295">
        <f>IF(F$6=$C59,IF(INDEX('Surface DEET'!$Q$9:$W$38,COLUMN(F52)-COLUMN($E$5),4)&gt;0,INDEX('Surface DEET'!$Q$9:$W$38,COLUMN(F52)-COLUMN($E$5),4),$E59),0)</f>
        <v>0</v>
      </c>
      <c r="G59" s="295">
        <f>IF(G$6=$C59,IF(INDEX('Surface DEET'!$Q$9:$W$38,COLUMN(G52)-COLUMN($E$5),4)&gt;0,INDEX('Surface DEET'!$Q$9:$W$38,COLUMN(G52)-COLUMN($E$5),4),$E59),0)</f>
        <v>0</v>
      </c>
      <c r="H59" s="295">
        <f>IF(H$6=$C59,IF(INDEX('Surface DEET'!$Q$9:$W$38,COLUMN(H52)-COLUMN($E$5),4)&gt;0,INDEX('Surface DEET'!$Q$9:$W$38,COLUMN(H52)-COLUMN($E$5),4),$E59),0)</f>
        <v>0</v>
      </c>
      <c r="I59" s="295">
        <f>IF(I$6=$C59,IF(INDEX('Surface DEET'!$Q$9:$W$38,COLUMN(I52)-COLUMN($E$5),4)&gt;0,INDEX('Surface DEET'!$Q$9:$W$38,COLUMN(I52)-COLUMN($E$5),4),$E59),0)</f>
        <v>0</v>
      </c>
      <c r="J59" s="295">
        <f>IF(J$6=$C59,IF(INDEX('Surface DEET'!$Q$9:$W$38,COLUMN(J52)-COLUMN($E$5),4)&gt;0,INDEX('Surface DEET'!$Q$9:$W$38,COLUMN(J52)-COLUMN($E$5),4),$E59),0)</f>
        <v>0</v>
      </c>
      <c r="K59" s="295">
        <f>IF(K$6=$C59,IF(INDEX('Surface DEET'!$Q$9:$W$38,COLUMN(K52)-COLUMN($E$5),4)&gt;0,INDEX('Surface DEET'!$Q$9:$W$38,COLUMN(K52)-COLUMN($E$5),4),$E59),0)</f>
        <v>0</v>
      </c>
      <c r="L59" s="295">
        <f>IF(L$6=$C59,IF(INDEX('Surface DEET'!$Q$9:$W$38,COLUMN(L52)-COLUMN($E$5),4)&gt;0,INDEX('Surface DEET'!$Q$9:$W$38,COLUMN(L52)-COLUMN($E$5),4),$E59),0)</f>
        <v>0</v>
      </c>
      <c r="M59" s="295">
        <f>IF(M$6=$C59,IF(INDEX('Surface DEET'!$Q$9:$W$38,COLUMN(M52)-COLUMN($E$5),4)&gt;0,INDEX('Surface DEET'!$Q$9:$W$38,COLUMN(M52)-COLUMN($E$5),4),$E59),0)</f>
        <v>0</v>
      </c>
      <c r="N59" s="295">
        <f>IF(N$6=$C59,IF(INDEX('Surface DEET'!$Q$9:$W$38,COLUMN(N52)-COLUMN($E$5),4)&gt;0,INDEX('Surface DEET'!$Q$9:$W$38,COLUMN(N52)-COLUMN($E$5),4),$E59),0)</f>
        <v>0</v>
      </c>
      <c r="O59" s="295">
        <f>IF(O$6=$C59,IF(INDEX('Surface DEET'!$Q$9:$W$38,COLUMN(O52)-COLUMN($E$5),4)&gt;0,INDEX('Surface DEET'!$Q$9:$W$38,COLUMN(O52)-COLUMN($E$5),4),$E59),0)</f>
        <v>0</v>
      </c>
      <c r="P59" s="295">
        <f>IF(P$6=$C59,IF(INDEX('Surface DEET'!$Q$9:$W$38,COLUMN(P52)-COLUMN($E$5),4)&gt;0,INDEX('Surface DEET'!$Q$9:$W$38,COLUMN(P52)-COLUMN($E$5),4),$E59),0)</f>
        <v>0</v>
      </c>
      <c r="Q59" s="295">
        <f>IF(Q$6=$C59,IF(INDEX('Surface DEET'!$Q$9:$W$38,COLUMN(Q52)-COLUMN($E$5),4)&gt;0,INDEX('Surface DEET'!$Q$9:$W$38,COLUMN(Q52)-COLUMN($E$5),4),$E59),0)</f>
        <v>0</v>
      </c>
      <c r="R59" s="295">
        <f>IF(R$6=$C59,IF(INDEX('Surface DEET'!$Q$9:$W$38,COLUMN(R52)-COLUMN($E$5),4)&gt;0,INDEX('Surface DEET'!$Q$9:$W$38,COLUMN(R52)-COLUMN($E$5),4),$E59),0)</f>
        <v>0</v>
      </c>
      <c r="S59" s="295">
        <f>IF(S$6=$C59,IF(INDEX('Surface DEET'!$Q$9:$W$38,COLUMN(S52)-COLUMN($E$5),4)&gt;0,INDEX('Surface DEET'!$Q$9:$W$38,COLUMN(S52)-COLUMN($E$5),4),$E59),0)</f>
        <v>0</v>
      </c>
      <c r="T59" s="295">
        <f>IF(T$6=$C59,IF(INDEX('Surface DEET'!$Q$9:$W$38,COLUMN(T52)-COLUMN($E$5),4)&gt;0,INDEX('Surface DEET'!$Q$9:$W$38,COLUMN(T52)-COLUMN($E$5),4),$E59),0)</f>
        <v>0</v>
      </c>
      <c r="U59" s="295">
        <f>IF(U$6=$C59,IF(INDEX('Surface DEET'!$Q$9:$W$38,COLUMN(U52)-COLUMN($E$5),4)&gt;0,INDEX('Surface DEET'!$Q$9:$W$38,COLUMN(U52)-COLUMN($E$5),4),$E59),0)</f>
        <v>0</v>
      </c>
      <c r="V59" s="295">
        <f>IF(V$6=$C59,IF(INDEX('Surface DEET'!$Q$9:$W$38,COLUMN(V52)-COLUMN($E$5),4)&gt;0,INDEX('Surface DEET'!$Q$9:$W$38,COLUMN(V52)-COLUMN($E$5),4),$E59),0)</f>
        <v>0</v>
      </c>
      <c r="W59" s="295">
        <f>IF(W$6=$C59,IF(INDEX('Surface DEET'!$Q$9:$W$38,COLUMN(W52)-COLUMN($E$5),4)&gt;0,INDEX('Surface DEET'!$Q$9:$W$38,COLUMN(W52)-COLUMN($E$5),4),$E59),0)</f>
        <v>0</v>
      </c>
      <c r="X59" s="295">
        <f>IF(X$6=$C59,IF(INDEX('Surface DEET'!$Q$9:$W$38,COLUMN(X52)-COLUMN($E$5),4)&gt;0,INDEX('Surface DEET'!$Q$9:$W$38,COLUMN(X52)-COLUMN($E$5),4),$E59),0)</f>
        <v>0</v>
      </c>
      <c r="Y59" s="295">
        <f>IF(Y$6=$C59,IF(INDEX('Surface DEET'!$Q$9:$W$38,COLUMN(Y52)-COLUMN($E$5),4)&gt;0,INDEX('Surface DEET'!$Q$9:$W$38,COLUMN(Y52)-COLUMN($E$5),4),$E59),0)</f>
        <v>0</v>
      </c>
      <c r="Z59" s="295">
        <f>IF(Z$6=$C59,IF(INDEX('Surface DEET'!$Q$9:$W$38,COLUMN(Z52)-COLUMN($E$5),4)&gt;0,INDEX('Surface DEET'!$Q$9:$W$38,COLUMN(Z52)-COLUMN($E$5),4),$E59),0)</f>
        <v>0</v>
      </c>
      <c r="AA59" s="295">
        <f>IF(AA$6=$C59,IF(INDEX('Surface DEET'!$Q$9:$W$38,COLUMN(AA52)-COLUMN($E$5),4)&gt;0,INDEX('Surface DEET'!$Q$9:$W$38,COLUMN(AA52)-COLUMN($E$5),4),$E59),0)</f>
        <v>0</v>
      </c>
      <c r="AB59" s="295">
        <f>IF(AB$6=$C59,IF(INDEX('Surface DEET'!$Q$9:$W$38,COLUMN(AB52)-COLUMN($E$5),4)&gt;0,INDEX('Surface DEET'!$Q$9:$W$38,COLUMN(AB52)-COLUMN($E$5),4),$E59),0)</f>
        <v>0</v>
      </c>
      <c r="AC59" s="295">
        <f>IF(AC$6=$C59,IF(INDEX('Surface DEET'!$Q$9:$W$38,COLUMN(AC52)-COLUMN($E$5),4)&gt;0,INDEX('Surface DEET'!$Q$9:$W$38,COLUMN(AC52)-COLUMN($E$5),4),$E59),0)</f>
        <v>0</v>
      </c>
      <c r="AD59" s="295">
        <f>IF(AD$6=$C59,IF(INDEX('Surface DEET'!$Q$9:$W$38,COLUMN(AD52)-COLUMN($E$5),4)&gt;0,INDEX('Surface DEET'!$Q$9:$W$38,COLUMN(AD52)-COLUMN($E$5),4),$E59),0)</f>
        <v>0</v>
      </c>
      <c r="AE59" s="295">
        <f>IF(AE$6=$C59,IF(INDEX('Surface DEET'!$Q$9:$W$38,COLUMN(AE52)-COLUMN($E$5),4)&gt;0,INDEX('Surface DEET'!$Q$9:$W$38,COLUMN(AE52)-COLUMN($E$5),4),$E59),0)</f>
        <v>0</v>
      </c>
      <c r="AF59" s="295">
        <f>IF(AF$6=$C59,IF(INDEX('Surface DEET'!$Q$9:$W$38,COLUMN(AF52)-COLUMN($E$5),4)&gt;0,INDEX('Surface DEET'!$Q$9:$W$38,COLUMN(AF52)-COLUMN($E$5),4),$E59),0)</f>
        <v>0</v>
      </c>
      <c r="AG59" s="295">
        <f>IF(AG$6=$C59,IF(INDEX('Surface DEET'!$Q$9:$W$38,COLUMN(AG52)-COLUMN($E$5),4)&gt;0,INDEX('Surface DEET'!$Q$9:$W$38,COLUMN(AG52)-COLUMN($E$5),4),$E59),0)</f>
        <v>0</v>
      </c>
      <c r="AH59" s="295">
        <f>IF(AH$6=$C59,IF(INDEX('Surface DEET'!$Q$9:$W$38,COLUMN(AH52)-COLUMN($E$5),4)&gt;0,INDEX('Surface DEET'!$Q$9:$W$38,COLUMN(AH52)-COLUMN($E$5),4),$E59),0)</f>
        <v>0</v>
      </c>
      <c r="AI59" s="295">
        <f>IF(AI$6=$C59,IF(INDEX('Surface DEET'!$Q$9:$W$38,COLUMN(AI52)-COLUMN($E$5),4)&gt;0,INDEX('Surface DEET'!$Q$9:$W$38,COLUMN(AI52)-COLUMN($E$5),4),$E59),0)</f>
        <v>0</v>
      </c>
    </row>
    <row r="60" spans="1:35">
      <c r="A60" s="521"/>
      <c r="B60" s="295" t="s">
        <v>542</v>
      </c>
      <c r="C60" s="32" t="s">
        <v>605</v>
      </c>
      <c r="D60" s="295" t="s">
        <v>542</v>
      </c>
      <c r="F60" s="295">
        <f>IFERROR($E$55*($E$57*(F59/$E$59)+(1-$E$57)*(F58/$E$58))+0.28*$E$54*(F58-$E$58)/$E$58,0)</f>
        <v>-20.440000000000001</v>
      </c>
      <c r="G60" s="295">
        <f t="shared" ref="G60:AI60" si="6">IFERROR($E$55*($E$57*(G59/$E$59)+(1-$E$57)*(G58/$E$58))+0.28*$E$54*(G58-$E$58)/$E$58,0)</f>
        <v>-20.440000000000001</v>
      </c>
      <c r="H60" s="295">
        <f t="shared" si="6"/>
        <v>-20.440000000000001</v>
      </c>
      <c r="I60" s="295">
        <f t="shared" si="6"/>
        <v>-20.440000000000001</v>
      </c>
      <c r="J60" s="295">
        <f t="shared" si="6"/>
        <v>-20.440000000000001</v>
      </c>
      <c r="K60" s="295">
        <f t="shared" si="6"/>
        <v>-20.440000000000001</v>
      </c>
      <c r="L60" s="295">
        <f t="shared" si="6"/>
        <v>-20.440000000000001</v>
      </c>
      <c r="M60" s="295">
        <f t="shared" si="6"/>
        <v>-20.440000000000001</v>
      </c>
      <c r="N60" s="295">
        <f t="shared" si="6"/>
        <v>-20.440000000000001</v>
      </c>
      <c r="O60" s="295">
        <f t="shared" si="6"/>
        <v>-20.440000000000001</v>
      </c>
      <c r="P60" s="295">
        <f t="shared" si="6"/>
        <v>-20.440000000000001</v>
      </c>
      <c r="Q60" s="295">
        <f t="shared" si="6"/>
        <v>-20.440000000000001</v>
      </c>
      <c r="R60" s="295">
        <f t="shared" si="6"/>
        <v>-20.440000000000001</v>
      </c>
      <c r="S60" s="295">
        <f t="shared" si="6"/>
        <v>-20.440000000000001</v>
      </c>
      <c r="T60" s="295">
        <f t="shared" si="6"/>
        <v>-20.440000000000001</v>
      </c>
      <c r="U60" s="295">
        <f t="shared" si="6"/>
        <v>-20.440000000000001</v>
      </c>
      <c r="V60" s="295">
        <f t="shared" si="6"/>
        <v>-20.440000000000001</v>
      </c>
      <c r="W60" s="295">
        <f t="shared" si="6"/>
        <v>-20.440000000000001</v>
      </c>
      <c r="X60" s="295">
        <f t="shared" si="6"/>
        <v>-20.440000000000001</v>
      </c>
      <c r="Y60" s="295">
        <f t="shared" si="6"/>
        <v>-20.440000000000001</v>
      </c>
      <c r="Z60" s="295">
        <f t="shared" si="6"/>
        <v>-20.440000000000001</v>
      </c>
      <c r="AA60" s="295">
        <f t="shared" si="6"/>
        <v>-20.440000000000001</v>
      </c>
      <c r="AB60" s="295">
        <f t="shared" si="6"/>
        <v>-20.440000000000001</v>
      </c>
      <c r="AC60" s="295">
        <f t="shared" si="6"/>
        <v>-20.440000000000001</v>
      </c>
      <c r="AD60" s="295">
        <f t="shared" si="6"/>
        <v>-20.440000000000001</v>
      </c>
      <c r="AE60" s="295">
        <f t="shared" si="6"/>
        <v>-20.440000000000001</v>
      </c>
      <c r="AF60" s="295">
        <f t="shared" si="6"/>
        <v>-20.440000000000001</v>
      </c>
      <c r="AG60" s="295">
        <f t="shared" si="6"/>
        <v>-20.440000000000001</v>
      </c>
      <c r="AH60" s="295">
        <f t="shared" si="6"/>
        <v>-20.440000000000001</v>
      </c>
      <c r="AI60" s="295">
        <f t="shared" si="6"/>
        <v>-20.440000000000001</v>
      </c>
    </row>
    <row r="61" spans="1:35">
      <c r="A61" s="521" t="s">
        <v>608</v>
      </c>
      <c r="B61" s="93" t="s">
        <v>301</v>
      </c>
      <c r="C61" s="32" t="s">
        <v>608</v>
      </c>
      <c r="D61" s="93" t="s">
        <v>301</v>
      </c>
      <c r="E61" s="295">
        <f t="array" ref="E61">INDEX(CABS_CVC!$C$3:$O$870,MATCH(1, (CABS_CVC!$A$3:$A$870=Calculs_CABS!C61)*(CABS_CVC!$B$3:$B$870=Calculs_CABS!$D$2),0),MATCH(Calculs_CABS!$D$1,Liste_CABS!$B$3:$B$15,0))</f>
        <v>53</v>
      </c>
    </row>
    <row r="62" spans="1:35">
      <c r="A62" s="521"/>
      <c r="B62" s="295" t="s">
        <v>543</v>
      </c>
      <c r="C62" s="32" t="s">
        <v>608</v>
      </c>
      <c r="D62" s="295" t="s">
        <v>543</v>
      </c>
      <c r="E62" s="346">
        <v>365</v>
      </c>
    </row>
    <row r="63" spans="1:35">
      <c r="A63" s="521"/>
      <c r="B63" s="295" t="s">
        <v>544</v>
      </c>
      <c r="C63" s="32" t="s">
        <v>608</v>
      </c>
      <c r="D63" s="295" t="s">
        <v>544</v>
      </c>
      <c r="E63" s="295">
        <f>E61+E62</f>
        <v>418</v>
      </c>
    </row>
    <row r="64" spans="1:35">
      <c r="A64" s="521"/>
      <c r="B64" s="295" t="s">
        <v>545</v>
      </c>
      <c r="C64" s="32" t="s">
        <v>608</v>
      </c>
      <c r="D64" s="295" t="s">
        <v>545</v>
      </c>
      <c r="E64" s="295">
        <v>0.96</v>
      </c>
    </row>
    <row r="65" spans="1:35">
      <c r="A65" s="521"/>
      <c r="B65" s="295" t="s">
        <v>546</v>
      </c>
      <c r="C65" s="32" t="s">
        <v>608</v>
      </c>
      <c r="D65" s="343" t="s">
        <v>609</v>
      </c>
      <c r="E65" s="347">
        <v>2190</v>
      </c>
      <c r="F65" s="295">
        <f>IF(F$6=$C65,IF(INDEX('Surface DEET'!$Q$9:$W$38,COLUMN(F58)-COLUMN($E$5),1)&gt;0,INDEX('Surface DEET'!$Q$9:$W$38,COLUMN(F58)-COLUMN($E$5),1),$E65),0)</f>
        <v>0</v>
      </c>
      <c r="G65" s="295">
        <f>IF(G$6=$C65,IF(INDEX('Surface DEET'!$Q$9:$W$38,COLUMN(G58)-COLUMN($E$5),1)&gt;0,INDEX('Surface DEET'!$Q$9:$W$38,COLUMN(G58)-COLUMN($E$5),1),$E65),0)</f>
        <v>0</v>
      </c>
      <c r="H65" s="295">
        <f>IF(H$6=$C65,IF(INDEX('Surface DEET'!$Q$9:$W$38,COLUMN(H58)-COLUMN($E$5),1)&gt;0,INDEX('Surface DEET'!$Q$9:$W$38,COLUMN(H58)-COLUMN($E$5),1),$E65),0)</f>
        <v>0</v>
      </c>
      <c r="I65" s="295">
        <f>IF(I$6=$C65,IF(INDEX('Surface DEET'!$Q$9:$W$38,COLUMN(I58)-COLUMN($E$5),1)&gt;0,INDEX('Surface DEET'!$Q$9:$W$38,COLUMN(I58)-COLUMN($E$5),1),$E65),0)</f>
        <v>0</v>
      </c>
      <c r="J65" s="295">
        <f>IF(J$6=$C65,IF(INDEX('Surface DEET'!$Q$9:$W$38,COLUMN(J58)-COLUMN($E$5),1)&gt;0,INDEX('Surface DEET'!$Q$9:$W$38,COLUMN(J58)-COLUMN($E$5),1),$E65),0)</f>
        <v>0</v>
      </c>
      <c r="K65" s="295">
        <f>IF(K$6=$C65,IF(INDEX('Surface DEET'!$Q$9:$W$38,COLUMN(K58)-COLUMN($E$5),1)&gt;0,INDEX('Surface DEET'!$Q$9:$W$38,COLUMN(K58)-COLUMN($E$5),1),$E65),0)</f>
        <v>0</v>
      </c>
      <c r="L65" s="295">
        <f>IF(L$6=$C65,IF(INDEX('Surface DEET'!$Q$9:$W$38,COLUMN(L58)-COLUMN($E$5),1)&gt;0,INDEX('Surface DEET'!$Q$9:$W$38,COLUMN(L58)-COLUMN($E$5),1),$E65),0)</f>
        <v>0</v>
      </c>
      <c r="M65" s="295">
        <f>IF(M$6=$C65,IF(INDEX('Surface DEET'!$Q$9:$W$38,COLUMN(M58)-COLUMN($E$5),1)&gt;0,INDEX('Surface DEET'!$Q$9:$W$38,COLUMN(M58)-COLUMN($E$5),1),$E65),0)</f>
        <v>0</v>
      </c>
      <c r="N65" s="295">
        <f>IF(N$6=$C65,IF(INDEX('Surface DEET'!$Q$9:$W$38,COLUMN(N58)-COLUMN($E$5),1)&gt;0,INDEX('Surface DEET'!$Q$9:$W$38,COLUMN(N58)-COLUMN($E$5),1),$E65),0)</f>
        <v>0</v>
      </c>
      <c r="O65" s="295">
        <f>IF(O$6=$C65,IF(INDEX('Surface DEET'!$Q$9:$W$38,COLUMN(O58)-COLUMN($E$5),1)&gt;0,INDEX('Surface DEET'!$Q$9:$W$38,COLUMN(O58)-COLUMN($E$5),1),$E65),0)</f>
        <v>0</v>
      </c>
      <c r="P65" s="295">
        <f>IF(P$6=$C65,IF(INDEX('Surface DEET'!$Q$9:$W$38,COLUMN(P58)-COLUMN($E$5),1)&gt;0,INDEX('Surface DEET'!$Q$9:$W$38,COLUMN(P58)-COLUMN($E$5),1),$E65),0)</f>
        <v>0</v>
      </c>
      <c r="Q65" s="295">
        <f>IF(Q$6=$C65,IF(INDEX('Surface DEET'!$Q$9:$W$38,COLUMN(Q58)-COLUMN($E$5),1)&gt;0,INDEX('Surface DEET'!$Q$9:$W$38,COLUMN(Q58)-COLUMN($E$5),1),$E65),0)</f>
        <v>0</v>
      </c>
      <c r="R65" s="295">
        <f>IF(R$6=$C65,IF(INDEX('Surface DEET'!$Q$9:$W$38,COLUMN(R58)-COLUMN($E$5),1)&gt;0,INDEX('Surface DEET'!$Q$9:$W$38,COLUMN(R58)-COLUMN($E$5),1),$E65),0)</f>
        <v>0</v>
      </c>
      <c r="S65" s="295">
        <f>IF(S$6=$C65,IF(INDEX('Surface DEET'!$Q$9:$W$38,COLUMN(S58)-COLUMN($E$5),1)&gt;0,INDEX('Surface DEET'!$Q$9:$W$38,COLUMN(S58)-COLUMN($E$5),1),$E65),0)</f>
        <v>0</v>
      </c>
      <c r="T65" s="295">
        <f>IF(T$6=$C65,IF(INDEX('Surface DEET'!$Q$9:$W$38,COLUMN(T58)-COLUMN($E$5),1)&gt;0,INDEX('Surface DEET'!$Q$9:$W$38,COLUMN(T58)-COLUMN($E$5),1),$E65),0)</f>
        <v>0</v>
      </c>
      <c r="U65" s="295">
        <f>IF(U$6=$C65,IF(INDEX('Surface DEET'!$Q$9:$W$38,COLUMN(U58)-COLUMN($E$5),1)&gt;0,INDEX('Surface DEET'!$Q$9:$W$38,COLUMN(U58)-COLUMN($E$5),1),$E65),0)</f>
        <v>0</v>
      </c>
      <c r="V65" s="295">
        <f>IF(V$6=$C65,IF(INDEX('Surface DEET'!$Q$9:$W$38,COLUMN(V58)-COLUMN($E$5),1)&gt;0,INDEX('Surface DEET'!$Q$9:$W$38,COLUMN(V58)-COLUMN($E$5),1),$E65),0)</f>
        <v>0</v>
      </c>
      <c r="W65" s="295">
        <f>IF(W$6=$C65,IF(INDEX('Surface DEET'!$Q$9:$W$38,COLUMN(W58)-COLUMN($E$5),1)&gt;0,INDEX('Surface DEET'!$Q$9:$W$38,COLUMN(W58)-COLUMN($E$5),1),$E65),0)</f>
        <v>0</v>
      </c>
      <c r="X65" s="295">
        <f>IF(X$6=$C65,IF(INDEX('Surface DEET'!$Q$9:$W$38,COLUMN(X58)-COLUMN($E$5),1)&gt;0,INDEX('Surface DEET'!$Q$9:$W$38,COLUMN(X58)-COLUMN($E$5),1),$E65),0)</f>
        <v>0</v>
      </c>
      <c r="Y65" s="295">
        <f>IF(Y$6=$C65,IF(INDEX('Surface DEET'!$Q$9:$W$38,COLUMN(Y58)-COLUMN($E$5),1)&gt;0,INDEX('Surface DEET'!$Q$9:$W$38,COLUMN(Y58)-COLUMN($E$5),1),$E65),0)</f>
        <v>0</v>
      </c>
      <c r="Z65" s="295">
        <f>IF(Z$6=$C65,IF(INDEX('Surface DEET'!$Q$9:$W$38,COLUMN(Z58)-COLUMN($E$5),1)&gt;0,INDEX('Surface DEET'!$Q$9:$W$38,COLUMN(Z58)-COLUMN($E$5),1),$E65),0)</f>
        <v>0</v>
      </c>
      <c r="AA65" s="295">
        <f>IF(AA$6=$C65,IF(INDEX('Surface DEET'!$Q$9:$W$38,COLUMN(AA58)-COLUMN($E$5),1)&gt;0,INDEX('Surface DEET'!$Q$9:$W$38,COLUMN(AA58)-COLUMN($E$5),1),$E65),0)</f>
        <v>0</v>
      </c>
      <c r="AB65" s="295">
        <f>IF(AB$6=$C65,IF(INDEX('Surface DEET'!$Q$9:$W$38,COLUMN(AB58)-COLUMN($E$5),1)&gt;0,INDEX('Surface DEET'!$Q$9:$W$38,COLUMN(AB58)-COLUMN($E$5),1),$E65),0)</f>
        <v>0</v>
      </c>
      <c r="AC65" s="295">
        <f>IF(AC$6=$C65,IF(INDEX('Surface DEET'!$Q$9:$W$38,COLUMN(AC58)-COLUMN($E$5),1)&gt;0,INDEX('Surface DEET'!$Q$9:$W$38,COLUMN(AC58)-COLUMN($E$5),1),$E65),0)</f>
        <v>0</v>
      </c>
      <c r="AD65" s="295">
        <f>IF(AD$6=$C65,IF(INDEX('Surface DEET'!$Q$9:$W$38,COLUMN(AD58)-COLUMN($E$5),1)&gt;0,INDEX('Surface DEET'!$Q$9:$W$38,COLUMN(AD58)-COLUMN($E$5),1),$E65),0)</f>
        <v>0</v>
      </c>
      <c r="AE65" s="295">
        <f>IF(AE$6=$C65,IF(INDEX('Surface DEET'!$Q$9:$W$38,COLUMN(AE58)-COLUMN($E$5),1)&gt;0,INDEX('Surface DEET'!$Q$9:$W$38,COLUMN(AE58)-COLUMN($E$5),1),$E65),0)</f>
        <v>0</v>
      </c>
      <c r="AF65" s="295">
        <f>IF(AF$6=$C65,IF(INDEX('Surface DEET'!$Q$9:$W$38,COLUMN(AF58)-COLUMN($E$5),1)&gt;0,INDEX('Surface DEET'!$Q$9:$W$38,COLUMN(AF58)-COLUMN($E$5),1),$E65),0)</f>
        <v>0</v>
      </c>
      <c r="AG65" s="295">
        <f>IF(AG$6=$C65,IF(INDEX('Surface DEET'!$Q$9:$W$38,COLUMN(AG58)-COLUMN($E$5),1)&gt;0,INDEX('Surface DEET'!$Q$9:$W$38,COLUMN(AG58)-COLUMN($E$5),1),$E65),0)</f>
        <v>0</v>
      </c>
      <c r="AH65" s="295">
        <f>IF(AH$6=$C65,IF(INDEX('Surface DEET'!$Q$9:$W$38,COLUMN(AH58)-COLUMN($E$5),1)&gt;0,INDEX('Surface DEET'!$Q$9:$W$38,COLUMN(AH58)-COLUMN($E$5),1),$E65),0)</f>
        <v>0</v>
      </c>
      <c r="AI65" s="295">
        <f>IF(AI$6=$C65,IF(INDEX('Surface DEET'!$Q$9:$W$38,COLUMN(AI58)-COLUMN($E$5),1)&gt;0,INDEX('Surface DEET'!$Q$9:$W$38,COLUMN(AI58)-COLUMN($E$5),1),$E65),0)</f>
        <v>0</v>
      </c>
    </row>
    <row r="66" spans="1:35">
      <c r="A66" s="521"/>
      <c r="B66" s="295" t="s">
        <v>549</v>
      </c>
      <c r="C66" s="32" t="s">
        <v>608</v>
      </c>
      <c r="D66" s="343" t="s">
        <v>610</v>
      </c>
      <c r="E66" s="346">
        <v>16</v>
      </c>
      <c r="F66" s="295">
        <f>IF(F$6=$C66,IF(INDEX('Surface DEET'!$Q$9:$W$38,COLUMN(F59)-COLUMN($E$5),4)&gt;0,INDEX('Surface DEET'!$Q$9:$W$38,COLUMN(F59)-COLUMN($E$5),4),$E66),0)</f>
        <v>0</v>
      </c>
      <c r="G66" s="295">
        <f>IF(G$6=$C66,IF(INDEX('Surface DEET'!$Q$9:$W$38,COLUMN(G59)-COLUMN($E$5),4)&gt;0,INDEX('Surface DEET'!$Q$9:$W$38,COLUMN(G59)-COLUMN($E$5),4),$E66),0)</f>
        <v>0</v>
      </c>
      <c r="H66" s="295">
        <f>IF(H$6=$C66,IF(INDEX('Surface DEET'!$Q$9:$W$38,COLUMN(H59)-COLUMN($E$5),4)&gt;0,INDEX('Surface DEET'!$Q$9:$W$38,COLUMN(H59)-COLUMN($E$5),4),$E66),0)</f>
        <v>0</v>
      </c>
      <c r="I66" s="295">
        <f>IF(I$6=$C66,IF(INDEX('Surface DEET'!$Q$9:$W$38,COLUMN(I59)-COLUMN($E$5),4)&gt;0,INDEX('Surface DEET'!$Q$9:$W$38,COLUMN(I59)-COLUMN($E$5),4),$E66),0)</f>
        <v>0</v>
      </c>
      <c r="J66" s="295">
        <f>IF(J$6=$C66,IF(INDEX('Surface DEET'!$Q$9:$W$38,COLUMN(J59)-COLUMN($E$5),4)&gt;0,INDEX('Surface DEET'!$Q$9:$W$38,COLUMN(J59)-COLUMN($E$5),4),$E66),0)</f>
        <v>0</v>
      </c>
      <c r="K66" s="295">
        <f>IF(K$6=$C66,IF(INDEX('Surface DEET'!$Q$9:$W$38,COLUMN(K59)-COLUMN($E$5),4)&gt;0,INDEX('Surface DEET'!$Q$9:$W$38,COLUMN(K59)-COLUMN($E$5),4),$E66),0)</f>
        <v>0</v>
      </c>
      <c r="L66" s="295">
        <f>IF(L$6=$C66,IF(INDEX('Surface DEET'!$Q$9:$W$38,COLUMN(L59)-COLUMN($E$5),4)&gt;0,INDEX('Surface DEET'!$Q$9:$W$38,COLUMN(L59)-COLUMN($E$5),4),$E66),0)</f>
        <v>0</v>
      </c>
      <c r="M66" s="295">
        <f>IF(M$6=$C66,IF(INDEX('Surface DEET'!$Q$9:$W$38,COLUMN(M59)-COLUMN($E$5),4)&gt;0,INDEX('Surface DEET'!$Q$9:$W$38,COLUMN(M59)-COLUMN($E$5),4),$E66),0)</f>
        <v>0</v>
      </c>
      <c r="N66" s="295">
        <f>IF(N$6=$C66,IF(INDEX('Surface DEET'!$Q$9:$W$38,COLUMN(N59)-COLUMN($E$5),4)&gt;0,INDEX('Surface DEET'!$Q$9:$W$38,COLUMN(N59)-COLUMN($E$5),4),$E66),0)</f>
        <v>0</v>
      </c>
      <c r="O66" s="295">
        <f>IF(O$6=$C66,IF(INDEX('Surface DEET'!$Q$9:$W$38,COLUMN(O59)-COLUMN($E$5),4)&gt;0,INDEX('Surface DEET'!$Q$9:$W$38,COLUMN(O59)-COLUMN($E$5),4),$E66),0)</f>
        <v>0</v>
      </c>
      <c r="P66" s="295">
        <f>IF(P$6=$C66,IF(INDEX('Surface DEET'!$Q$9:$W$38,COLUMN(P59)-COLUMN($E$5),4)&gt;0,INDEX('Surface DEET'!$Q$9:$W$38,COLUMN(P59)-COLUMN($E$5),4),$E66),0)</f>
        <v>0</v>
      </c>
      <c r="Q66" s="295">
        <f>IF(Q$6=$C66,IF(INDEX('Surface DEET'!$Q$9:$W$38,COLUMN(Q59)-COLUMN($E$5),4)&gt;0,INDEX('Surface DEET'!$Q$9:$W$38,COLUMN(Q59)-COLUMN($E$5),4),$E66),0)</f>
        <v>0</v>
      </c>
      <c r="R66" s="295">
        <f>IF(R$6=$C66,IF(INDEX('Surface DEET'!$Q$9:$W$38,COLUMN(R59)-COLUMN($E$5),4)&gt;0,INDEX('Surface DEET'!$Q$9:$W$38,COLUMN(R59)-COLUMN($E$5),4),$E66),0)</f>
        <v>0</v>
      </c>
      <c r="S66" s="295">
        <f>IF(S$6=$C66,IF(INDEX('Surface DEET'!$Q$9:$W$38,COLUMN(S59)-COLUMN($E$5),4)&gt;0,INDEX('Surface DEET'!$Q$9:$W$38,COLUMN(S59)-COLUMN($E$5),4),$E66),0)</f>
        <v>0</v>
      </c>
      <c r="T66" s="295">
        <f>IF(T$6=$C66,IF(INDEX('Surface DEET'!$Q$9:$W$38,COLUMN(T59)-COLUMN($E$5),4)&gt;0,INDEX('Surface DEET'!$Q$9:$W$38,COLUMN(T59)-COLUMN($E$5),4),$E66),0)</f>
        <v>0</v>
      </c>
      <c r="U66" s="295">
        <f>IF(U$6=$C66,IF(INDEX('Surface DEET'!$Q$9:$W$38,COLUMN(U59)-COLUMN($E$5),4)&gt;0,INDEX('Surface DEET'!$Q$9:$W$38,COLUMN(U59)-COLUMN($E$5),4),$E66),0)</f>
        <v>0</v>
      </c>
      <c r="V66" s="295">
        <f>IF(V$6=$C66,IF(INDEX('Surface DEET'!$Q$9:$W$38,COLUMN(V59)-COLUMN($E$5),4)&gt;0,INDEX('Surface DEET'!$Q$9:$W$38,COLUMN(V59)-COLUMN($E$5),4),$E66),0)</f>
        <v>0</v>
      </c>
      <c r="W66" s="295">
        <f>IF(W$6=$C66,IF(INDEX('Surface DEET'!$Q$9:$W$38,COLUMN(W59)-COLUMN($E$5),4)&gt;0,INDEX('Surface DEET'!$Q$9:$W$38,COLUMN(W59)-COLUMN($E$5),4),$E66),0)</f>
        <v>0</v>
      </c>
      <c r="X66" s="295">
        <f>IF(X$6=$C66,IF(INDEX('Surface DEET'!$Q$9:$W$38,COLUMN(X59)-COLUMN($E$5),4)&gt;0,INDEX('Surface DEET'!$Q$9:$W$38,COLUMN(X59)-COLUMN($E$5),4),$E66),0)</f>
        <v>0</v>
      </c>
      <c r="Y66" s="295">
        <f>IF(Y$6=$C66,IF(INDEX('Surface DEET'!$Q$9:$W$38,COLUMN(Y59)-COLUMN($E$5),4)&gt;0,INDEX('Surface DEET'!$Q$9:$W$38,COLUMN(Y59)-COLUMN($E$5),4),$E66),0)</f>
        <v>0</v>
      </c>
      <c r="Z66" s="295">
        <f>IF(Z$6=$C66,IF(INDEX('Surface DEET'!$Q$9:$W$38,COLUMN(Z59)-COLUMN($E$5),4)&gt;0,INDEX('Surface DEET'!$Q$9:$W$38,COLUMN(Z59)-COLUMN($E$5),4),$E66),0)</f>
        <v>0</v>
      </c>
      <c r="AA66" s="295">
        <f>IF(AA$6=$C66,IF(INDEX('Surface DEET'!$Q$9:$W$38,COLUMN(AA59)-COLUMN($E$5),4)&gt;0,INDEX('Surface DEET'!$Q$9:$W$38,COLUMN(AA59)-COLUMN($E$5),4),$E66),0)</f>
        <v>0</v>
      </c>
      <c r="AB66" s="295">
        <f>IF(AB$6=$C66,IF(INDEX('Surface DEET'!$Q$9:$W$38,COLUMN(AB59)-COLUMN($E$5),4)&gt;0,INDEX('Surface DEET'!$Q$9:$W$38,COLUMN(AB59)-COLUMN($E$5),4),$E66),0)</f>
        <v>0</v>
      </c>
      <c r="AC66" s="295">
        <f>IF(AC$6=$C66,IF(INDEX('Surface DEET'!$Q$9:$W$38,COLUMN(AC59)-COLUMN($E$5),4)&gt;0,INDEX('Surface DEET'!$Q$9:$W$38,COLUMN(AC59)-COLUMN($E$5),4),$E66),0)</f>
        <v>0</v>
      </c>
      <c r="AD66" s="295">
        <f>IF(AD$6=$C66,IF(INDEX('Surface DEET'!$Q$9:$W$38,COLUMN(AD59)-COLUMN($E$5),4)&gt;0,INDEX('Surface DEET'!$Q$9:$W$38,COLUMN(AD59)-COLUMN($E$5),4),$E66),0)</f>
        <v>0</v>
      </c>
      <c r="AE66" s="295">
        <f>IF(AE$6=$C66,IF(INDEX('Surface DEET'!$Q$9:$W$38,COLUMN(AE59)-COLUMN($E$5),4)&gt;0,INDEX('Surface DEET'!$Q$9:$W$38,COLUMN(AE59)-COLUMN($E$5),4),$E66),0)</f>
        <v>0</v>
      </c>
      <c r="AF66" s="295">
        <f>IF(AF$6=$C66,IF(INDEX('Surface DEET'!$Q$9:$W$38,COLUMN(AF59)-COLUMN($E$5),4)&gt;0,INDEX('Surface DEET'!$Q$9:$W$38,COLUMN(AF59)-COLUMN($E$5),4),$E66),0)</f>
        <v>0</v>
      </c>
      <c r="AG66" s="295">
        <f>IF(AG$6=$C66,IF(INDEX('Surface DEET'!$Q$9:$W$38,COLUMN(AG59)-COLUMN($E$5),4)&gt;0,INDEX('Surface DEET'!$Q$9:$W$38,COLUMN(AG59)-COLUMN($E$5),4),$E66),0)</f>
        <v>0</v>
      </c>
      <c r="AH66" s="295">
        <f>IF(AH$6=$C66,IF(INDEX('Surface DEET'!$Q$9:$W$38,COLUMN(AH59)-COLUMN($E$5),4)&gt;0,INDEX('Surface DEET'!$Q$9:$W$38,COLUMN(AH59)-COLUMN($E$5),4),$E66),0)</f>
        <v>0</v>
      </c>
      <c r="AI66" s="295">
        <f>IF(AI$6=$C66,IF(INDEX('Surface DEET'!$Q$9:$W$38,COLUMN(AI59)-COLUMN($E$5),4)&gt;0,INDEX('Surface DEET'!$Q$9:$W$38,COLUMN(AI59)-COLUMN($E$5),4),$E66),0)</f>
        <v>0</v>
      </c>
    </row>
    <row r="67" spans="1:35">
      <c r="A67" s="521"/>
      <c r="B67" s="295" t="s">
        <v>552</v>
      </c>
      <c r="C67" s="32" t="s">
        <v>608</v>
      </c>
      <c r="D67" s="343"/>
      <c r="E67" s="346"/>
    </row>
    <row r="68" spans="1:35">
      <c r="A68" s="521"/>
      <c r="B68" s="295" t="s">
        <v>611</v>
      </c>
      <c r="C68" s="32" t="s">
        <v>608</v>
      </c>
      <c r="D68" s="343" t="s">
        <v>612</v>
      </c>
      <c r="E68" s="346">
        <v>701</v>
      </c>
    </row>
    <row r="69" spans="1:35">
      <c r="A69" s="521"/>
      <c r="B69" s="295" t="s">
        <v>613</v>
      </c>
      <c r="C69" s="32" t="s">
        <v>608</v>
      </c>
      <c r="D69" s="343" t="s">
        <v>614</v>
      </c>
      <c r="E69" s="346">
        <v>6.3</v>
      </c>
    </row>
    <row r="70" spans="1:35" ht="15.75" customHeight="1">
      <c r="A70" s="521"/>
      <c r="B70" s="295" t="s">
        <v>615</v>
      </c>
      <c r="C70" s="32" t="s">
        <v>608</v>
      </c>
      <c r="D70" s="343" t="s">
        <v>616</v>
      </c>
      <c r="E70" s="346">
        <v>118</v>
      </c>
    </row>
    <row r="71" spans="1:35" ht="15.75" customHeight="1">
      <c r="A71" s="93"/>
      <c r="B71" s="295" t="s">
        <v>542</v>
      </c>
      <c r="C71" s="32" t="s">
        <v>608</v>
      </c>
      <c r="D71" s="295" t="s">
        <v>542</v>
      </c>
      <c r="F71" s="295">
        <f>IFERROR($E$62*(F65/$E$65)*($E$64*(F66/100*$E$68+(1-F66/100)*$E$69)/$E$70+(1-$E$64))+0.28*$E$61*(F65-$E$65)/$E$65,0)</f>
        <v>-14.840000000000002</v>
      </c>
      <c r="G71" s="295">
        <f t="shared" ref="G71:AI71" si="7">IFERROR($E$62*(G65/$E$65)*($E$64*(G66/100*$E$68+(1-G66/100)*$E$69)/$E$70+(1-$E$64))+0.28*$E$61*(G65-$E$65)/$E$65,0)</f>
        <v>-14.840000000000002</v>
      </c>
      <c r="H71" s="295">
        <f t="shared" si="7"/>
        <v>-14.840000000000002</v>
      </c>
      <c r="I71" s="295">
        <f t="shared" si="7"/>
        <v>-14.840000000000002</v>
      </c>
      <c r="J71" s="295">
        <f t="shared" si="7"/>
        <v>-14.840000000000002</v>
      </c>
      <c r="K71" s="295">
        <f t="shared" si="7"/>
        <v>-14.840000000000002</v>
      </c>
      <c r="L71" s="295">
        <f t="shared" si="7"/>
        <v>-14.840000000000002</v>
      </c>
      <c r="M71" s="295">
        <f t="shared" si="7"/>
        <v>-14.840000000000002</v>
      </c>
      <c r="N71" s="295">
        <f t="shared" si="7"/>
        <v>-14.840000000000002</v>
      </c>
      <c r="O71" s="295">
        <f t="shared" si="7"/>
        <v>-14.840000000000002</v>
      </c>
      <c r="P71" s="295">
        <f t="shared" si="7"/>
        <v>-14.840000000000002</v>
      </c>
      <c r="Q71" s="295">
        <f t="shared" si="7"/>
        <v>-14.840000000000002</v>
      </c>
      <c r="R71" s="295">
        <f t="shared" si="7"/>
        <v>-14.840000000000002</v>
      </c>
      <c r="S71" s="295">
        <f t="shared" si="7"/>
        <v>-14.840000000000002</v>
      </c>
      <c r="T71" s="295">
        <f t="shared" si="7"/>
        <v>-14.840000000000002</v>
      </c>
      <c r="U71" s="295">
        <f t="shared" si="7"/>
        <v>-14.840000000000002</v>
      </c>
      <c r="V71" s="295">
        <f t="shared" si="7"/>
        <v>-14.840000000000002</v>
      </c>
      <c r="W71" s="295">
        <f t="shared" si="7"/>
        <v>-14.840000000000002</v>
      </c>
      <c r="X71" s="295">
        <f t="shared" si="7"/>
        <v>-14.840000000000002</v>
      </c>
      <c r="Y71" s="295">
        <f t="shared" si="7"/>
        <v>-14.840000000000002</v>
      </c>
      <c r="Z71" s="295">
        <f t="shared" si="7"/>
        <v>-14.840000000000002</v>
      </c>
      <c r="AA71" s="295">
        <f t="shared" si="7"/>
        <v>-14.840000000000002</v>
      </c>
      <c r="AB71" s="295">
        <f t="shared" si="7"/>
        <v>-14.840000000000002</v>
      </c>
      <c r="AC71" s="295">
        <f t="shared" si="7"/>
        <v>-14.840000000000002</v>
      </c>
      <c r="AD71" s="295">
        <f t="shared" si="7"/>
        <v>-14.840000000000002</v>
      </c>
      <c r="AE71" s="295">
        <f t="shared" si="7"/>
        <v>-14.840000000000002</v>
      </c>
      <c r="AF71" s="295">
        <f t="shared" si="7"/>
        <v>-14.840000000000002</v>
      </c>
      <c r="AG71" s="295">
        <f t="shared" si="7"/>
        <v>-14.840000000000002</v>
      </c>
      <c r="AH71" s="295">
        <f t="shared" si="7"/>
        <v>-14.840000000000002</v>
      </c>
      <c r="AI71" s="295">
        <f t="shared" si="7"/>
        <v>-14.840000000000002</v>
      </c>
    </row>
    <row r="72" spans="1:35">
      <c r="A72" s="522" t="s">
        <v>617</v>
      </c>
      <c r="B72" s="93" t="s">
        <v>301</v>
      </c>
      <c r="C72" s="32" t="s">
        <v>617</v>
      </c>
      <c r="D72" s="93" t="s">
        <v>301</v>
      </c>
      <c r="E72" s="295">
        <f t="array" ref="E72">INDEX(CABS_CVC!$C$3:$O$894,MATCH(1, (CABS_CVC!$A$3:$A$894=Calculs_CABS!C72)*(CABS_CVC!$B$3:$B$894=Calculs_CABS!$D$2),0),MATCH(Calculs_CABS!$D$1,Liste_CABS!$B$3:$B$15,0))</f>
        <v>62</v>
      </c>
    </row>
    <row r="73" spans="1:35">
      <c r="A73" s="522"/>
      <c r="B73" s="295" t="s">
        <v>543</v>
      </c>
      <c r="C73" s="32" t="s">
        <v>617</v>
      </c>
      <c r="D73" s="295" t="s">
        <v>543</v>
      </c>
      <c r="E73" s="346">
        <v>20</v>
      </c>
    </row>
    <row r="74" spans="1:35">
      <c r="A74" s="522"/>
      <c r="B74" s="295" t="s">
        <v>544</v>
      </c>
      <c r="C74" s="32" t="s">
        <v>617</v>
      </c>
      <c r="D74" s="295" t="s">
        <v>544</v>
      </c>
      <c r="E74" s="295">
        <f>E72+E73</f>
        <v>82</v>
      </c>
    </row>
    <row r="75" spans="1:35">
      <c r="A75" s="522"/>
      <c r="B75" s="295" t="s">
        <v>545</v>
      </c>
      <c r="C75" s="32" t="s">
        <v>617</v>
      </c>
      <c r="D75" s="295" t="s">
        <v>545</v>
      </c>
      <c r="E75" s="295">
        <v>0</v>
      </c>
    </row>
    <row r="76" spans="1:35">
      <c r="A76" s="522"/>
      <c r="B76" s="295" t="s">
        <v>546</v>
      </c>
      <c r="C76" s="32" t="s">
        <v>617</v>
      </c>
      <c r="D76" s="343" t="s">
        <v>592</v>
      </c>
      <c r="E76" s="295">
        <v>8760</v>
      </c>
      <c r="F76" s="295">
        <f>IF(F$6=$C76,IF(INDEX('Surface DEET'!$Q$9:$W$38,COLUMN(F69)-COLUMN($E$5),1)&gt;0,INDEX('Surface DEET'!$Q$9:$W$38,COLUMN(F69)-COLUMN($E$5),1),$E76),0)</f>
        <v>8760</v>
      </c>
      <c r="G76" s="295">
        <f>IF(G$6=$C76,IF(INDEX('Surface DEET'!$Q$9:$W$38,COLUMN(G69)-COLUMN($E$5),1)&gt;0,INDEX('Surface DEET'!$Q$9:$W$38,COLUMN(G69)-COLUMN($E$5),1),$E76),0)</f>
        <v>0</v>
      </c>
      <c r="H76" s="295">
        <f>IF(H$6=$C76,IF(INDEX('Surface DEET'!$Q$9:$W$38,COLUMN(H69)-COLUMN($E$5),1)&gt;0,INDEX('Surface DEET'!$Q$9:$W$38,COLUMN(H69)-COLUMN($E$5),1),$E76),0)</f>
        <v>0</v>
      </c>
      <c r="I76" s="295">
        <f>IF(I$6=$C76,IF(INDEX('Surface DEET'!$Q$9:$W$38,COLUMN(I69)-COLUMN($E$5),1)&gt;0,INDEX('Surface DEET'!$Q$9:$W$38,COLUMN(I69)-COLUMN($E$5),1),$E76),0)</f>
        <v>0</v>
      </c>
      <c r="J76" s="295">
        <f>IF(J$6=$C76,IF(INDEX('Surface DEET'!$Q$9:$W$38,COLUMN(J69)-COLUMN($E$5),1)&gt;0,INDEX('Surface DEET'!$Q$9:$W$38,COLUMN(J69)-COLUMN($E$5),1),$E76),0)</f>
        <v>0</v>
      </c>
      <c r="K76" s="295">
        <f>IF(K$6=$C76,IF(INDEX('Surface DEET'!$Q$9:$W$38,COLUMN(K69)-COLUMN($E$5),1)&gt;0,INDEX('Surface DEET'!$Q$9:$W$38,COLUMN(K69)-COLUMN($E$5),1),$E76),0)</f>
        <v>0</v>
      </c>
      <c r="L76" s="295">
        <f>IF(L$6=$C76,IF(INDEX('Surface DEET'!$Q$9:$W$38,COLUMN(L69)-COLUMN($E$5),1)&gt;0,INDEX('Surface DEET'!$Q$9:$W$38,COLUMN(L69)-COLUMN($E$5),1),$E76),0)</f>
        <v>0</v>
      </c>
      <c r="M76" s="295">
        <f>IF(M$6=$C76,IF(INDEX('Surface DEET'!$Q$9:$W$38,COLUMN(M69)-COLUMN($E$5),1)&gt;0,INDEX('Surface DEET'!$Q$9:$W$38,COLUMN(M69)-COLUMN($E$5),1),$E76),0)</f>
        <v>0</v>
      </c>
      <c r="N76" s="295">
        <f>IF(N$6=$C76,IF(INDEX('Surface DEET'!$Q$9:$W$38,COLUMN(N69)-COLUMN($E$5),1)&gt;0,INDEX('Surface DEET'!$Q$9:$W$38,COLUMN(N69)-COLUMN($E$5),1),$E76),0)</f>
        <v>0</v>
      </c>
      <c r="O76" s="295">
        <f>IF(O$6=$C76,IF(INDEX('Surface DEET'!$Q$9:$W$38,COLUMN(O69)-COLUMN($E$5),1)&gt;0,INDEX('Surface DEET'!$Q$9:$W$38,COLUMN(O69)-COLUMN($E$5),1),$E76),0)</f>
        <v>0</v>
      </c>
      <c r="P76" s="295">
        <f>IF(P$6=$C76,IF(INDEX('Surface DEET'!$Q$9:$W$38,COLUMN(P69)-COLUMN($E$5),1)&gt;0,INDEX('Surface DEET'!$Q$9:$W$38,COLUMN(P69)-COLUMN($E$5),1),$E76),0)</f>
        <v>0</v>
      </c>
      <c r="Q76" s="295">
        <f>IF(Q$6=$C76,IF(INDEX('Surface DEET'!$Q$9:$W$38,COLUMN(Q69)-COLUMN($E$5),1)&gt;0,INDEX('Surface DEET'!$Q$9:$W$38,COLUMN(Q69)-COLUMN($E$5),1),$E76),0)</f>
        <v>0</v>
      </c>
      <c r="R76" s="295">
        <f>IF(R$6=$C76,IF(INDEX('Surface DEET'!$Q$9:$W$38,COLUMN(R69)-COLUMN($E$5),1)&gt;0,INDEX('Surface DEET'!$Q$9:$W$38,COLUMN(R69)-COLUMN($E$5),1),$E76),0)</f>
        <v>0</v>
      </c>
      <c r="S76" s="295">
        <f>IF(S$6=$C76,IF(INDEX('Surface DEET'!$Q$9:$W$38,COLUMN(S69)-COLUMN($E$5),1)&gt;0,INDEX('Surface DEET'!$Q$9:$W$38,COLUMN(S69)-COLUMN($E$5),1),$E76),0)</f>
        <v>0</v>
      </c>
      <c r="T76" s="295">
        <f>IF(T$6=$C76,IF(INDEX('Surface DEET'!$Q$9:$W$38,COLUMN(T69)-COLUMN($E$5),1)&gt;0,INDEX('Surface DEET'!$Q$9:$W$38,COLUMN(T69)-COLUMN($E$5),1),$E76),0)</f>
        <v>0</v>
      </c>
      <c r="U76" s="295">
        <f>IF(U$6=$C76,IF(INDEX('Surface DEET'!$Q$9:$W$38,COLUMN(U69)-COLUMN($E$5),1)&gt;0,INDEX('Surface DEET'!$Q$9:$W$38,COLUMN(U69)-COLUMN($E$5),1),$E76),0)</f>
        <v>0</v>
      </c>
      <c r="V76" s="295">
        <f>IF(V$6=$C76,IF(INDEX('Surface DEET'!$Q$9:$W$38,COLUMN(V69)-COLUMN($E$5),1)&gt;0,INDEX('Surface DEET'!$Q$9:$W$38,COLUMN(V69)-COLUMN($E$5),1),$E76),0)</f>
        <v>0</v>
      </c>
      <c r="W76" s="295">
        <f>IF(W$6=$C76,IF(INDEX('Surface DEET'!$Q$9:$W$38,COLUMN(W69)-COLUMN($E$5),1)&gt;0,INDEX('Surface DEET'!$Q$9:$W$38,COLUMN(W69)-COLUMN($E$5),1),$E76),0)</f>
        <v>0</v>
      </c>
      <c r="X76" s="295">
        <f>IF(X$6=$C76,IF(INDEX('Surface DEET'!$Q$9:$W$38,COLUMN(X69)-COLUMN($E$5),1)&gt;0,INDEX('Surface DEET'!$Q$9:$W$38,COLUMN(X69)-COLUMN($E$5),1),$E76),0)</f>
        <v>0</v>
      </c>
      <c r="Y76" s="295">
        <f>IF(Y$6=$C76,IF(INDEX('Surface DEET'!$Q$9:$W$38,COLUMN(Y69)-COLUMN($E$5),1)&gt;0,INDEX('Surface DEET'!$Q$9:$W$38,COLUMN(Y69)-COLUMN($E$5),1),$E76),0)</f>
        <v>0</v>
      </c>
      <c r="Z76" s="295">
        <f>IF(Z$6=$C76,IF(INDEX('Surface DEET'!$Q$9:$W$38,COLUMN(Z69)-COLUMN($E$5),1)&gt;0,INDEX('Surface DEET'!$Q$9:$W$38,COLUMN(Z69)-COLUMN($E$5),1),$E76),0)</f>
        <v>0</v>
      </c>
      <c r="AA76" s="295">
        <f>IF(AA$6=$C76,IF(INDEX('Surface DEET'!$Q$9:$W$38,COLUMN(AA69)-COLUMN($E$5),1)&gt;0,INDEX('Surface DEET'!$Q$9:$W$38,COLUMN(AA69)-COLUMN($E$5),1),$E76),0)</f>
        <v>0</v>
      </c>
      <c r="AB76" s="295">
        <f>IF(AB$6=$C76,IF(INDEX('Surface DEET'!$Q$9:$W$38,COLUMN(AB69)-COLUMN($E$5),1)&gt;0,INDEX('Surface DEET'!$Q$9:$W$38,COLUMN(AB69)-COLUMN($E$5),1),$E76),0)</f>
        <v>0</v>
      </c>
      <c r="AC76" s="295">
        <f>IF(AC$6=$C76,IF(INDEX('Surface DEET'!$Q$9:$W$38,COLUMN(AC69)-COLUMN($E$5),1)&gt;0,INDEX('Surface DEET'!$Q$9:$W$38,COLUMN(AC69)-COLUMN($E$5),1),$E76),0)</f>
        <v>0</v>
      </c>
      <c r="AD76" s="295">
        <f>IF(AD$6=$C76,IF(INDEX('Surface DEET'!$Q$9:$W$38,COLUMN(AD69)-COLUMN($E$5),1)&gt;0,INDEX('Surface DEET'!$Q$9:$W$38,COLUMN(AD69)-COLUMN($E$5),1),$E76),0)</f>
        <v>0</v>
      </c>
      <c r="AE76" s="295">
        <f>IF(AE$6=$C76,IF(INDEX('Surface DEET'!$Q$9:$W$38,COLUMN(AE69)-COLUMN($E$5),1)&gt;0,INDEX('Surface DEET'!$Q$9:$W$38,COLUMN(AE69)-COLUMN($E$5),1),$E76),0)</f>
        <v>0</v>
      </c>
      <c r="AF76" s="295">
        <f>IF(AF$6=$C76,IF(INDEX('Surface DEET'!$Q$9:$W$38,COLUMN(AF69)-COLUMN($E$5),1)&gt;0,INDEX('Surface DEET'!$Q$9:$W$38,COLUMN(AF69)-COLUMN($E$5),1),$E76),0)</f>
        <v>0</v>
      </c>
      <c r="AG76" s="295">
        <f>IF(AG$6=$C76,IF(INDEX('Surface DEET'!$Q$9:$W$38,COLUMN(AG69)-COLUMN($E$5),1)&gt;0,INDEX('Surface DEET'!$Q$9:$W$38,COLUMN(AG69)-COLUMN($E$5),1),$E76),0)</f>
        <v>0</v>
      </c>
      <c r="AH76" s="295">
        <f>IF(AH$6=$C76,IF(INDEX('Surface DEET'!$Q$9:$W$38,COLUMN(AH69)-COLUMN($E$5),1)&gt;0,INDEX('Surface DEET'!$Q$9:$W$38,COLUMN(AH69)-COLUMN($E$5),1),$E76),0)</f>
        <v>0</v>
      </c>
      <c r="AI76" s="295">
        <f>IF(AI$6=$C76,IF(INDEX('Surface DEET'!$Q$9:$W$38,COLUMN(AI69)-COLUMN($E$5),1)&gt;0,INDEX('Surface DEET'!$Q$9:$W$38,COLUMN(AI69)-COLUMN($E$5),1),$E76),0)</f>
        <v>0</v>
      </c>
    </row>
    <row r="77" spans="1:35">
      <c r="A77" s="522"/>
      <c r="B77" s="295" t="s">
        <v>542</v>
      </c>
      <c r="C77" s="32" t="s">
        <v>617</v>
      </c>
      <c r="D77" s="295" t="s">
        <v>542</v>
      </c>
      <c r="F77" s="295">
        <f>$E$73*(F76/$E$76)+0.28*$E$72*(F76-$E$76)/$E$76</f>
        <v>20</v>
      </c>
      <c r="G77" s="295">
        <f>$E$73*(G76/$E$76)+0.28*$E$72*(G76-$E$76)/$E$76</f>
        <v>-17.360000000000003</v>
      </c>
      <c r="H77" s="295">
        <f t="shared" ref="H77:AI77" si="8">$E$73*(H76/$E$76)+0.28*$E$72*(H76-$E$76)/$E$76</f>
        <v>-17.360000000000003</v>
      </c>
      <c r="I77" s="295">
        <f t="shared" si="8"/>
        <v>-17.360000000000003</v>
      </c>
      <c r="J77" s="295">
        <f t="shared" si="8"/>
        <v>-17.360000000000003</v>
      </c>
      <c r="K77" s="295">
        <f t="shared" si="8"/>
        <v>-17.360000000000003</v>
      </c>
      <c r="L77" s="295">
        <f t="shared" si="8"/>
        <v>-17.360000000000003</v>
      </c>
      <c r="M77" s="295">
        <f t="shared" si="8"/>
        <v>-17.360000000000003</v>
      </c>
      <c r="N77" s="295">
        <f t="shared" si="8"/>
        <v>-17.360000000000003</v>
      </c>
      <c r="O77" s="295">
        <f t="shared" si="8"/>
        <v>-17.360000000000003</v>
      </c>
      <c r="P77" s="295">
        <f t="shared" si="8"/>
        <v>-17.360000000000003</v>
      </c>
      <c r="Q77" s="295">
        <f t="shared" si="8"/>
        <v>-17.360000000000003</v>
      </c>
      <c r="R77" s="295">
        <f t="shared" si="8"/>
        <v>-17.360000000000003</v>
      </c>
      <c r="S77" s="295">
        <f t="shared" si="8"/>
        <v>-17.360000000000003</v>
      </c>
      <c r="T77" s="295">
        <f t="shared" si="8"/>
        <v>-17.360000000000003</v>
      </c>
      <c r="U77" s="295">
        <f t="shared" si="8"/>
        <v>-17.360000000000003</v>
      </c>
      <c r="V77" s="295">
        <f t="shared" si="8"/>
        <v>-17.360000000000003</v>
      </c>
      <c r="W77" s="295">
        <f t="shared" si="8"/>
        <v>-17.360000000000003</v>
      </c>
      <c r="X77" s="295">
        <f t="shared" si="8"/>
        <v>-17.360000000000003</v>
      </c>
      <c r="Y77" s="295">
        <f t="shared" si="8"/>
        <v>-17.360000000000003</v>
      </c>
      <c r="Z77" s="295">
        <f t="shared" si="8"/>
        <v>-17.360000000000003</v>
      </c>
      <c r="AA77" s="295">
        <f t="shared" si="8"/>
        <v>-17.360000000000003</v>
      </c>
      <c r="AB77" s="295">
        <f t="shared" si="8"/>
        <v>-17.360000000000003</v>
      </c>
      <c r="AC77" s="295">
        <f t="shared" si="8"/>
        <v>-17.360000000000003</v>
      </c>
      <c r="AD77" s="295">
        <f t="shared" si="8"/>
        <v>-17.360000000000003</v>
      </c>
      <c r="AE77" s="295">
        <f t="shared" si="8"/>
        <v>-17.360000000000003</v>
      </c>
      <c r="AF77" s="295">
        <f t="shared" si="8"/>
        <v>-17.360000000000003</v>
      </c>
      <c r="AG77" s="295">
        <f t="shared" si="8"/>
        <v>-17.360000000000003</v>
      </c>
      <c r="AH77" s="295">
        <f t="shared" si="8"/>
        <v>-17.360000000000003</v>
      </c>
      <c r="AI77" s="295">
        <f t="shared" si="8"/>
        <v>-17.360000000000003</v>
      </c>
    </row>
    <row r="78" spans="1:35">
      <c r="A78" s="521" t="s">
        <v>618</v>
      </c>
      <c r="B78" s="93" t="s">
        <v>301</v>
      </c>
      <c r="C78" s="295" t="s">
        <v>618</v>
      </c>
      <c r="D78" s="93" t="s">
        <v>301</v>
      </c>
      <c r="E78" s="295">
        <f t="array" ref="E78">INDEX(CABS_CVC!$C$3:$O$894,MATCH(1, (CABS_CVC!$A$3:$A$894=Calculs_CABS!C78)*(CABS_CVC!$B$3:$B$894=Calculs_CABS!$D$2),0),MATCH(Calculs_CABS!$D$1,Liste_CABS!$B$3:$B$15,0))</f>
        <v>68</v>
      </c>
    </row>
    <row r="79" spans="1:35">
      <c r="A79" s="521"/>
      <c r="B79" s="295" t="s">
        <v>543</v>
      </c>
      <c r="C79" s="295" t="s">
        <v>618</v>
      </c>
      <c r="D79" s="295" t="s">
        <v>543</v>
      </c>
      <c r="E79" s="295">
        <v>73</v>
      </c>
    </row>
    <row r="80" spans="1:35">
      <c r="A80" s="521"/>
      <c r="B80" s="295" t="s">
        <v>544</v>
      </c>
      <c r="C80" s="295" t="s">
        <v>618</v>
      </c>
      <c r="D80" s="295" t="s">
        <v>544</v>
      </c>
      <c r="E80" s="295">
        <f>E78+E79</f>
        <v>141</v>
      </c>
    </row>
    <row r="81" spans="1:35">
      <c r="A81" s="521"/>
      <c r="B81" s="295" t="s">
        <v>545</v>
      </c>
      <c r="C81" s="295" t="s">
        <v>618</v>
      </c>
      <c r="D81" s="295" t="s">
        <v>545</v>
      </c>
      <c r="E81" s="295">
        <v>0.74</v>
      </c>
    </row>
    <row r="82" spans="1:35">
      <c r="A82" s="521"/>
      <c r="B82" s="295" t="s">
        <v>546</v>
      </c>
      <c r="C82" s="295" t="s">
        <v>618</v>
      </c>
      <c r="D82" s="343" t="s">
        <v>592</v>
      </c>
      <c r="E82" s="295">
        <v>8760</v>
      </c>
      <c r="F82" s="295">
        <f>IF(F$6=$C82,IF(INDEX('Surface DEET'!$Q$9:$W$38,COLUMN(F75)-COLUMN($E$5),1)&gt;0,INDEX('Surface DEET'!$Q$9:$W$38,COLUMN(F75)-COLUMN($E$5),1),$E82),0)</f>
        <v>0</v>
      </c>
      <c r="G82" s="295">
        <f>IF(G$6=$C82,IF(INDEX('Surface DEET'!$Q$9:$W$38,COLUMN(G75)-COLUMN($E$5),1)&gt;0,INDEX('Surface DEET'!$Q$9:$W$38,COLUMN(G75)-COLUMN($E$5),1),$E82),0)</f>
        <v>0</v>
      </c>
      <c r="H82" s="295">
        <f>IF(H$6=$C82,IF(INDEX('Surface DEET'!$Q$9:$W$38,COLUMN(H75)-COLUMN($E$5),1)&gt;0,INDEX('Surface DEET'!$Q$9:$W$38,COLUMN(H75)-COLUMN($E$5),1),$E82),0)</f>
        <v>0</v>
      </c>
      <c r="I82" s="295">
        <f>IF(I$6=$C82,IF(INDEX('Surface DEET'!$Q$9:$W$38,COLUMN(I75)-COLUMN($E$5),1)&gt;0,INDEX('Surface DEET'!$Q$9:$W$38,COLUMN(I75)-COLUMN($E$5),1),$E82),0)</f>
        <v>0</v>
      </c>
      <c r="J82" s="295">
        <f>IF(J$6=$C82,IF(INDEX('Surface DEET'!$Q$9:$W$38,COLUMN(J75)-COLUMN($E$5),1)&gt;0,INDEX('Surface DEET'!$Q$9:$W$38,COLUMN(J75)-COLUMN($E$5),1),$E82),0)</f>
        <v>0</v>
      </c>
      <c r="K82" s="295">
        <f>IF(K$6=$C82,IF(INDEX('Surface DEET'!$Q$9:$W$38,COLUMN(K75)-COLUMN($E$5),1)&gt;0,INDEX('Surface DEET'!$Q$9:$W$38,COLUMN(K75)-COLUMN($E$5),1),$E82),0)</f>
        <v>0</v>
      </c>
      <c r="L82" s="295">
        <f>IF(L$6=$C82,IF(INDEX('Surface DEET'!$Q$9:$W$38,COLUMN(L75)-COLUMN($E$5),1)&gt;0,INDEX('Surface DEET'!$Q$9:$W$38,COLUMN(L75)-COLUMN($E$5),1),$E82),0)</f>
        <v>0</v>
      </c>
      <c r="M82" s="295">
        <f>IF(M$6=$C82,IF(INDEX('Surface DEET'!$Q$9:$W$38,COLUMN(M75)-COLUMN($E$5),1)&gt;0,INDEX('Surface DEET'!$Q$9:$W$38,COLUMN(M75)-COLUMN($E$5),1),$E82),0)</f>
        <v>0</v>
      </c>
      <c r="N82" s="295">
        <f>IF(N$6=$C82,IF(INDEX('Surface DEET'!$Q$9:$W$38,COLUMN(N75)-COLUMN($E$5),1)&gt;0,INDEX('Surface DEET'!$Q$9:$W$38,COLUMN(N75)-COLUMN($E$5),1),$E82),0)</f>
        <v>0</v>
      </c>
      <c r="O82" s="295">
        <f>IF(O$6=$C82,IF(INDEX('Surface DEET'!$Q$9:$W$38,COLUMN(O75)-COLUMN($E$5),1)&gt;0,INDEX('Surface DEET'!$Q$9:$W$38,COLUMN(O75)-COLUMN($E$5),1),$E82),0)</f>
        <v>0</v>
      </c>
      <c r="P82" s="295">
        <f>IF(P$6=$C82,IF(INDEX('Surface DEET'!$Q$9:$W$38,COLUMN(P75)-COLUMN($E$5),1)&gt;0,INDEX('Surface DEET'!$Q$9:$W$38,COLUMN(P75)-COLUMN($E$5),1),$E82),0)</f>
        <v>0</v>
      </c>
      <c r="Q82" s="295">
        <f>IF(Q$6=$C82,IF(INDEX('Surface DEET'!$Q$9:$W$38,COLUMN(Q75)-COLUMN($E$5),1)&gt;0,INDEX('Surface DEET'!$Q$9:$W$38,COLUMN(Q75)-COLUMN($E$5),1),$E82),0)</f>
        <v>0</v>
      </c>
      <c r="R82" s="295">
        <f>IF(R$6=$C82,IF(INDEX('Surface DEET'!$Q$9:$W$38,COLUMN(R75)-COLUMN($E$5),1)&gt;0,INDEX('Surface DEET'!$Q$9:$W$38,COLUMN(R75)-COLUMN($E$5),1),$E82),0)</f>
        <v>0</v>
      </c>
      <c r="S82" s="295">
        <f>IF(S$6=$C82,IF(INDEX('Surface DEET'!$Q$9:$W$38,COLUMN(S75)-COLUMN($E$5),1)&gt;0,INDEX('Surface DEET'!$Q$9:$W$38,COLUMN(S75)-COLUMN($E$5),1),$E82),0)</f>
        <v>0</v>
      </c>
      <c r="T82" s="295">
        <f>IF(T$6=$C82,IF(INDEX('Surface DEET'!$Q$9:$W$38,COLUMN(T75)-COLUMN($E$5),1)&gt;0,INDEX('Surface DEET'!$Q$9:$W$38,COLUMN(T75)-COLUMN($E$5),1),$E82),0)</f>
        <v>0</v>
      </c>
      <c r="U82" s="295">
        <f>IF(U$6=$C82,IF(INDEX('Surface DEET'!$Q$9:$W$38,COLUMN(U75)-COLUMN($E$5),1)&gt;0,INDEX('Surface DEET'!$Q$9:$W$38,COLUMN(U75)-COLUMN($E$5),1),$E82),0)</f>
        <v>0</v>
      </c>
      <c r="V82" s="295">
        <f>IF(V$6=$C82,IF(INDEX('Surface DEET'!$Q$9:$W$38,COLUMN(V75)-COLUMN($E$5),1)&gt;0,INDEX('Surface DEET'!$Q$9:$W$38,COLUMN(V75)-COLUMN($E$5),1),$E82),0)</f>
        <v>0</v>
      </c>
      <c r="W82" s="295">
        <f>IF(W$6=$C82,IF(INDEX('Surface DEET'!$Q$9:$W$38,COLUMN(W75)-COLUMN($E$5),1)&gt;0,INDEX('Surface DEET'!$Q$9:$W$38,COLUMN(W75)-COLUMN($E$5),1),$E82),0)</f>
        <v>0</v>
      </c>
      <c r="X82" s="295">
        <f>IF(X$6=$C82,IF(INDEX('Surface DEET'!$Q$9:$W$38,COLUMN(X75)-COLUMN($E$5),1)&gt;0,INDEX('Surface DEET'!$Q$9:$W$38,COLUMN(X75)-COLUMN($E$5),1),$E82),0)</f>
        <v>0</v>
      </c>
      <c r="Y82" s="295">
        <f>IF(Y$6=$C82,IF(INDEX('Surface DEET'!$Q$9:$W$38,COLUMN(Y75)-COLUMN($E$5),1)&gt;0,INDEX('Surface DEET'!$Q$9:$W$38,COLUMN(Y75)-COLUMN($E$5),1),$E82),0)</f>
        <v>0</v>
      </c>
      <c r="Z82" s="295">
        <f>IF(Z$6=$C82,IF(INDEX('Surface DEET'!$Q$9:$W$38,COLUMN(Z75)-COLUMN($E$5),1)&gt;0,INDEX('Surface DEET'!$Q$9:$W$38,COLUMN(Z75)-COLUMN($E$5),1),$E82),0)</f>
        <v>0</v>
      </c>
      <c r="AA82" s="295">
        <f>IF(AA$6=$C82,IF(INDEX('Surface DEET'!$Q$9:$W$38,COLUMN(AA75)-COLUMN($E$5),1)&gt;0,INDEX('Surface DEET'!$Q$9:$W$38,COLUMN(AA75)-COLUMN($E$5),1),$E82),0)</f>
        <v>0</v>
      </c>
      <c r="AB82" s="295">
        <f>IF(AB$6=$C82,IF(INDEX('Surface DEET'!$Q$9:$W$38,COLUMN(AB75)-COLUMN($E$5),1)&gt;0,INDEX('Surface DEET'!$Q$9:$W$38,COLUMN(AB75)-COLUMN($E$5),1),$E82),0)</f>
        <v>0</v>
      </c>
      <c r="AC82" s="295">
        <f>IF(AC$6=$C82,IF(INDEX('Surface DEET'!$Q$9:$W$38,COLUMN(AC75)-COLUMN($E$5),1)&gt;0,INDEX('Surface DEET'!$Q$9:$W$38,COLUMN(AC75)-COLUMN($E$5),1),$E82),0)</f>
        <v>0</v>
      </c>
      <c r="AD82" s="295">
        <f>IF(AD$6=$C82,IF(INDEX('Surface DEET'!$Q$9:$W$38,COLUMN(AD75)-COLUMN($E$5),1)&gt;0,INDEX('Surface DEET'!$Q$9:$W$38,COLUMN(AD75)-COLUMN($E$5),1),$E82),0)</f>
        <v>0</v>
      </c>
      <c r="AE82" s="295">
        <f>IF(AE$6=$C82,IF(INDEX('Surface DEET'!$Q$9:$W$38,COLUMN(AE75)-COLUMN($E$5),1)&gt;0,INDEX('Surface DEET'!$Q$9:$W$38,COLUMN(AE75)-COLUMN($E$5),1),$E82),0)</f>
        <v>0</v>
      </c>
      <c r="AF82" s="295">
        <f>IF(AF$6=$C82,IF(INDEX('Surface DEET'!$Q$9:$W$38,COLUMN(AF75)-COLUMN($E$5),1)&gt;0,INDEX('Surface DEET'!$Q$9:$W$38,COLUMN(AF75)-COLUMN($E$5),1),$E82),0)</f>
        <v>0</v>
      </c>
      <c r="AG82" s="295">
        <f>IF(AG$6=$C82,IF(INDEX('Surface DEET'!$Q$9:$W$38,COLUMN(AG75)-COLUMN($E$5),1)&gt;0,INDEX('Surface DEET'!$Q$9:$W$38,COLUMN(AG75)-COLUMN($E$5),1),$E82),0)</f>
        <v>0</v>
      </c>
      <c r="AH82" s="295">
        <f>IF(AH$6=$C82,IF(INDEX('Surface DEET'!$Q$9:$W$38,COLUMN(AH75)-COLUMN($E$5),1)&gt;0,INDEX('Surface DEET'!$Q$9:$W$38,COLUMN(AH75)-COLUMN($E$5),1),$E82),0)</f>
        <v>0</v>
      </c>
      <c r="AI82" s="295">
        <f>IF(AI$6=$C82,IF(INDEX('Surface DEET'!$Q$9:$W$38,COLUMN(AI75)-COLUMN($E$5),1)&gt;0,INDEX('Surface DEET'!$Q$9:$W$38,COLUMN(AI75)-COLUMN($E$5),1),$E82),0)</f>
        <v>0</v>
      </c>
    </row>
    <row r="83" spans="1:35">
      <c r="A83" s="521"/>
      <c r="B83" s="295" t="s">
        <v>549</v>
      </c>
      <c r="C83" s="295" t="s">
        <v>618</v>
      </c>
      <c r="D83" s="345" t="s">
        <v>603</v>
      </c>
      <c r="E83" s="345">
        <v>23</v>
      </c>
      <c r="F83" s="295">
        <f>IF(F$6=$C83,IF(INDEX('Surface DEET'!$Q$9:$W$38,COLUMN(F76)-COLUMN($E$5),4)&gt;0,INDEX('Surface DEET'!$Q$9:$W$38,COLUMN(F76)-COLUMN($E$5),4),$E83),0)</f>
        <v>0</v>
      </c>
      <c r="G83" s="295">
        <f>IF(G$6=$C83,IF(INDEX('Surface DEET'!$Q$9:$W$38,COLUMN(G76)-COLUMN($E$5),4)&gt;0,INDEX('Surface DEET'!$Q$9:$W$38,COLUMN(G76)-COLUMN($E$5),4),$E83),0)</f>
        <v>0</v>
      </c>
      <c r="H83" s="295">
        <f>IF(H$6=$C83,IF(INDEX('Surface DEET'!$Q$9:$W$38,COLUMN(H76)-COLUMN($E$5),4)&gt;0,INDEX('Surface DEET'!$Q$9:$W$38,COLUMN(H76)-COLUMN($E$5),4),$E83),0)</f>
        <v>0</v>
      </c>
      <c r="I83" s="295">
        <f>IF(I$6=$C83,IF(INDEX('Surface DEET'!$Q$9:$W$38,COLUMN(I76)-COLUMN($E$5),4)&gt;0,INDEX('Surface DEET'!$Q$9:$W$38,COLUMN(I76)-COLUMN($E$5),4),$E83),0)</f>
        <v>0</v>
      </c>
      <c r="J83" s="295">
        <f>IF(J$6=$C83,IF(INDEX('Surface DEET'!$Q$9:$W$38,COLUMN(J76)-COLUMN($E$5),4)&gt;0,INDEX('Surface DEET'!$Q$9:$W$38,COLUMN(J76)-COLUMN($E$5),4),$E83),0)</f>
        <v>0</v>
      </c>
      <c r="K83" s="295">
        <f>IF(K$6=$C83,IF(INDEX('Surface DEET'!$Q$9:$W$38,COLUMN(K76)-COLUMN($E$5),4)&gt;0,INDEX('Surface DEET'!$Q$9:$W$38,COLUMN(K76)-COLUMN($E$5),4),$E83),0)</f>
        <v>0</v>
      </c>
      <c r="L83" s="295">
        <f>IF(L$6=$C83,IF(INDEX('Surface DEET'!$Q$9:$W$38,COLUMN(L76)-COLUMN($E$5),4)&gt;0,INDEX('Surface DEET'!$Q$9:$W$38,COLUMN(L76)-COLUMN($E$5),4),$E83),0)</f>
        <v>0</v>
      </c>
      <c r="M83" s="295">
        <f>IF(M$6=$C83,IF(INDEX('Surface DEET'!$Q$9:$W$38,COLUMN(M76)-COLUMN($E$5),4)&gt;0,INDEX('Surface DEET'!$Q$9:$W$38,COLUMN(M76)-COLUMN($E$5),4),$E83),0)</f>
        <v>0</v>
      </c>
      <c r="N83" s="295">
        <f>IF(N$6=$C83,IF(INDEX('Surface DEET'!$Q$9:$W$38,COLUMN(N76)-COLUMN($E$5),4)&gt;0,INDEX('Surface DEET'!$Q$9:$W$38,COLUMN(N76)-COLUMN($E$5),4),$E83),0)</f>
        <v>0</v>
      </c>
      <c r="O83" s="295">
        <f>IF(O$6=$C83,IF(INDEX('Surface DEET'!$Q$9:$W$38,COLUMN(O76)-COLUMN($E$5),4)&gt;0,INDEX('Surface DEET'!$Q$9:$W$38,COLUMN(O76)-COLUMN($E$5),4),$E83),0)</f>
        <v>0</v>
      </c>
      <c r="P83" s="295">
        <f>IF(P$6=$C83,IF(INDEX('Surface DEET'!$Q$9:$W$38,COLUMN(P76)-COLUMN($E$5),4)&gt;0,INDEX('Surface DEET'!$Q$9:$W$38,COLUMN(P76)-COLUMN($E$5),4),$E83),0)</f>
        <v>0</v>
      </c>
      <c r="Q83" s="295">
        <f>IF(Q$6=$C83,IF(INDEX('Surface DEET'!$Q$9:$W$38,COLUMN(Q76)-COLUMN($E$5),4)&gt;0,INDEX('Surface DEET'!$Q$9:$W$38,COLUMN(Q76)-COLUMN($E$5),4),$E83),0)</f>
        <v>0</v>
      </c>
      <c r="R83" s="295">
        <f>IF(R$6=$C83,IF(INDEX('Surface DEET'!$Q$9:$W$38,COLUMN(R76)-COLUMN($E$5),4)&gt;0,INDEX('Surface DEET'!$Q$9:$W$38,COLUMN(R76)-COLUMN($E$5),4),$E83),0)</f>
        <v>0</v>
      </c>
      <c r="S83" s="295">
        <f>IF(S$6=$C83,IF(INDEX('Surface DEET'!$Q$9:$W$38,COLUMN(S76)-COLUMN($E$5),4)&gt;0,INDEX('Surface DEET'!$Q$9:$W$38,COLUMN(S76)-COLUMN($E$5),4),$E83),0)</f>
        <v>0</v>
      </c>
      <c r="T83" s="295">
        <f>IF(T$6=$C83,IF(INDEX('Surface DEET'!$Q$9:$W$38,COLUMN(T76)-COLUMN($E$5),4)&gt;0,INDEX('Surface DEET'!$Q$9:$W$38,COLUMN(T76)-COLUMN($E$5),4),$E83),0)</f>
        <v>0</v>
      </c>
      <c r="U83" s="295">
        <f>IF(U$6=$C83,IF(INDEX('Surface DEET'!$Q$9:$W$38,COLUMN(U76)-COLUMN($E$5),4)&gt;0,INDEX('Surface DEET'!$Q$9:$W$38,COLUMN(U76)-COLUMN($E$5),4),$E83),0)</f>
        <v>0</v>
      </c>
      <c r="V83" s="295">
        <f>IF(V$6=$C83,IF(INDEX('Surface DEET'!$Q$9:$W$38,COLUMN(V76)-COLUMN($E$5),4)&gt;0,INDEX('Surface DEET'!$Q$9:$W$38,COLUMN(V76)-COLUMN($E$5),4),$E83),0)</f>
        <v>0</v>
      </c>
      <c r="W83" s="295">
        <f>IF(W$6=$C83,IF(INDEX('Surface DEET'!$Q$9:$W$38,COLUMN(W76)-COLUMN($E$5),4)&gt;0,INDEX('Surface DEET'!$Q$9:$W$38,COLUMN(W76)-COLUMN($E$5),4),$E83),0)</f>
        <v>0</v>
      </c>
      <c r="X83" s="295">
        <f>IF(X$6=$C83,IF(INDEX('Surface DEET'!$Q$9:$W$38,COLUMN(X76)-COLUMN($E$5),4)&gt;0,INDEX('Surface DEET'!$Q$9:$W$38,COLUMN(X76)-COLUMN($E$5),4),$E83),0)</f>
        <v>0</v>
      </c>
      <c r="Y83" s="295">
        <f>IF(Y$6=$C83,IF(INDEX('Surface DEET'!$Q$9:$W$38,COLUMN(Y76)-COLUMN($E$5),4)&gt;0,INDEX('Surface DEET'!$Q$9:$W$38,COLUMN(Y76)-COLUMN($E$5),4),$E83),0)</f>
        <v>0</v>
      </c>
      <c r="Z83" s="295">
        <f>IF(Z$6=$C83,IF(INDEX('Surface DEET'!$Q$9:$W$38,COLUMN(Z76)-COLUMN($E$5),4)&gt;0,INDEX('Surface DEET'!$Q$9:$W$38,COLUMN(Z76)-COLUMN($E$5),4),$E83),0)</f>
        <v>0</v>
      </c>
      <c r="AA83" s="295">
        <f>IF(AA$6=$C83,IF(INDEX('Surface DEET'!$Q$9:$W$38,COLUMN(AA76)-COLUMN($E$5),4)&gt;0,INDEX('Surface DEET'!$Q$9:$W$38,COLUMN(AA76)-COLUMN($E$5),4),$E83),0)</f>
        <v>0</v>
      </c>
      <c r="AB83" s="295">
        <f>IF(AB$6=$C83,IF(INDEX('Surface DEET'!$Q$9:$W$38,COLUMN(AB76)-COLUMN($E$5),4)&gt;0,INDEX('Surface DEET'!$Q$9:$W$38,COLUMN(AB76)-COLUMN($E$5),4),$E83),0)</f>
        <v>0</v>
      </c>
      <c r="AC83" s="295">
        <f>IF(AC$6=$C83,IF(INDEX('Surface DEET'!$Q$9:$W$38,COLUMN(AC76)-COLUMN($E$5),4)&gt;0,INDEX('Surface DEET'!$Q$9:$W$38,COLUMN(AC76)-COLUMN($E$5),4),$E83),0)</f>
        <v>0</v>
      </c>
      <c r="AD83" s="295">
        <f>IF(AD$6=$C83,IF(INDEX('Surface DEET'!$Q$9:$W$38,COLUMN(AD76)-COLUMN($E$5),4)&gt;0,INDEX('Surface DEET'!$Q$9:$W$38,COLUMN(AD76)-COLUMN($E$5),4),$E83),0)</f>
        <v>0</v>
      </c>
      <c r="AE83" s="295">
        <f>IF(AE$6=$C83,IF(INDEX('Surface DEET'!$Q$9:$W$38,COLUMN(AE76)-COLUMN($E$5),4)&gt;0,INDEX('Surface DEET'!$Q$9:$W$38,COLUMN(AE76)-COLUMN($E$5),4),$E83),0)</f>
        <v>0</v>
      </c>
      <c r="AF83" s="295">
        <f>IF(AF$6=$C83,IF(INDEX('Surface DEET'!$Q$9:$W$38,COLUMN(AF76)-COLUMN($E$5),4)&gt;0,INDEX('Surface DEET'!$Q$9:$W$38,COLUMN(AF76)-COLUMN($E$5),4),$E83),0)</f>
        <v>0</v>
      </c>
      <c r="AG83" s="295">
        <f>IF(AG$6=$C83,IF(INDEX('Surface DEET'!$Q$9:$W$38,COLUMN(AG76)-COLUMN($E$5),4)&gt;0,INDEX('Surface DEET'!$Q$9:$W$38,COLUMN(AG76)-COLUMN($E$5),4),$E83),0)</f>
        <v>0</v>
      </c>
      <c r="AH83" s="295">
        <f>IF(AH$6=$C83,IF(INDEX('Surface DEET'!$Q$9:$W$38,COLUMN(AH76)-COLUMN($E$5),4)&gt;0,INDEX('Surface DEET'!$Q$9:$W$38,COLUMN(AH76)-COLUMN($E$5),4),$E83),0)</f>
        <v>0</v>
      </c>
      <c r="AI83" s="295">
        <f>IF(AI$6=$C83,IF(INDEX('Surface DEET'!$Q$9:$W$38,COLUMN(AI76)-COLUMN($E$5),4)&gt;0,INDEX('Surface DEET'!$Q$9:$W$38,COLUMN(AI76)-COLUMN($E$5),4),$E83),0)</f>
        <v>0</v>
      </c>
    </row>
    <row r="84" spans="1:35">
      <c r="A84" s="521"/>
      <c r="B84" s="295" t="s">
        <v>542</v>
      </c>
      <c r="C84" s="295" t="s">
        <v>618</v>
      </c>
      <c r="D84" s="295" t="s">
        <v>542</v>
      </c>
      <c r="F84" s="295">
        <f>IFERROR($E$79*(F82/$E$82)*(($E$81*($E$83/F83))+(1-$E$81))+0.28*$E$78*(F82-$E$82)/$E$82,0)</f>
        <v>0</v>
      </c>
      <c r="G84" s="295">
        <f t="shared" ref="G84:AI84" si="9">IFERROR($E$79*(G82/$E$82)*(($E$81*($E$83/G83))+(1-$E$81))+0.28*$E$78*(G82-$E$82)/$E$82,0)</f>
        <v>0</v>
      </c>
      <c r="H84" s="295">
        <f t="shared" si="9"/>
        <v>0</v>
      </c>
      <c r="I84" s="295">
        <f t="shared" si="9"/>
        <v>0</v>
      </c>
      <c r="J84" s="295">
        <f t="shared" si="9"/>
        <v>0</v>
      </c>
      <c r="K84" s="295">
        <f t="shared" si="9"/>
        <v>0</v>
      </c>
      <c r="L84" s="295">
        <f t="shared" si="9"/>
        <v>0</v>
      </c>
      <c r="M84" s="295">
        <f t="shared" si="9"/>
        <v>0</v>
      </c>
      <c r="N84" s="295">
        <f t="shared" si="9"/>
        <v>0</v>
      </c>
      <c r="O84" s="295">
        <f t="shared" si="9"/>
        <v>0</v>
      </c>
      <c r="P84" s="295">
        <f t="shared" si="9"/>
        <v>0</v>
      </c>
      <c r="Q84" s="295">
        <f t="shared" si="9"/>
        <v>0</v>
      </c>
      <c r="R84" s="295">
        <f t="shared" si="9"/>
        <v>0</v>
      </c>
      <c r="S84" s="295">
        <f t="shared" si="9"/>
        <v>0</v>
      </c>
      <c r="T84" s="295">
        <f t="shared" si="9"/>
        <v>0</v>
      </c>
      <c r="U84" s="295">
        <f t="shared" si="9"/>
        <v>0</v>
      </c>
      <c r="V84" s="295">
        <f t="shared" si="9"/>
        <v>0</v>
      </c>
      <c r="W84" s="295">
        <f t="shared" si="9"/>
        <v>0</v>
      </c>
      <c r="X84" s="295">
        <f t="shared" si="9"/>
        <v>0</v>
      </c>
      <c r="Y84" s="295">
        <f t="shared" si="9"/>
        <v>0</v>
      </c>
      <c r="Z84" s="295">
        <f t="shared" si="9"/>
        <v>0</v>
      </c>
      <c r="AA84" s="295">
        <f t="shared" si="9"/>
        <v>0</v>
      </c>
      <c r="AB84" s="295">
        <f t="shared" si="9"/>
        <v>0</v>
      </c>
      <c r="AC84" s="295">
        <f t="shared" si="9"/>
        <v>0</v>
      </c>
      <c r="AD84" s="295">
        <f t="shared" si="9"/>
        <v>0</v>
      </c>
      <c r="AE84" s="295">
        <f t="shared" si="9"/>
        <v>0</v>
      </c>
      <c r="AF84" s="295">
        <f t="shared" si="9"/>
        <v>0</v>
      </c>
      <c r="AG84" s="295">
        <f t="shared" si="9"/>
        <v>0</v>
      </c>
      <c r="AH84" s="295">
        <f t="shared" si="9"/>
        <v>0</v>
      </c>
      <c r="AI84" s="295">
        <f t="shared" si="9"/>
        <v>0</v>
      </c>
    </row>
    <row r="85" spans="1:35">
      <c r="A85" s="521" t="s">
        <v>619</v>
      </c>
      <c r="B85" s="93" t="s">
        <v>301</v>
      </c>
      <c r="C85" s="32" t="s">
        <v>619</v>
      </c>
      <c r="D85" s="93" t="s">
        <v>301</v>
      </c>
      <c r="E85" s="295">
        <f t="array" ref="E85">INDEX(CABS_CVC!$C$3:$O$870,MATCH(1, (CABS_CVC!$A$3:$A$870=Calculs_CABS!C85)*(CABS_CVC!$B$3:$B$870=Calculs_CABS!$D$2),0),MATCH(Calculs_CABS!$D$1,Liste_CABS!$B$3:$B$15,0))</f>
        <v>53</v>
      </c>
    </row>
    <row r="86" spans="1:35">
      <c r="A86" s="521"/>
      <c r="B86" s="295" t="s">
        <v>543</v>
      </c>
      <c r="C86" s="32" t="s">
        <v>619</v>
      </c>
      <c r="D86" s="295" t="s">
        <v>543</v>
      </c>
      <c r="E86" s="346">
        <v>130</v>
      </c>
    </row>
    <row r="87" spans="1:35">
      <c r="A87" s="521"/>
      <c r="B87" s="295" t="s">
        <v>544</v>
      </c>
      <c r="C87" s="32" t="s">
        <v>619</v>
      </c>
      <c r="D87" s="295" t="s">
        <v>544</v>
      </c>
      <c r="E87" s="295">
        <f>E85+E86</f>
        <v>183</v>
      </c>
    </row>
    <row r="88" spans="1:35">
      <c r="A88" s="521"/>
      <c r="B88" s="295" t="s">
        <v>545</v>
      </c>
      <c r="C88" s="32" t="s">
        <v>619</v>
      </c>
      <c r="D88" s="295" t="s">
        <v>545</v>
      </c>
      <c r="E88" s="295">
        <v>0.95</v>
      </c>
    </row>
    <row r="89" spans="1:35">
      <c r="A89" s="521"/>
      <c r="B89" s="295" t="s">
        <v>546</v>
      </c>
      <c r="C89" s="32" t="s">
        <v>619</v>
      </c>
      <c r="D89" s="343" t="s">
        <v>609</v>
      </c>
      <c r="E89" s="347">
        <v>780</v>
      </c>
      <c r="F89" s="295">
        <f>IF(F$6=$C89,IF(INDEX('Surface DEET'!$Q$9:$W$38,COLUMN(F82)-COLUMN($E$5),1)&gt;0,INDEX('Surface DEET'!$Q$9:$W$38,COLUMN(F82)-COLUMN($E$5),1),$E89),0)</f>
        <v>0</v>
      </c>
      <c r="G89" s="295">
        <f>IF(G$6=$C89,IF(INDEX('Surface DEET'!$Q$9:$W$38,COLUMN(G82)-COLUMN($E$5),1)&gt;0,INDEX('Surface DEET'!$Q$9:$W$38,COLUMN(G82)-COLUMN($E$5),1),$E89),0)</f>
        <v>0</v>
      </c>
      <c r="H89" s="295">
        <f>IF(H$6=$C89,IF(INDEX('Surface DEET'!$Q$9:$W$38,COLUMN(H82)-COLUMN($E$5),1)&gt;0,INDEX('Surface DEET'!$Q$9:$W$38,COLUMN(H82)-COLUMN($E$5),1),$E89),0)</f>
        <v>0</v>
      </c>
      <c r="I89" s="295">
        <f>IF(I$6=$C89,IF(INDEX('Surface DEET'!$Q$9:$W$38,COLUMN(I82)-COLUMN($E$5),1)&gt;0,INDEX('Surface DEET'!$Q$9:$W$38,COLUMN(I82)-COLUMN($E$5),1),$E89),0)</f>
        <v>0</v>
      </c>
      <c r="J89" s="295">
        <f>IF(J$6=$C89,IF(INDEX('Surface DEET'!$Q$9:$W$38,COLUMN(J82)-COLUMN($E$5),1)&gt;0,INDEX('Surface DEET'!$Q$9:$W$38,COLUMN(J82)-COLUMN($E$5),1),$E89),0)</f>
        <v>0</v>
      </c>
      <c r="K89" s="295">
        <f>IF(K$6=$C89,IF(INDEX('Surface DEET'!$Q$9:$W$38,COLUMN(K82)-COLUMN($E$5),1)&gt;0,INDEX('Surface DEET'!$Q$9:$W$38,COLUMN(K82)-COLUMN($E$5),1),$E89),0)</f>
        <v>0</v>
      </c>
      <c r="L89" s="295">
        <f>IF(L$6=$C89,IF(INDEX('Surface DEET'!$Q$9:$W$38,COLUMN(L82)-COLUMN($E$5),1)&gt;0,INDEX('Surface DEET'!$Q$9:$W$38,COLUMN(L82)-COLUMN($E$5),1),$E89),0)</f>
        <v>0</v>
      </c>
      <c r="M89" s="295">
        <f>IF(M$6=$C89,IF(INDEX('Surface DEET'!$Q$9:$W$38,COLUMN(M82)-COLUMN($E$5),1)&gt;0,INDEX('Surface DEET'!$Q$9:$W$38,COLUMN(M82)-COLUMN($E$5),1),$E89),0)</f>
        <v>0</v>
      </c>
      <c r="N89" s="295">
        <f>IF(N$6=$C89,IF(INDEX('Surface DEET'!$Q$9:$W$38,COLUMN(N82)-COLUMN($E$5),1)&gt;0,INDEX('Surface DEET'!$Q$9:$W$38,COLUMN(N82)-COLUMN($E$5),1),$E89),0)</f>
        <v>0</v>
      </c>
      <c r="O89" s="295">
        <f>IF(O$6=$C89,IF(INDEX('Surface DEET'!$Q$9:$W$38,COLUMN(O82)-COLUMN($E$5),1)&gt;0,INDEX('Surface DEET'!$Q$9:$W$38,COLUMN(O82)-COLUMN($E$5),1),$E89),0)</f>
        <v>0</v>
      </c>
      <c r="P89" s="295">
        <f>IF(P$6=$C89,IF(INDEX('Surface DEET'!$Q$9:$W$38,COLUMN(P82)-COLUMN($E$5),1)&gt;0,INDEX('Surface DEET'!$Q$9:$W$38,COLUMN(P82)-COLUMN($E$5),1),$E89),0)</f>
        <v>0</v>
      </c>
      <c r="Q89" s="295">
        <f>IF(Q$6=$C89,IF(INDEX('Surface DEET'!$Q$9:$W$38,COLUMN(Q82)-COLUMN($E$5),1)&gt;0,INDEX('Surface DEET'!$Q$9:$W$38,COLUMN(Q82)-COLUMN($E$5),1),$E89),0)</f>
        <v>0</v>
      </c>
      <c r="R89" s="295">
        <f>IF(R$6=$C89,IF(INDEX('Surface DEET'!$Q$9:$W$38,COLUMN(R82)-COLUMN($E$5),1)&gt;0,INDEX('Surface DEET'!$Q$9:$W$38,COLUMN(R82)-COLUMN($E$5),1),$E89),0)</f>
        <v>0</v>
      </c>
      <c r="S89" s="295">
        <f>IF(S$6=$C89,IF(INDEX('Surface DEET'!$Q$9:$W$38,COLUMN(S82)-COLUMN($E$5),1)&gt;0,INDEX('Surface DEET'!$Q$9:$W$38,COLUMN(S82)-COLUMN($E$5),1),$E89),0)</f>
        <v>0</v>
      </c>
      <c r="T89" s="295">
        <f>IF(T$6=$C89,IF(INDEX('Surface DEET'!$Q$9:$W$38,COLUMN(T82)-COLUMN($E$5),1)&gt;0,INDEX('Surface DEET'!$Q$9:$W$38,COLUMN(T82)-COLUMN($E$5),1),$E89),0)</f>
        <v>0</v>
      </c>
      <c r="U89" s="295">
        <f>IF(U$6=$C89,IF(INDEX('Surface DEET'!$Q$9:$W$38,COLUMN(U82)-COLUMN($E$5),1)&gt;0,INDEX('Surface DEET'!$Q$9:$W$38,COLUMN(U82)-COLUMN($E$5),1),$E89),0)</f>
        <v>0</v>
      </c>
      <c r="V89" s="295">
        <f>IF(V$6=$C89,IF(INDEX('Surface DEET'!$Q$9:$W$38,COLUMN(V82)-COLUMN($E$5),1)&gt;0,INDEX('Surface DEET'!$Q$9:$W$38,COLUMN(V82)-COLUMN($E$5),1),$E89),0)</f>
        <v>0</v>
      </c>
      <c r="W89" s="295">
        <f>IF(W$6=$C89,IF(INDEX('Surface DEET'!$Q$9:$W$38,COLUMN(W82)-COLUMN($E$5),1)&gt;0,INDEX('Surface DEET'!$Q$9:$W$38,COLUMN(W82)-COLUMN($E$5),1),$E89),0)</f>
        <v>0</v>
      </c>
      <c r="X89" s="295">
        <f>IF(X$6=$C89,IF(INDEX('Surface DEET'!$Q$9:$W$38,COLUMN(X82)-COLUMN($E$5),1)&gt;0,INDEX('Surface DEET'!$Q$9:$W$38,COLUMN(X82)-COLUMN($E$5),1),$E89),0)</f>
        <v>0</v>
      </c>
      <c r="Y89" s="295">
        <f>IF(Y$6=$C89,IF(INDEX('Surface DEET'!$Q$9:$W$38,COLUMN(Y82)-COLUMN($E$5),1)&gt;0,INDEX('Surface DEET'!$Q$9:$W$38,COLUMN(Y82)-COLUMN($E$5),1),$E89),0)</f>
        <v>0</v>
      </c>
      <c r="Z89" s="295">
        <f>IF(Z$6=$C89,IF(INDEX('Surface DEET'!$Q$9:$W$38,COLUMN(Z82)-COLUMN($E$5),1)&gt;0,INDEX('Surface DEET'!$Q$9:$W$38,COLUMN(Z82)-COLUMN($E$5),1),$E89),0)</f>
        <v>0</v>
      </c>
      <c r="AA89" s="295">
        <f>IF(AA$6=$C89,IF(INDEX('Surface DEET'!$Q$9:$W$38,COLUMN(AA82)-COLUMN($E$5),1)&gt;0,INDEX('Surface DEET'!$Q$9:$W$38,COLUMN(AA82)-COLUMN($E$5),1),$E89),0)</f>
        <v>0</v>
      </c>
      <c r="AB89" s="295">
        <f>IF(AB$6=$C89,IF(INDEX('Surface DEET'!$Q$9:$W$38,COLUMN(AB82)-COLUMN($E$5),1)&gt;0,INDEX('Surface DEET'!$Q$9:$W$38,COLUMN(AB82)-COLUMN($E$5),1),$E89),0)</f>
        <v>0</v>
      </c>
      <c r="AC89" s="295">
        <f>IF(AC$6=$C89,IF(INDEX('Surface DEET'!$Q$9:$W$38,COLUMN(AC82)-COLUMN($E$5),1)&gt;0,INDEX('Surface DEET'!$Q$9:$W$38,COLUMN(AC82)-COLUMN($E$5),1),$E89),0)</f>
        <v>0</v>
      </c>
      <c r="AD89" s="295">
        <f>IF(AD$6=$C89,IF(INDEX('Surface DEET'!$Q$9:$W$38,COLUMN(AD82)-COLUMN($E$5),1)&gt;0,INDEX('Surface DEET'!$Q$9:$W$38,COLUMN(AD82)-COLUMN($E$5),1),$E89),0)</f>
        <v>0</v>
      </c>
      <c r="AE89" s="295">
        <f>IF(AE$6=$C89,IF(INDEX('Surface DEET'!$Q$9:$W$38,COLUMN(AE82)-COLUMN($E$5),1)&gt;0,INDEX('Surface DEET'!$Q$9:$W$38,COLUMN(AE82)-COLUMN($E$5),1),$E89),0)</f>
        <v>0</v>
      </c>
      <c r="AF89" s="295">
        <f>IF(AF$6=$C89,IF(INDEX('Surface DEET'!$Q$9:$W$38,COLUMN(AF82)-COLUMN($E$5),1)&gt;0,INDEX('Surface DEET'!$Q$9:$W$38,COLUMN(AF82)-COLUMN($E$5),1),$E89),0)</f>
        <v>0</v>
      </c>
      <c r="AG89" s="295">
        <f>IF(AG$6=$C89,IF(INDEX('Surface DEET'!$Q$9:$W$38,COLUMN(AG82)-COLUMN($E$5),1)&gt;0,INDEX('Surface DEET'!$Q$9:$W$38,COLUMN(AG82)-COLUMN($E$5),1),$E89),0)</f>
        <v>0</v>
      </c>
      <c r="AH89" s="295">
        <f>IF(AH$6=$C89,IF(INDEX('Surface DEET'!$Q$9:$W$38,COLUMN(AH82)-COLUMN($E$5),1)&gt;0,INDEX('Surface DEET'!$Q$9:$W$38,COLUMN(AH82)-COLUMN($E$5),1),$E89),0)</f>
        <v>0</v>
      </c>
      <c r="AI89" s="295">
        <f>IF(AI$6=$C89,IF(INDEX('Surface DEET'!$Q$9:$W$38,COLUMN(AI82)-COLUMN($E$5),1)&gt;0,INDEX('Surface DEET'!$Q$9:$W$38,COLUMN(AI82)-COLUMN($E$5),1),$E89),0)</f>
        <v>0</v>
      </c>
    </row>
    <row r="90" spans="1:35">
      <c r="A90" s="521"/>
      <c r="B90" s="295" t="s">
        <v>549</v>
      </c>
      <c r="C90" s="32" t="s">
        <v>619</v>
      </c>
      <c r="D90" s="343" t="s">
        <v>610</v>
      </c>
      <c r="E90" s="346">
        <v>16</v>
      </c>
      <c r="F90" s="295">
        <f>IF(F$6=$C90,IF(INDEX('Surface DEET'!$Q$9:$W$38,COLUMN(F83)-COLUMN($E$5),4)&gt;0,INDEX('Surface DEET'!$Q$9:$W$38,COLUMN(F83)-COLUMN($E$5),4),$E90),0)</f>
        <v>0</v>
      </c>
      <c r="G90" s="295">
        <f>IF(G$6=$C90,IF(INDEX('Surface DEET'!$Q$9:$W$38,COLUMN(G83)-COLUMN($E$5),4)&gt;0,INDEX('Surface DEET'!$Q$9:$W$38,COLUMN(G83)-COLUMN($E$5),4),$E90),0)</f>
        <v>0</v>
      </c>
      <c r="H90" s="295">
        <f>IF(H$6=$C90,IF(INDEX('Surface DEET'!$Q$9:$W$38,COLUMN(H83)-COLUMN($E$5),4)&gt;0,INDEX('Surface DEET'!$Q$9:$W$38,COLUMN(H83)-COLUMN($E$5),4),$E90),0)</f>
        <v>0</v>
      </c>
      <c r="I90" s="295">
        <f>IF(I$6=$C90,IF(INDEX('Surface DEET'!$Q$9:$W$38,COLUMN(I83)-COLUMN($E$5),4)&gt;0,INDEX('Surface DEET'!$Q$9:$W$38,COLUMN(I83)-COLUMN($E$5),4),$E90),0)</f>
        <v>0</v>
      </c>
      <c r="J90" s="295">
        <f>IF(J$6=$C90,IF(INDEX('Surface DEET'!$Q$9:$W$38,COLUMN(J83)-COLUMN($E$5),4)&gt;0,INDEX('Surface DEET'!$Q$9:$W$38,COLUMN(J83)-COLUMN($E$5),4),$E90),0)</f>
        <v>0</v>
      </c>
      <c r="K90" s="295">
        <f>IF(K$6=$C90,IF(INDEX('Surface DEET'!$Q$9:$W$38,COLUMN(K83)-COLUMN($E$5),4)&gt;0,INDEX('Surface DEET'!$Q$9:$W$38,COLUMN(K83)-COLUMN($E$5),4),$E90),0)</f>
        <v>0</v>
      </c>
      <c r="L90" s="295">
        <f>IF(L$6=$C90,IF(INDEX('Surface DEET'!$Q$9:$W$38,COLUMN(L83)-COLUMN($E$5),4)&gt;0,INDEX('Surface DEET'!$Q$9:$W$38,COLUMN(L83)-COLUMN($E$5),4),$E90),0)</f>
        <v>0</v>
      </c>
      <c r="M90" s="295">
        <f>IF(M$6=$C90,IF(INDEX('Surface DEET'!$Q$9:$W$38,COLUMN(M83)-COLUMN($E$5),4)&gt;0,INDEX('Surface DEET'!$Q$9:$W$38,COLUMN(M83)-COLUMN($E$5),4),$E90),0)</f>
        <v>0</v>
      </c>
      <c r="N90" s="295">
        <f>IF(N$6=$C90,IF(INDEX('Surface DEET'!$Q$9:$W$38,COLUMN(N83)-COLUMN($E$5),4)&gt;0,INDEX('Surface DEET'!$Q$9:$W$38,COLUMN(N83)-COLUMN($E$5),4),$E90),0)</f>
        <v>0</v>
      </c>
      <c r="O90" s="295">
        <f>IF(O$6=$C90,IF(INDEX('Surface DEET'!$Q$9:$W$38,COLUMN(O83)-COLUMN($E$5),4)&gt;0,INDEX('Surface DEET'!$Q$9:$W$38,COLUMN(O83)-COLUMN($E$5),4),$E90),0)</f>
        <v>0</v>
      </c>
      <c r="P90" s="295">
        <f>IF(P$6=$C90,IF(INDEX('Surface DEET'!$Q$9:$W$38,COLUMN(P83)-COLUMN($E$5),4)&gt;0,INDEX('Surface DEET'!$Q$9:$W$38,COLUMN(P83)-COLUMN($E$5),4),$E90),0)</f>
        <v>0</v>
      </c>
      <c r="Q90" s="295">
        <f>IF(Q$6=$C90,IF(INDEX('Surface DEET'!$Q$9:$W$38,COLUMN(Q83)-COLUMN($E$5),4)&gt;0,INDEX('Surface DEET'!$Q$9:$W$38,COLUMN(Q83)-COLUMN($E$5),4),$E90),0)</f>
        <v>0</v>
      </c>
      <c r="R90" s="295">
        <f>IF(R$6=$C90,IF(INDEX('Surface DEET'!$Q$9:$W$38,COLUMN(R83)-COLUMN($E$5),4)&gt;0,INDEX('Surface DEET'!$Q$9:$W$38,COLUMN(R83)-COLUMN($E$5),4),$E90),0)</f>
        <v>0</v>
      </c>
      <c r="S90" s="295">
        <f>IF(S$6=$C90,IF(INDEX('Surface DEET'!$Q$9:$W$38,COLUMN(S83)-COLUMN($E$5),4)&gt;0,INDEX('Surface DEET'!$Q$9:$W$38,COLUMN(S83)-COLUMN($E$5),4),$E90),0)</f>
        <v>0</v>
      </c>
      <c r="T90" s="295">
        <f>IF(T$6=$C90,IF(INDEX('Surface DEET'!$Q$9:$W$38,COLUMN(T83)-COLUMN($E$5),4)&gt;0,INDEX('Surface DEET'!$Q$9:$W$38,COLUMN(T83)-COLUMN($E$5),4),$E90),0)</f>
        <v>0</v>
      </c>
      <c r="U90" s="295">
        <f>IF(U$6=$C90,IF(INDEX('Surface DEET'!$Q$9:$W$38,COLUMN(U83)-COLUMN($E$5),4)&gt;0,INDEX('Surface DEET'!$Q$9:$W$38,COLUMN(U83)-COLUMN($E$5),4),$E90),0)</f>
        <v>0</v>
      </c>
      <c r="V90" s="295">
        <f>IF(V$6=$C90,IF(INDEX('Surface DEET'!$Q$9:$W$38,COLUMN(V83)-COLUMN($E$5),4)&gt;0,INDEX('Surface DEET'!$Q$9:$W$38,COLUMN(V83)-COLUMN($E$5),4),$E90),0)</f>
        <v>0</v>
      </c>
      <c r="W90" s="295">
        <f>IF(W$6=$C90,IF(INDEX('Surface DEET'!$Q$9:$W$38,COLUMN(W83)-COLUMN($E$5),4)&gt;0,INDEX('Surface DEET'!$Q$9:$W$38,COLUMN(W83)-COLUMN($E$5),4),$E90),0)</f>
        <v>0</v>
      </c>
      <c r="X90" s="295">
        <f>IF(X$6=$C90,IF(INDEX('Surface DEET'!$Q$9:$W$38,COLUMN(X83)-COLUMN($E$5),4)&gt;0,INDEX('Surface DEET'!$Q$9:$W$38,COLUMN(X83)-COLUMN($E$5),4),$E90),0)</f>
        <v>0</v>
      </c>
      <c r="Y90" s="295">
        <f>IF(Y$6=$C90,IF(INDEX('Surface DEET'!$Q$9:$W$38,COLUMN(Y83)-COLUMN($E$5),4)&gt;0,INDEX('Surface DEET'!$Q$9:$W$38,COLUMN(Y83)-COLUMN($E$5),4),$E90),0)</f>
        <v>0</v>
      </c>
      <c r="Z90" s="295">
        <f>IF(Z$6=$C90,IF(INDEX('Surface DEET'!$Q$9:$W$38,COLUMN(Z83)-COLUMN($E$5),4)&gt;0,INDEX('Surface DEET'!$Q$9:$W$38,COLUMN(Z83)-COLUMN($E$5),4),$E90),0)</f>
        <v>0</v>
      </c>
      <c r="AA90" s="295">
        <f>IF(AA$6=$C90,IF(INDEX('Surface DEET'!$Q$9:$W$38,COLUMN(AA83)-COLUMN($E$5),4)&gt;0,INDEX('Surface DEET'!$Q$9:$W$38,COLUMN(AA83)-COLUMN($E$5),4),$E90),0)</f>
        <v>0</v>
      </c>
      <c r="AB90" s="295">
        <f>IF(AB$6=$C90,IF(INDEX('Surface DEET'!$Q$9:$W$38,COLUMN(AB83)-COLUMN($E$5),4)&gt;0,INDEX('Surface DEET'!$Q$9:$W$38,COLUMN(AB83)-COLUMN($E$5),4),$E90),0)</f>
        <v>0</v>
      </c>
      <c r="AC90" s="295">
        <f>IF(AC$6=$C90,IF(INDEX('Surface DEET'!$Q$9:$W$38,COLUMN(AC83)-COLUMN($E$5),4)&gt;0,INDEX('Surface DEET'!$Q$9:$W$38,COLUMN(AC83)-COLUMN($E$5),4),$E90),0)</f>
        <v>0</v>
      </c>
      <c r="AD90" s="295">
        <f>IF(AD$6=$C90,IF(INDEX('Surface DEET'!$Q$9:$W$38,COLUMN(AD83)-COLUMN($E$5),4)&gt;0,INDEX('Surface DEET'!$Q$9:$W$38,COLUMN(AD83)-COLUMN($E$5),4),$E90),0)</f>
        <v>0</v>
      </c>
      <c r="AE90" s="295">
        <f>IF(AE$6=$C90,IF(INDEX('Surface DEET'!$Q$9:$W$38,COLUMN(AE83)-COLUMN($E$5),4)&gt;0,INDEX('Surface DEET'!$Q$9:$W$38,COLUMN(AE83)-COLUMN($E$5),4),$E90),0)</f>
        <v>0</v>
      </c>
      <c r="AF90" s="295">
        <f>IF(AF$6=$C90,IF(INDEX('Surface DEET'!$Q$9:$W$38,COLUMN(AF83)-COLUMN($E$5),4)&gt;0,INDEX('Surface DEET'!$Q$9:$W$38,COLUMN(AF83)-COLUMN($E$5),4),$E90),0)</f>
        <v>0</v>
      </c>
      <c r="AG90" s="295">
        <f>IF(AG$6=$C90,IF(INDEX('Surface DEET'!$Q$9:$W$38,COLUMN(AG83)-COLUMN($E$5),4)&gt;0,INDEX('Surface DEET'!$Q$9:$W$38,COLUMN(AG83)-COLUMN($E$5),4),$E90),0)</f>
        <v>0</v>
      </c>
      <c r="AH90" s="295">
        <f>IF(AH$6=$C90,IF(INDEX('Surface DEET'!$Q$9:$W$38,COLUMN(AH83)-COLUMN($E$5),4)&gt;0,INDEX('Surface DEET'!$Q$9:$W$38,COLUMN(AH83)-COLUMN($E$5),4),$E90),0)</f>
        <v>0</v>
      </c>
      <c r="AI90" s="295">
        <f>IF(AI$6=$C90,IF(INDEX('Surface DEET'!$Q$9:$W$38,COLUMN(AI83)-COLUMN($E$5),4)&gt;0,INDEX('Surface DEET'!$Q$9:$W$38,COLUMN(AI83)-COLUMN($E$5),4),$E90),0)</f>
        <v>0</v>
      </c>
    </row>
    <row r="91" spans="1:35">
      <c r="A91" s="521"/>
      <c r="B91" s="295" t="s">
        <v>552</v>
      </c>
      <c r="C91" s="32" t="s">
        <v>619</v>
      </c>
      <c r="D91" s="343"/>
      <c r="E91" s="346"/>
    </row>
    <row r="92" spans="1:35">
      <c r="A92" s="521"/>
      <c r="C92" s="32" t="s">
        <v>619</v>
      </c>
      <c r="D92" s="343" t="s">
        <v>612</v>
      </c>
      <c r="E92" s="346">
        <v>701</v>
      </c>
    </row>
    <row r="93" spans="1:35" ht="14.25" customHeight="1">
      <c r="A93" s="521"/>
      <c r="B93" s="343" t="s">
        <v>620</v>
      </c>
      <c r="C93" s="32" t="s">
        <v>619</v>
      </c>
      <c r="D93" s="343" t="s">
        <v>614</v>
      </c>
      <c r="E93" s="346">
        <v>6.3</v>
      </c>
    </row>
    <row r="94" spans="1:35">
      <c r="A94" s="521"/>
      <c r="B94" s="343" t="s">
        <v>621</v>
      </c>
      <c r="C94" s="32" t="s">
        <v>619</v>
      </c>
      <c r="D94" s="343" t="s">
        <v>616</v>
      </c>
      <c r="E94" s="346">
        <v>118</v>
      </c>
    </row>
    <row r="95" spans="1:35">
      <c r="A95" s="521"/>
      <c r="B95" s="295" t="s">
        <v>542</v>
      </c>
      <c r="C95" s="32" t="s">
        <v>619</v>
      </c>
      <c r="D95" s="295" t="s">
        <v>542</v>
      </c>
      <c r="F95" s="295">
        <f>IFERROR($E$86*(F89/$E$89)*($E$88*(F90/100*$E$92+(1-F90/100)*$E$93)/$E$94+(1-$E$88))+0.28*$E$85*(F89-$E$89)/$E$89,0)</f>
        <v>-14.840000000000002</v>
      </c>
      <c r="G95" s="295">
        <f>IFERROR($E$86*(G89/$E$89)*($E$88*(G90/100*$E$90+(1-G90/100)*$E$93)/$E$94+(1-$E$88))+0.28*$E$85*(G89-$E$89)/$E$89,0)</f>
        <v>-14.840000000000002</v>
      </c>
      <c r="H95" s="295">
        <f t="shared" ref="H95:AI95" si="10">IFERROR($E$86*(H89/$E$89)*($E$88*(H90/100*$E$90+(1-H90/100)*$E$93)/$E$94+(1-$E$88))+0.28*$E$85*(H89-$E$89)/$E$89,0)</f>
        <v>-14.840000000000002</v>
      </c>
      <c r="I95" s="295">
        <f t="shared" si="10"/>
        <v>-14.840000000000002</v>
      </c>
      <c r="J95" s="295">
        <f t="shared" si="10"/>
        <v>-14.840000000000002</v>
      </c>
      <c r="K95" s="295">
        <f t="shared" si="10"/>
        <v>-14.840000000000002</v>
      </c>
      <c r="L95" s="295">
        <f t="shared" si="10"/>
        <v>-14.840000000000002</v>
      </c>
      <c r="M95" s="295">
        <f t="shared" si="10"/>
        <v>-14.840000000000002</v>
      </c>
      <c r="N95" s="295">
        <f t="shared" si="10"/>
        <v>-14.840000000000002</v>
      </c>
      <c r="O95" s="295">
        <f t="shared" si="10"/>
        <v>-14.840000000000002</v>
      </c>
      <c r="P95" s="295">
        <f t="shared" si="10"/>
        <v>-14.840000000000002</v>
      </c>
      <c r="Q95" s="295">
        <f t="shared" si="10"/>
        <v>-14.840000000000002</v>
      </c>
      <c r="R95" s="295">
        <f t="shared" si="10"/>
        <v>-14.840000000000002</v>
      </c>
      <c r="S95" s="295">
        <f t="shared" si="10"/>
        <v>-14.840000000000002</v>
      </c>
      <c r="T95" s="295">
        <f t="shared" si="10"/>
        <v>-14.840000000000002</v>
      </c>
      <c r="U95" s="295">
        <f t="shared" si="10"/>
        <v>-14.840000000000002</v>
      </c>
      <c r="V95" s="295">
        <f t="shared" si="10"/>
        <v>-14.840000000000002</v>
      </c>
      <c r="W95" s="295">
        <f t="shared" si="10"/>
        <v>-14.840000000000002</v>
      </c>
      <c r="X95" s="295">
        <f t="shared" si="10"/>
        <v>-14.840000000000002</v>
      </c>
      <c r="Y95" s="295">
        <f t="shared" si="10"/>
        <v>-14.840000000000002</v>
      </c>
      <c r="Z95" s="295">
        <f t="shared" si="10"/>
        <v>-14.840000000000002</v>
      </c>
      <c r="AA95" s="295">
        <f t="shared" si="10"/>
        <v>-14.840000000000002</v>
      </c>
      <c r="AB95" s="295">
        <f t="shared" si="10"/>
        <v>-14.840000000000002</v>
      </c>
      <c r="AC95" s="295">
        <f t="shared" si="10"/>
        <v>-14.840000000000002</v>
      </c>
      <c r="AD95" s="295">
        <f t="shared" si="10"/>
        <v>-14.840000000000002</v>
      </c>
      <c r="AE95" s="295">
        <f t="shared" si="10"/>
        <v>-14.840000000000002</v>
      </c>
      <c r="AF95" s="295">
        <f t="shared" si="10"/>
        <v>-14.840000000000002</v>
      </c>
      <c r="AG95" s="295">
        <f t="shared" si="10"/>
        <v>-14.840000000000002</v>
      </c>
      <c r="AH95" s="295">
        <f t="shared" si="10"/>
        <v>-14.840000000000002</v>
      </c>
      <c r="AI95" s="295">
        <f t="shared" si="10"/>
        <v>-14.840000000000002</v>
      </c>
    </row>
    <row r="96" spans="1:35">
      <c r="A96" s="521" t="s">
        <v>622</v>
      </c>
      <c r="B96" s="93" t="s">
        <v>301</v>
      </c>
      <c r="C96" s="32" t="s">
        <v>622</v>
      </c>
      <c r="D96" s="93" t="s">
        <v>301</v>
      </c>
      <c r="E96" s="295">
        <f t="array" ref="E96">INDEX(CABS_CVC!$C$3:$O$870,MATCH(1, (CABS_CVC!$A$3:$A$870=Calculs_CABS!C96)*(CABS_CVC!$B$3:$B$870=Calculs_CABS!$D$2),0),MATCH(Calculs_CABS!$D$1,Liste_CABS!$B$3:$B$15,0))</f>
        <v>74</v>
      </c>
    </row>
    <row r="97" spans="1:35">
      <c r="A97" s="521"/>
      <c r="B97" s="295" t="s">
        <v>543</v>
      </c>
      <c r="C97" s="32" t="s">
        <v>622</v>
      </c>
      <c r="D97" s="295" t="s">
        <v>543</v>
      </c>
      <c r="E97" s="346">
        <v>124</v>
      </c>
    </row>
    <row r="98" spans="1:35">
      <c r="A98" s="521"/>
      <c r="B98" s="295" t="s">
        <v>544</v>
      </c>
      <c r="C98" s="32" t="s">
        <v>622</v>
      </c>
      <c r="D98" s="295" t="s">
        <v>544</v>
      </c>
      <c r="E98" s="295">
        <f>E96+E97</f>
        <v>198</v>
      </c>
    </row>
    <row r="99" spans="1:35">
      <c r="A99" s="521"/>
      <c r="B99" s="295" t="s">
        <v>545</v>
      </c>
      <c r="C99" s="32" t="s">
        <v>622</v>
      </c>
      <c r="D99" s="295" t="s">
        <v>545</v>
      </c>
      <c r="E99" s="295">
        <v>0.96</v>
      </c>
    </row>
    <row r="100" spans="1:35">
      <c r="A100" s="521"/>
      <c r="B100" s="295" t="s">
        <v>546</v>
      </c>
      <c r="C100" s="32" t="s">
        <v>622</v>
      </c>
      <c r="D100" s="343" t="s">
        <v>609</v>
      </c>
      <c r="E100" s="347">
        <v>2555</v>
      </c>
      <c r="F100" s="295">
        <f>IF(F$6=$C100,IF(INDEX('Surface DEET'!$Q$9:$W$38,COLUMN(F93)-COLUMN($E$5),1)&gt;0,INDEX('Surface DEET'!$Q$9:$W$38,COLUMN(F93)-COLUMN($E$5),1),$E100),0)</f>
        <v>0</v>
      </c>
      <c r="G100" s="295">
        <f>IF(G$6=$C100,IF(INDEX('Surface DEET'!$Q$9:$W$38,COLUMN(G93)-COLUMN($E$5),1)&gt;0,INDEX('Surface DEET'!$Q$9:$W$38,COLUMN(G93)-COLUMN($E$5),1),$E100),0)</f>
        <v>0</v>
      </c>
      <c r="H100" s="295">
        <f>IF(H$6=$C100,IF(INDEX('Surface DEET'!$Q$9:$W$38,COLUMN(H93)-COLUMN($E$5),1)&gt;0,INDEX('Surface DEET'!$Q$9:$W$38,COLUMN(H93)-COLUMN($E$5),1),$E100),0)</f>
        <v>0</v>
      </c>
      <c r="I100" s="295">
        <f>IF(I$6=$C100,IF(INDEX('Surface DEET'!$Q$9:$W$38,COLUMN(I93)-COLUMN($E$5),1)&gt;0,INDEX('Surface DEET'!$Q$9:$W$38,COLUMN(I93)-COLUMN($E$5),1),$E100),0)</f>
        <v>0</v>
      </c>
      <c r="J100" s="295">
        <f>IF(J$6=$C100,IF(INDEX('Surface DEET'!$Q$9:$W$38,COLUMN(J93)-COLUMN($E$5),1)&gt;0,INDEX('Surface DEET'!$Q$9:$W$38,COLUMN(J93)-COLUMN($E$5),1),$E100),0)</f>
        <v>0</v>
      </c>
      <c r="K100" s="295">
        <f>IF(K$6=$C100,IF(INDEX('Surface DEET'!$Q$9:$W$38,COLUMN(K93)-COLUMN($E$5),1)&gt;0,INDEX('Surface DEET'!$Q$9:$W$38,COLUMN(K93)-COLUMN($E$5),1),$E100),0)</f>
        <v>0</v>
      </c>
      <c r="L100" s="295">
        <f>IF(L$6=$C100,IF(INDEX('Surface DEET'!$Q$9:$W$38,COLUMN(L93)-COLUMN($E$5),1)&gt;0,INDEX('Surface DEET'!$Q$9:$W$38,COLUMN(L93)-COLUMN($E$5),1),$E100),0)</f>
        <v>0</v>
      </c>
      <c r="M100" s="295">
        <f>IF(M$6=$C100,IF(INDEX('Surface DEET'!$Q$9:$W$38,COLUMN(M93)-COLUMN($E$5),1)&gt;0,INDEX('Surface DEET'!$Q$9:$W$38,COLUMN(M93)-COLUMN($E$5),1),$E100),0)</f>
        <v>0</v>
      </c>
      <c r="N100" s="295">
        <f>IF(N$6=$C100,IF(INDEX('Surface DEET'!$Q$9:$W$38,COLUMN(N93)-COLUMN($E$5),1)&gt;0,INDEX('Surface DEET'!$Q$9:$W$38,COLUMN(N93)-COLUMN($E$5),1),$E100),0)</f>
        <v>0</v>
      </c>
      <c r="O100" s="295">
        <f>IF(O$6=$C100,IF(INDEX('Surface DEET'!$Q$9:$W$38,COLUMN(O93)-COLUMN($E$5),1)&gt;0,INDEX('Surface DEET'!$Q$9:$W$38,COLUMN(O93)-COLUMN($E$5),1),$E100),0)</f>
        <v>0</v>
      </c>
      <c r="P100" s="295">
        <f>IF(P$6=$C100,IF(INDEX('Surface DEET'!$Q$9:$W$38,COLUMN(P93)-COLUMN($E$5),1)&gt;0,INDEX('Surface DEET'!$Q$9:$W$38,COLUMN(P93)-COLUMN($E$5),1),$E100),0)</f>
        <v>0</v>
      </c>
      <c r="Q100" s="295">
        <f>IF(Q$6=$C100,IF(INDEX('Surface DEET'!$Q$9:$W$38,COLUMN(Q93)-COLUMN($E$5),1)&gt;0,INDEX('Surface DEET'!$Q$9:$W$38,COLUMN(Q93)-COLUMN($E$5),1),$E100),0)</f>
        <v>0</v>
      </c>
      <c r="R100" s="295">
        <f>IF(R$6=$C100,IF(INDEX('Surface DEET'!$Q$9:$W$38,COLUMN(R93)-COLUMN($E$5),1)&gt;0,INDEX('Surface DEET'!$Q$9:$W$38,COLUMN(R93)-COLUMN($E$5),1),$E100),0)</f>
        <v>0</v>
      </c>
      <c r="S100" s="295">
        <f>IF(S$6=$C100,IF(INDEX('Surface DEET'!$Q$9:$W$38,COLUMN(S93)-COLUMN($E$5),1)&gt;0,INDEX('Surface DEET'!$Q$9:$W$38,COLUMN(S93)-COLUMN($E$5),1),$E100),0)</f>
        <v>0</v>
      </c>
      <c r="T100" s="295">
        <f>IF(T$6=$C100,IF(INDEX('Surface DEET'!$Q$9:$W$38,COLUMN(T93)-COLUMN($E$5),1)&gt;0,INDEX('Surface DEET'!$Q$9:$W$38,COLUMN(T93)-COLUMN($E$5),1),$E100),0)</f>
        <v>0</v>
      </c>
      <c r="U100" s="295">
        <f>IF(U$6=$C100,IF(INDEX('Surface DEET'!$Q$9:$W$38,COLUMN(U93)-COLUMN($E$5),1)&gt;0,INDEX('Surface DEET'!$Q$9:$W$38,COLUMN(U93)-COLUMN($E$5),1),$E100),0)</f>
        <v>0</v>
      </c>
      <c r="V100" s="295">
        <f>IF(V$6=$C100,IF(INDEX('Surface DEET'!$Q$9:$W$38,COLUMN(V93)-COLUMN($E$5),1)&gt;0,INDEX('Surface DEET'!$Q$9:$W$38,COLUMN(V93)-COLUMN($E$5),1),$E100),0)</f>
        <v>0</v>
      </c>
      <c r="W100" s="295">
        <f>IF(W$6=$C100,IF(INDEX('Surface DEET'!$Q$9:$W$38,COLUMN(W93)-COLUMN($E$5),1)&gt;0,INDEX('Surface DEET'!$Q$9:$W$38,COLUMN(W93)-COLUMN($E$5),1),$E100),0)</f>
        <v>0</v>
      </c>
      <c r="X100" s="295">
        <f>IF(X$6=$C100,IF(INDEX('Surface DEET'!$Q$9:$W$38,COLUMN(X93)-COLUMN($E$5),1)&gt;0,INDEX('Surface DEET'!$Q$9:$W$38,COLUMN(X93)-COLUMN($E$5),1),$E100),0)</f>
        <v>0</v>
      </c>
      <c r="Y100" s="295">
        <f>IF(Y$6=$C100,IF(INDEX('Surface DEET'!$Q$9:$W$38,COLUMN(Y93)-COLUMN($E$5),1)&gt;0,INDEX('Surface DEET'!$Q$9:$W$38,COLUMN(Y93)-COLUMN($E$5),1),$E100),0)</f>
        <v>0</v>
      </c>
      <c r="Z100" s="295">
        <f>IF(Z$6=$C100,IF(INDEX('Surface DEET'!$Q$9:$W$38,COLUMN(Z93)-COLUMN($E$5),1)&gt;0,INDEX('Surface DEET'!$Q$9:$W$38,COLUMN(Z93)-COLUMN($E$5),1),$E100),0)</f>
        <v>0</v>
      </c>
      <c r="AA100" s="295">
        <f>IF(AA$6=$C100,IF(INDEX('Surface DEET'!$Q$9:$W$38,COLUMN(AA93)-COLUMN($E$5),1)&gt;0,INDEX('Surface DEET'!$Q$9:$W$38,COLUMN(AA93)-COLUMN($E$5),1),$E100),0)</f>
        <v>0</v>
      </c>
      <c r="AB100" s="295">
        <f>IF(AB$6=$C100,IF(INDEX('Surface DEET'!$Q$9:$W$38,COLUMN(AB93)-COLUMN($E$5),1)&gt;0,INDEX('Surface DEET'!$Q$9:$W$38,COLUMN(AB93)-COLUMN($E$5),1),$E100),0)</f>
        <v>0</v>
      </c>
      <c r="AC100" s="295">
        <f>IF(AC$6=$C100,IF(INDEX('Surface DEET'!$Q$9:$W$38,COLUMN(AC93)-COLUMN($E$5),1)&gt;0,INDEX('Surface DEET'!$Q$9:$W$38,COLUMN(AC93)-COLUMN($E$5),1),$E100),0)</f>
        <v>0</v>
      </c>
      <c r="AD100" s="295">
        <f>IF(AD$6=$C100,IF(INDEX('Surface DEET'!$Q$9:$W$38,COLUMN(AD93)-COLUMN($E$5),1)&gt;0,INDEX('Surface DEET'!$Q$9:$W$38,COLUMN(AD93)-COLUMN($E$5),1),$E100),0)</f>
        <v>0</v>
      </c>
      <c r="AE100" s="295">
        <f>IF(AE$6=$C100,IF(INDEX('Surface DEET'!$Q$9:$W$38,COLUMN(AE93)-COLUMN($E$5),1)&gt;0,INDEX('Surface DEET'!$Q$9:$W$38,COLUMN(AE93)-COLUMN($E$5),1),$E100),0)</f>
        <v>0</v>
      </c>
      <c r="AF100" s="295">
        <f>IF(AF$6=$C100,IF(INDEX('Surface DEET'!$Q$9:$W$38,COLUMN(AF93)-COLUMN($E$5),1)&gt;0,INDEX('Surface DEET'!$Q$9:$W$38,COLUMN(AF93)-COLUMN($E$5),1),$E100),0)</f>
        <v>0</v>
      </c>
      <c r="AG100" s="295">
        <f>IF(AG$6=$C100,IF(INDEX('Surface DEET'!$Q$9:$W$38,COLUMN(AG93)-COLUMN($E$5),1)&gt;0,INDEX('Surface DEET'!$Q$9:$W$38,COLUMN(AG93)-COLUMN($E$5),1),$E100),0)</f>
        <v>0</v>
      </c>
      <c r="AH100" s="295">
        <f>IF(AH$6=$C100,IF(INDEX('Surface DEET'!$Q$9:$W$38,COLUMN(AH93)-COLUMN($E$5),1)&gt;0,INDEX('Surface DEET'!$Q$9:$W$38,COLUMN(AH93)-COLUMN($E$5),1),$E100),0)</f>
        <v>0</v>
      </c>
      <c r="AI100" s="295">
        <f>IF(AI$6=$C100,IF(INDEX('Surface DEET'!$Q$9:$W$38,COLUMN(AI93)-COLUMN($E$5),1)&gt;0,INDEX('Surface DEET'!$Q$9:$W$38,COLUMN(AI93)-COLUMN($E$5),1),$E100),0)</f>
        <v>0</v>
      </c>
    </row>
    <row r="101" spans="1:35">
      <c r="A101" s="521"/>
      <c r="B101" s="295" t="s">
        <v>549</v>
      </c>
      <c r="C101" s="32" t="s">
        <v>622</v>
      </c>
      <c r="D101" s="343" t="s">
        <v>623</v>
      </c>
      <c r="E101" s="346">
        <v>900</v>
      </c>
      <c r="F101" s="295">
        <f>IF(F$6=$C101,IF(INDEX('Surface DEET'!$Q$9:$W$38,COLUMN(F94)-COLUMN($E$5),4)&gt;0,INDEX('Surface DEET'!$Q$9:$W$38,COLUMN(F94)-COLUMN($E$5),4),$E101),0)</f>
        <v>0</v>
      </c>
      <c r="G101" s="295">
        <f>IF(G$6=$C101,IF(INDEX('Surface DEET'!$Q$9:$W$38,COLUMN(G94)-COLUMN($E$5),4)&gt;0,INDEX('Surface DEET'!$Q$9:$W$38,COLUMN(G94)-COLUMN($E$5),4),$E101),0)</f>
        <v>0</v>
      </c>
      <c r="H101" s="295">
        <f>IF(H$6=$C101,IF(INDEX('Surface DEET'!$Q$9:$W$38,COLUMN(H94)-COLUMN($E$5),4)&gt;0,INDEX('Surface DEET'!$Q$9:$W$38,COLUMN(H94)-COLUMN($E$5),4),$E101),0)</f>
        <v>0</v>
      </c>
      <c r="I101" s="295">
        <f>IF(I$6=$C101,IF(INDEX('Surface DEET'!$Q$9:$W$38,COLUMN(I94)-COLUMN($E$5),4)&gt;0,INDEX('Surface DEET'!$Q$9:$W$38,COLUMN(I94)-COLUMN($E$5),4),$E101),0)</f>
        <v>0</v>
      </c>
      <c r="J101" s="295">
        <f>IF(J$6=$C101,IF(INDEX('Surface DEET'!$Q$9:$W$38,COLUMN(J94)-COLUMN($E$5),4)&gt;0,INDEX('Surface DEET'!$Q$9:$W$38,COLUMN(J94)-COLUMN($E$5),4),$E101),0)</f>
        <v>0</v>
      </c>
      <c r="K101" s="295">
        <f>IF(K$6=$C101,IF(INDEX('Surface DEET'!$Q$9:$W$38,COLUMN(K94)-COLUMN($E$5),4)&gt;0,INDEX('Surface DEET'!$Q$9:$W$38,COLUMN(K94)-COLUMN($E$5),4),$E101),0)</f>
        <v>0</v>
      </c>
      <c r="L101" s="295">
        <f>IF(L$6=$C101,IF(INDEX('Surface DEET'!$Q$9:$W$38,COLUMN(L94)-COLUMN($E$5),4)&gt;0,INDEX('Surface DEET'!$Q$9:$W$38,COLUMN(L94)-COLUMN($E$5),4),$E101),0)</f>
        <v>0</v>
      </c>
      <c r="M101" s="295">
        <f>IF(M$6=$C101,IF(INDEX('Surface DEET'!$Q$9:$W$38,COLUMN(M94)-COLUMN($E$5),4)&gt;0,INDEX('Surface DEET'!$Q$9:$W$38,COLUMN(M94)-COLUMN($E$5),4),$E101),0)</f>
        <v>0</v>
      </c>
      <c r="N101" s="295">
        <f>IF(N$6=$C101,IF(INDEX('Surface DEET'!$Q$9:$W$38,COLUMN(N94)-COLUMN($E$5),4)&gt;0,INDEX('Surface DEET'!$Q$9:$W$38,COLUMN(N94)-COLUMN($E$5),4),$E101),0)</f>
        <v>0</v>
      </c>
      <c r="O101" s="295">
        <f>IF(O$6=$C101,IF(INDEX('Surface DEET'!$Q$9:$W$38,COLUMN(O94)-COLUMN($E$5),4)&gt;0,INDEX('Surface DEET'!$Q$9:$W$38,COLUMN(O94)-COLUMN($E$5),4),$E101),0)</f>
        <v>0</v>
      </c>
      <c r="P101" s="295">
        <f>IF(P$6=$C101,IF(INDEX('Surface DEET'!$Q$9:$W$38,COLUMN(P94)-COLUMN($E$5),4)&gt;0,INDEX('Surface DEET'!$Q$9:$W$38,COLUMN(P94)-COLUMN($E$5),4),$E101),0)</f>
        <v>0</v>
      </c>
      <c r="Q101" s="295">
        <f>IF(Q$6=$C101,IF(INDEX('Surface DEET'!$Q$9:$W$38,COLUMN(Q94)-COLUMN($E$5),4)&gt;0,INDEX('Surface DEET'!$Q$9:$W$38,COLUMN(Q94)-COLUMN($E$5),4),$E101),0)</f>
        <v>0</v>
      </c>
      <c r="R101" s="295">
        <f>IF(R$6=$C101,IF(INDEX('Surface DEET'!$Q$9:$W$38,COLUMN(R94)-COLUMN($E$5),4)&gt;0,INDEX('Surface DEET'!$Q$9:$W$38,COLUMN(R94)-COLUMN($E$5),4),$E101),0)</f>
        <v>0</v>
      </c>
      <c r="S101" s="295">
        <f>IF(S$6=$C101,IF(INDEX('Surface DEET'!$Q$9:$W$38,COLUMN(S94)-COLUMN($E$5),4)&gt;0,INDEX('Surface DEET'!$Q$9:$W$38,COLUMN(S94)-COLUMN($E$5),4),$E101),0)</f>
        <v>0</v>
      </c>
      <c r="T101" s="295">
        <f>IF(T$6=$C101,IF(INDEX('Surface DEET'!$Q$9:$W$38,COLUMN(T94)-COLUMN($E$5),4)&gt;0,INDEX('Surface DEET'!$Q$9:$W$38,COLUMN(T94)-COLUMN($E$5),4),$E101),0)</f>
        <v>0</v>
      </c>
      <c r="U101" s="295">
        <f>IF(U$6=$C101,IF(INDEX('Surface DEET'!$Q$9:$W$38,COLUMN(U94)-COLUMN($E$5),4)&gt;0,INDEX('Surface DEET'!$Q$9:$W$38,COLUMN(U94)-COLUMN($E$5),4),$E101),0)</f>
        <v>0</v>
      </c>
      <c r="V101" s="295">
        <f>IF(V$6=$C101,IF(INDEX('Surface DEET'!$Q$9:$W$38,COLUMN(V94)-COLUMN($E$5),4)&gt;0,INDEX('Surface DEET'!$Q$9:$W$38,COLUMN(V94)-COLUMN($E$5),4),$E101),0)</f>
        <v>0</v>
      </c>
      <c r="W101" s="295">
        <f>IF(W$6=$C101,IF(INDEX('Surface DEET'!$Q$9:$W$38,COLUMN(W94)-COLUMN($E$5),4)&gt;0,INDEX('Surface DEET'!$Q$9:$W$38,COLUMN(W94)-COLUMN($E$5),4),$E101),0)</f>
        <v>0</v>
      </c>
      <c r="X101" s="295">
        <f>IF(X$6=$C101,IF(INDEX('Surface DEET'!$Q$9:$W$38,COLUMN(X94)-COLUMN($E$5),4)&gt;0,INDEX('Surface DEET'!$Q$9:$W$38,COLUMN(X94)-COLUMN($E$5),4),$E101),0)</f>
        <v>0</v>
      </c>
      <c r="Y101" s="295">
        <f>IF(Y$6=$C101,IF(INDEX('Surface DEET'!$Q$9:$W$38,COLUMN(Y94)-COLUMN($E$5),4)&gt;0,INDEX('Surface DEET'!$Q$9:$W$38,COLUMN(Y94)-COLUMN($E$5),4),$E101),0)</f>
        <v>0</v>
      </c>
      <c r="Z101" s="295">
        <f>IF(Z$6=$C101,IF(INDEX('Surface DEET'!$Q$9:$W$38,COLUMN(Z94)-COLUMN($E$5),4)&gt;0,INDEX('Surface DEET'!$Q$9:$W$38,COLUMN(Z94)-COLUMN($E$5),4),$E101),0)</f>
        <v>0</v>
      </c>
      <c r="AA101" s="295">
        <f>IF(AA$6=$C101,IF(INDEX('Surface DEET'!$Q$9:$W$38,COLUMN(AA94)-COLUMN($E$5),4)&gt;0,INDEX('Surface DEET'!$Q$9:$W$38,COLUMN(AA94)-COLUMN($E$5),4),$E101),0)</f>
        <v>0</v>
      </c>
      <c r="AB101" s="295">
        <f>IF(AB$6=$C101,IF(INDEX('Surface DEET'!$Q$9:$W$38,COLUMN(AB94)-COLUMN($E$5),4)&gt;0,INDEX('Surface DEET'!$Q$9:$W$38,COLUMN(AB94)-COLUMN($E$5),4),$E101),0)</f>
        <v>0</v>
      </c>
      <c r="AC101" s="295">
        <f>IF(AC$6=$C101,IF(INDEX('Surface DEET'!$Q$9:$W$38,COLUMN(AC94)-COLUMN($E$5),4)&gt;0,INDEX('Surface DEET'!$Q$9:$W$38,COLUMN(AC94)-COLUMN($E$5),4),$E101),0)</f>
        <v>0</v>
      </c>
      <c r="AD101" s="295">
        <f>IF(AD$6=$C101,IF(INDEX('Surface DEET'!$Q$9:$W$38,COLUMN(AD94)-COLUMN($E$5),4)&gt;0,INDEX('Surface DEET'!$Q$9:$W$38,COLUMN(AD94)-COLUMN($E$5),4),$E101),0)</f>
        <v>0</v>
      </c>
      <c r="AE101" s="295">
        <f>IF(AE$6=$C101,IF(INDEX('Surface DEET'!$Q$9:$W$38,COLUMN(AE94)-COLUMN($E$5),4)&gt;0,INDEX('Surface DEET'!$Q$9:$W$38,COLUMN(AE94)-COLUMN($E$5),4),$E101),0)</f>
        <v>0</v>
      </c>
      <c r="AF101" s="295">
        <f>IF(AF$6=$C101,IF(INDEX('Surface DEET'!$Q$9:$W$38,COLUMN(AF94)-COLUMN($E$5),4)&gt;0,INDEX('Surface DEET'!$Q$9:$W$38,COLUMN(AF94)-COLUMN($E$5),4),$E101),0)</f>
        <v>0</v>
      </c>
      <c r="AG101" s="295">
        <f>IF(AG$6=$C101,IF(INDEX('Surface DEET'!$Q$9:$W$38,COLUMN(AG94)-COLUMN($E$5),4)&gt;0,INDEX('Surface DEET'!$Q$9:$W$38,COLUMN(AG94)-COLUMN($E$5),4),$E101),0)</f>
        <v>0</v>
      </c>
      <c r="AH101" s="295">
        <f>IF(AH$6=$C101,IF(INDEX('Surface DEET'!$Q$9:$W$38,COLUMN(AH94)-COLUMN($E$5),4)&gt;0,INDEX('Surface DEET'!$Q$9:$W$38,COLUMN(AH94)-COLUMN($E$5),4),$E101),0)</f>
        <v>0</v>
      </c>
      <c r="AI101" s="295">
        <f>IF(AI$6=$C101,IF(INDEX('Surface DEET'!$Q$9:$W$38,COLUMN(AI94)-COLUMN($E$5),4)&gt;0,INDEX('Surface DEET'!$Q$9:$W$38,COLUMN(AI94)-COLUMN($E$5),4),$E101),0)</f>
        <v>0</v>
      </c>
    </row>
    <row r="102" spans="1:35">
      <c r="A102" s="521"/>
      <c r="B102" s="295" t="s">
        <v>552</v>
      </c>
      <c r="C102" s="32" t="s">
        <v>622</v>
      </c>
      <c r="D102" s="343" t="s">
        <v>624</v>
      </c>
      <c r="E102" s="346"/>
      <c r="F102" s="295">
        <f>IF(F$6=$C102,IF(INDEX('Surface DEET'!$F$9:$W$38,COLUMN(F95)-COLUMN($E$5),7)&gt;0,INDEX('Surface DEET'!$F$9:$W$38,COLUMN(F95)-COLUMN($E$5),1),$E102),0)</f>
        <v>0</v>
      </c>
      <c r="G102" s="295">
        <f>IF(G$6=$C102,IF(INDEX('Surface DEET'!$F$9:$W$38,COLUMN(G95)-COLUMN($E$5),7)&gt;0,INDEX('Surface DEET'!$F$9:$W$38,COLUMN(G95)-COLUMN($E$5),1),$E102),0)</f>
        <v>0</v>
      </c>
      <c r="H102" s="295">
        <f>IF(H$6=$C102,IF(INDEX('Surface DEET'!$F$9:$W$38,COLUMN(H95)-COLUMN($E$5),7)&gt;0,INDEX('Surface DEET'!$F$9:$W$38,COLUMN(H95)-COLUMN($E$5),1),$E102),0)</f>
        <v>0</v>
      </c>
      <c r="I102" s="295">
        <f>IF(I$6=$C102,IF(INDEX('Surface DEET'!$F$9:$W$38,COLUMN(I95)-COLUMN($E$5),7)&gt;0,INDEX('Surface DEET'!$F$9:$W$38,COLUMN(I95)-COLUMN($E$5),1),$E102),0)</f>
        <v>0</v>
      </c>
      <c r="J102" s="295">
        <f>IF(J$6=$C102,IF(INDEX('Surface DEET'!$F$9:$W$38,COLUMN(J95)-COLUMN($E$5),7)&gt;0,INDEX('Surface DEET'!$F$9:$W$38,COLUMN(J95)-COLUMN($E$5),1),$E102),0)</f>
        <v>0</v>
      </c>
      <c r="K102" s="295">
        <f>IF(K$6=$C102,IF(INDEX('Surface DEET'!$F$9:$W$38,COLUMN(K95)-COLUMN($E$5),7)&gt;0,INDEX('Surface DEET'!$F$9:$W$38,COLUMN(K95)-COLUMN($E$5),1),$E102),0)</f>
        <v>0</v>
      </c>
      <c r="L102" s="295">
        <f>IF(L$6=$C102,IF(INDEX('Surface DEET'!$F$9:$W$38,COLUMN(L95)-COLUMN($E$5),7)&gt;0,INDEX('Surface DEET'!$F$9:$W$38,COLUMN(L95)-COLUMN($E$5),1),$E102),0)</f>
        <v>0</v>
      </c>
      <c r="M102" s="295">
        <f>IF(M$6=$C102,IF(INDEX('Surface DEET'!$F$9:$W$38,COLUMN(M95)-COLUMN($E$5),7)&gt;0,INDEX('Surface DEET'!$F$9:$W$38,COLUMN(M95)-COLUMN($E$5),1),$E102),0)</f>
        <v>0</v>
      </c>
      <c r="N102" s="295">
        <f>IF(N$6=$C102,IF(INDEX('Surface DEET'!$F$9:$W$38,COLUMN(N95)-COLUMN($E$5),7)&gt;0,INDEX('Surface DEET'!$F$9:$W$38,COLUMN(N95)-COLUMN($E$5),1),$E102),0)</f>
        <v>0</v>
      </c>
      <c r="O102" s="295">
        <f>IF(O$6=$C102,IF(INDEX('Surface DEET'!$F$9:$W$38,COLUMN(O95)-COLUMN($E$5),7)&gt;0,INDEX('Surface DEET'!$F$9:$W$38,COLUMN(O95)-COLUMN($E$5),1),$E102),0)</f>
        <v>0</v>
      </c>
      <c r="P102" s="295">
        <f>IF(P$6=$C102,IF(INDEX('Surface DEET'!$F$9:$W$38,COLUMN(P95)-COLUMN($E$5),7)&gt;0,INDEX('Surface DEET'!$F$9:$W$38,COLUMN(P95)-COLUMN($E$5),1),$E102),0)</f>
        <v>0</v>
      </c>
      <c r="Q102" s="295">
        <f>IF(Q$6=$C102,IF(INDEX('Surface DEET'!$F$9:$W$38,COLUMN(Q95)-COLUMN($E$5),7)&gt;0,INDEX('Surface DEET'!$F$9:$W$38,COLUMN(Q95)-COLUMN($E$5),1),$E102),0)</f>
        <v>0</v>
      </c>
      <c r="R102" s="295">
        <f>IF(R$6=$C102,IF(INDEX('Surface DEET'!$F$9:$W$38,COLUMN(R95)-COLUMN($E$5),7)&gt;0,INDEX('Surface DEET'!$F$9:$W$38,COLUMN(R95)-COLUMN($E$5),1),$E102),0)</f>
        <v>0</v>
      </c>
      <c r="S102" s="295">
        <f>IF(S$6=$C102,IF(INDEX('Surface DEET'!$F$9:$W$38,COLUMN(S95)-COLUMN($E$5),7)&gt;0,INDEX('Surface DEET'!$F$9:$W$38,COLUMN(S95)-COLUMN($E$5),1),$E102),0)</f>
        <v>0</v>
      </c>
      <c r="T102" s="295">
        <f>IF(T$6=$C102,IF(INDEX('Surface DEET'!$F$9:$W$38,COLUMN(T95)-COLUMN($E$5),7)&gt;0,INDEX('Surface DEET'!$F$9:$W$38,COLUMN(T95)-COLUMN($E$5),1),$E102),0)</f>
        <v>0</v>
      </c>
      <c r="U102" s="295">
        <f>IF(U$6=$C102,IF(INDEX('Surface DEET'!$F$9:$W$38,COLUMN(U95)-COLUMN($E$5),7)&gt;0,INDEX('Surface DEET'!$F$9:$W$38,COLUMN(U95)-COLUMN($E$5),1),$E102),0)</f>
        <v>0</v>
      </c>
      <c r="V102" s="295">
        <f>IF(V$6=$C102,IF(INDEX('Surface DEET'!$F$9:$W$38,COLUMN(V95)-COLUMN($E$5),7)&gt;0,INDEX('Surface DEET'!$F$9:$W$38,COLUMN(V95)-COLUMN($E$5),1),$E102),0)</f>
        <v>0</v>
      </c>
      <c r="W102" s="295">
        <f>IF(W$6=$C102,IF(INDEX('Surface DEET'!$F$9:$W$38,COLUMN(W95)-COLUMN($E$5),7)&gt;0,INDEX('Surface DEET'!$F$9:$W$38,COLUMN(W95)-COLUMN($E$5),1),$E102),0)</f>
        <v>0</v>
      </c>
      <c r="X102" s="295">
        <f>IF(X$6=$C102,IF(INDEX('Surface DEET'!$F$9:$W$38,COLUMN(X95)-COLUMN($E$5),7)&gt;0,INDEX('Surface DEET'!$F$9:$W$38,COLUMN(X95)-COLUMN($E$5),1),$E102),0)</f>
        <v>0</v>
      </c>
      <c r="Y102" s="295">
        <f>IF(Y$6=$C102,IF(INDEX('Surface DEET'!$F$9:$W$38,COLUMN(Y95)-COLUMN($E$5),7)&gt;0,INDEX('Surface DEET'!$F$9:$W$38,COLUMN(Y95)-COLUMN($E$5),1),$E102),0)</f>
        <v>0</v>
      </c>
      <c r="Z102" s="295">
        <f>IF(Z$6=$C102,IF(INDEX('Surface DEET'!$F$9:$W$38,COLUMN(Z95)-COLUMN($E$5),7)&gt;0,INDEX('Surface DEET'!$F$9:$W$38,COLUMN(Z95)-COLUMN($E$5),1),$E102),0)</f>
        <v>0</v>
      </c>
      <c r="AA102" s="295">
        <f>IF(AA$6=$C102,IF(INDEX('Surface DEET'!$F$9:$W$38,COLUMN(AA95)-COLUMN($E$5),7)&gt;0,INDEX('Surface DEET'!$F$9:$W$38,COLUMN(AA95)-COLUMN($E$5),1),$E102),0)</f>
        <v>0</v>
      </c>
      <c r="AB102" s="295">
        <f>IF(AB$6=$C102,IF(INDEX('Surface DEET'!$F$9:$W$38,COLUMN(AB95)-COLUMN($E$5),7)&gt;0,INDEX('Surface DEET'!$F$9:$W$38,COLUMN(AB95)-COLUMN($E$5),1),$E102),0)</f>
        <v>0</v>
      </c>
      <c r="AC102" s="295">
        <f>IF(AC$6=$C102,IF(INDEX('Surface DEET'!$F$9:$W$38,COLUMN(AC95)-COLUMN($E$5),7)&gt;0,INDEX('Surface DEET'!$F$9:$W$38,COLUMN(AC95)-COLUMN($E$5),1),$E102),0)</f>
        <v>0</v>
      </c>
      <c r="AD102" s="295">
        <f>IF(AD$6=$C102,IF(INDEX('Surface DEET'!$F$9:$W$38,COLUMN(AD95)-COLUMN($E$5),7)&gt;0,INDEX('Surface DEET'!$F$9:$W$38,COLUMN(AD95)-COLUMN($E$5),1),$E102),0)</f>
        <v>0</v>
      </c>
      <c r="AE102" s="295">
        <f>IF(AE$6=$C102,IF(INDEX('Surface DEET'!$F$9:$W$38,COLUMN(AE95)-COLUMN($E$5),7)&gt;0,INDEX('Surface DEET'!$F$9:$W$38,COLUMN(AE95)-COLUMN($E$5),1),$E102),0)</f>
        <v>0</v>
      </c>
      <c r="AF102" s="295">
        <f>IF(AF$6=$C102,IF(INDEX('Surface DEET'!$F$9:$W$38,COLUMN(AF95)-COLUMN($E$5),7)&gt;0,INDEX('Surface DEET'!$F$9:$W$38,COLUMN(AF95)-COLUMN($E$5),1),$E102),0)</f>
        <v>0</v>
      </c>
      <c r="AG102" s="295">
        <f>IF(AG$6=$C102,IF(INDEX('Surface DEET'!$F$9:$W$38,COLUMN(AG95)-COLUMN($E$5),7)&gt;0,INDEX('Surface DEET'!$F$9:$W$38,COLUMN(AG95)-COLUMN($E$5),1),$E102),0)</f>
        <v>0</v>
      </c>
      <c r="AH102" s="295">
        <f>IF(AH$6=$C102,IF(INDEX('Surface DEET'!$F$9:$W$38,COLUMN(AH95)-COLUMN($E$5),7)&gt;0,INDEX('Surface DEET'!$F$9:$W$38,COLUMN(AH95)-COLUMN($E$5),1),$E102),0)</f>
        <v>0</v>
      </c>
      <c r="AI102" s="295">
        <f>IF(AI$6=$C102,IF(INDEX('Surface DEET'!$F$9:$W$38,COLUMN(AI95)-COLUMN($E$5),7)&gt;0,INDEX('Surface DEET'!$F$9:$W$38,COLUMN(AI95)-COLUMN($E$5),1),$E102),0)</f>
        <v>0</v>
      </c>
    </row>
    <row r="103" spans="1:35">
      <c r="A103" s="521"/>
      <c r="B103" s="343" t="s">
        <v>620</v>
      </c>
      <c r="C103" s="32" t="s">
        <v>622</v>
      </c>
      <c r="D103" s="343" t="s">
        <v>620</v>
      </c>
      <c r="E103" s="346">
        <v>-7.6999999999999996E-4</v>
      </c>
    </row>
    <row r="104" spans="1:35">
      <c r="A104" s="521"/>
      <c r="B104" s="343" t="s">
        <v>621</v>
      </c>
      <c r="C104" s="32" t="s">
        <v>622</v>
      </c>
      <c r="D104" s="343" t="s">
        <v>621</v>
      </c>
      <c r="E104" s="346">
        <v>27</v>
      </c>
    </row>
    <row r="105" spans="1:35">
      <c r="A105" s="521"/>
      <c r="B105" s="295" t="s">
        <v>542</v>
      </c>
      <c r="C105" s="32" t="s">
        <v>622</v>
      </c>
      <c r="D105" s="295" t="s">
        <v>542</v>
      </c>
      <c r="F105" s="295">
        <f>IFERROR((F100/$E$100)*(1.05*F101*(F101*$E$103+$E$104)/F102+$E$97*(1-$E$99))+0.28*$E$96*(F100-$E$100)/$E$100,0)</f>
        <v>0</v>
      </c>
      <c r="G105" s="295">
        <f t="shared" ref="G105:AI105" si="11">IFERROR((G100/$E$100)*(1.05*G101*(G101*$E$103+$E$104)/G102+$E$97*(1-$E$99))+0.28*$E$96*(G100-$E$100)/$E$100,0)</f>
        <v>0</v>
      </c>
      <c r="H105" s="295">
        <f t="shared" si="11"/>
        <v>0</v>
      </c>
      <c r="I105" s="295">
        <f t="shared" si="11"/>
        <v>0</v>
      </c>
      <c r="J105" s="295">
        <f t="shared" si="11"/>
        <v>0</v>
      </c>
      <c r="K105" s="295">
        <f t="shared" si="11"/>
        <v>0</v>
      </c>
      <c r="L105" s="295">
        <f t="shared" si="11"/>
        <v>0</v>
      </c>
      <c r="M105" s="295">
        <f t="shared" si="11"/>
        <v>0</v>
      </c>
      <c r="N105" s="295">
        <f t="shared" si="11"/>
        <v>0</v>
      </c>
      <c r="O105" s="295">
        <f t="shared" si="11"/>
        <v>0</v>
      </c>
      <c r="P105" s="295">
        <f t="shared" si="11"/>
        <v>0</v>
      </c>
      <c r="Q105" s="295">
        <f t="shared" si="11"/>
        <v>0</v>
      </c>
      <c r="R105" s="295">
        <f t="shared" si="11"/>
        <v>0</v>
      </c>
      <c r="S105" s="295">
        <f t="shared" si="11"/>
        <v>0</v>
      </c>
      <c r="T105" s="295">
        <f t="shared" si="11"/>
        <v>0</v>
      </c>
      <c r="U105" s="295">
        <f t="shared" si="11"/>
        <v>0</v>
      </c>
      <c r="V105" s="295">
        <f t="shared" si="11"/>
        <v>0</v>
      </c>
      <c r="W105" s="295">
        <f t="shared" si="11"/>
        <v>0</v>
      </c>
      <c r="X105" s="295">
        <f t="shared" si="11"/>
        <v>0</v>
      </c>
      <c r="Y105" s="295">
        <f t="shared" si="11"/>
        <v>0</v>
      </c>
      <c r="Z105" s="295">
        <f t="shared" si="11"/>
        <v>0</v>
      </c>
      <c r="AA105" s="295">
        <f t="shared" si="11"/>
        <v>0</v>
      </c>
      <c r="AB105" s="295">
        <f t="shared" si="11"/>
        <v>0</v>
      </c>
      <c r="AC105" s="295">
        <f t="shared" si="11"/>
        <v>0</v>
      </c>
      <c r="AD105" s="295">
        <f t="shared" si="11"/>
        <v>0</v>
      </c>
      <c r="AE105" s="295">
        <f t="shared" si="11"/>
        <v>0</v>
      </c>
      <c r="AF105" s="295">
        <f t="shared" si="11"/>
        <v>0</v>
      </c>
      <c r="AG105" s="295">
        <f t="shared" si="11"/>
        <v>0</v>
      </c>
      <c r="AH105" s="295">
        <f t="shared" si="11"/>
        <v>0</v>
      </c>
      <c r="AI105" s="295">
        <f t="shared" si="11"/>
        <v>0</v>
      </c>
    </row>
    <row r="106" spans="1:35">
      <c r="A106" s="520" t="s">
        <v>625</v>
      </c>
      <c r="B106" s="93" t="s">
        <v>301</v>
      </c>
      <c r="C106" s="32" t="s">
        <v>625</v>
      </c>
      <c r="D106" s="93" t="s">
        <v>301</v>
      </c>
      <c r="E106" s="295">
        <f t="array" ref="E106">INDEX(CABS_CVC!$C$3:$O$870,MATCH(1, (CABS_CVC!$A$3:$A$870=Calculs_CABS!C106)*(CABS_CVC!$B$3:$B$870=Calculs_CABS!$D$2),0),MATCH(Calculs_CABS!$D$1,Liste_CABS!$B$3:$B$15,0))</f>
        <v>34</v>
      </c>
    </row>
    <row r="107" spans="1:35">
      <c r="A107" s="520"/>
      <c r="B107" s="295" t="s">
        <v>543</v>
      </c>
      <c r="C107" s="32" t="s">
        <v>625</v>
      </c>
      <c r="D107" s="295" t="s">
        <v>543</v>
      </c>
      <c r="E107" s="295">
        <v>50</v>
      </c>
    </row>
    <row r="108" spans="1:35">
      <c r="A108" s="520"/>
      <c r="B108" s="295" t="s">
        <v>544</v>
      </c>
      <c r="C108" s="32" t="s">
        <v>625</v>
      </c>
      <c r="D108" s="295" t="s">
        <v>544</v>
      </c>
      <c r="E108" s="295">
        <f>E106+E107</f>
        <v>84</v>
      </c>
    </row>
    <row r="109" spans="1:35">
      <c r="A109" s="520"/>
      <c r="B109" s="295" t="s">
        <v>545</v>
      </c>
      <c r="C109" s="32" t="s">
        <v>625</v>
      </c>
      <c r="D109" s="295" t="s">
        <v>545</v>
      </c>
      <c r="E109" s="295">
        <v>0.66</v>
      </c>
    </row>
    <row r="110" spans="1:35">
      <c r="A110" s="520"/>
      <c r="B110" s="295" t="s">
        <v>546</v>
      </c>
      <c r="C110" s="32" t="s">
        <v>625</v>
      </c>
      <c r="D110" s="343" t="s">
        <v>609</v>
      </c>
      <c r="E110" s="295">
        <v>3120</v>
      </c>
      <c r="F110" s="295">
        <f>IF(F$6=$C110,IF(INDEX('Surface DEET'!$Q$9:$W$38,COLUMN(F103)-COLUMN($E$5),1)&gt;0,INDEX('Surface DEET'!$Q$9:$W$38,COLUMN(F103)-COLUMN($E$5),1),$E110),0)</f>
        <v>0</v>
      </c>
      <c r="G110" s="295">
        <f>IF(G$6=$C110,IF(INDEX('Surface DEET'!$Q$9:$W$38,COLUMN(G103)-COLUMN($E$5),1)&gt;0,INDEX('Surface DEET'!$Q$9:$W$38,COLUMN(G103)-COLUMN($E$5),1),$E110),0)</f>
        <v>0</v>
      </c>
      <c r="H110" s="295">
        <f>IF(H$6=$C110,IF(INDEX('Surface DEET'!$Q$9:$W$38,COLUMN(H103)-COLUMN($E$5),1)&gt;0,INDEX('Surface DEET'!$Q$9:$W$38,COLUMN(H103)-COLUMN($E$5),1),$E110),0)</f>
        <v>0</v>
      </c>
      <c r="I110" s="295">
        <f>IF(I$6=$C110,IF(INDEX('Surface DEET'!$Q$9:$W$38,COLUMN(I103)-COLUMN($E$5),1)&gt;0,INDEX('Surface DEET'!$Q$9:$W$38,COLUMN(I103)-COLUMN($E$5),1),$E110),0)</f>
        <v>0</v>
      </c>
      <c r="J110" s="295">
        <f>IF(J$6=$C110,IF(INDEX('Surface DEET'!$Q$9:$W$38,COLUMN(J103)-COLUMN($E$5),1)&gt;0,INDEX('Surface DEET'!$Q$9:$W$38,COLUMN(J103)-COLUMN($E$5),1),$E110),0)</f>
        <v>0</v>
      </c>
      <c r="K110" s="295">
        <f>IF(K$6=$C110,IF(INDEX('Surface DEET'!$Q$9:$W$38,COLUMN(K103)-COLUMN($E$5),1)&gt;0,INDEX('Surface DEET'!$Q$9:$W$38,COLUMN(K103)-COLUMN($E$5),1),$E110),0)</f>
        <v>0</v>
      </c>
      <c r="L110" s="295">
        <f>IF(L$6=$C110,IF(INDEX('Surface DEET'!$Q$9:$W$38,COLUMN(L103)-COLUMN($E$5),1)&gt;0,INDEX('Surface DEET'!$Q$9:$W$38,COLUMN(L103)-COLUMN($E$5),1),$E110),0)</f>
        <v>0</v>
      </c>
      <c r="M110" s="295">
        <f>IF(M$6=$C110,IF(INDEX('Surface DEET'!$Q$9:$W$38,COLUMN(M103)-COLUMN($E$5),1)&gt;0,INDEX('Surface DEET'!$Q$9:$W$38,COLUMN(M103)-COLUMN($E$5),1),$E110),0)</f>
        <v>0</v>
      </c>
      <c r="N110" s="295">
        <f>IF(N$6=$C110,IF(INDEX('Surface DEET'!$Q$9:$W$38,COLUMN(N103)-COLUMN($E$5),1)&gt;0,INDEX('Surface DEET'!$Q$9:$W$38,COLUMN(N103)-COLUMN($E$5),1),$E110),0)</f>
        <v>0</v>
      </c>
      <c r="O110" s="295">
        <f>IF(O$6=$C110,IF(INDEX('Surface DEET'!$Q$9:$W$38,COLUMN(O103)-COLUMN($E$5),1)&gt;0,INDEX('Surface DEET'!$Q$9:$W$38,COLUMN(O103)-COLUMN($E$5),1),$E110),0)</f>
        <v>0</v>
      </c>
      <c r="P110" s="295">
        <f>IF(P$6=$C110,IF(INDEX('Surface DEET'!$Q$9:$W$38,COLUMN(P103)-COLUMN($E$5),1)&gt;0,INDEX('Surface DEET'!$Q$9:$W$38,COLUMN(P103)-COLUMN($E$5),1),$E110),0)</f>
        <v>0</v>
      </c>
      <c r="Q110" s="295">
        <f>IF(Q$6=$C110,IF(INDEX('Surface DEET'!$Q$9:$W$38,COLUMN(Q103)-COLUMN($E$5),1)&gt;0,INDEX('Surface DEET'!$Q$9:$W$38,COLUMN(Q103)-COLUMN($E$5),1),$E110),0)</f>
        <v>0</v>
      </c>
      <c r="R110" s="295">
        <f>IF(R$6=$C110,IF(INDEX('Surface DEET'!$Q$9:$W$38,COLUMN(R103)-COLUMN($E$5),1)&gt;0,INDEX('Surface DEET'!$Q$9:$W$38,COLUMN(R103)-COLUMN($E$5),1),$E110),0)</f>
        <v>0</v>
      </c>
      <c r="S110" s="295">
        <f>IF(S$6=$C110,IF(INDEX('Surface DEET'!$Q$9:$W$38,COLUMN(S103)-COLUMN($E$5),1)&gt;0,INDEX('Surface DEET'!$Q$9:$W$38,COLUMN(S103)-COLUMN($E$5),1),$E110),0)</f>
        <v>0</v>
      </c>
      <c r="T110" s="295">
        <f>IF(T$6=$C110,IF(INDEX('Surface DEET'!$Q$9:$W$38,COLUMN(T103)-COLUMN($E$5),1)&gt;0,INDEX('Surface DEET'!$Q$9:$W$38,COLUMN(T103)-COLUMN($E$5),1),$E110),0)</f>
        <v>0</v>
      </c>
      <c r="U110" s="295">
        <f>IF(U$6=$C110,IF(INDEX('Surface DEET'!$Q$9:$W$38,COLUMN(U103)-COLUMN($E$5),1)&gt;0,INDEX('Surface DEET'!$Q$9:$W$38,COLUMN(U103)-COLUMN($E$5),1),$E110),0)</f>
        <v>0</v>
      </c>
      <c r="V110" s="295">
        <f>IF(V$6=$C110,IF(INDEX('Surface DEET'!$Q$9:$W$38,COLUMN(V103)-COLUMN($E$5),1)&gt;0,INDEX('Surface DEET'!$Q$9:$W$38,COLUMN(V103)-COLUMN($E$5),1),$E110),0)</f>
        <v>0</v>
      </c>
      <c r="W110" s="295">
        <f>IF(W$6=$C110,IF(INDEX('Surface DEET'!$Q$9:$W$38,COLUMN(W103)-COLUMN($E$5),1)&gt;0,INDEX('Surface DEET'!$Q$9:$W$38,COLUMN(W103)-COLUMN($E$5),1),$E110),0)</f>
        <v>0</v>
      </c>
      <c r="X110" s="295">
        <f>IF(X$6=$C110,IF(INDEX('Surface DEET'!$Q$9:$W$38,COLUMN(X103)-COLUMN($E$5),1)&gt;0,INDEX('Surface DEET'!$Q$9:$W$38,COLUMN(X103)-COLUMN($E$5),1),$E110),0)</f>
        <v>0</v>
      </c>
      <c r="Y110" s="295">
        <f>IF(Y$6=$C110,IF(INDEX('Surface DEET'!$Q$9:$W$38,COLUMN(Y103)-COLUMN($E$5),1)&gt;0,INDEX('Surface DEET'!$Q$9:$W$38,COLUMN(Y103)-COLUMN($E$5),1),$E110),0)</f>
        <v>0</v>
      </c>
      <c r="Z110" s="295">
        <f>IF(Z$6=$C110,IF(INDEX('Surface DEET'!$Q$9:$W$38,COLUMN(Z103)-COLUMN($E$5),1)&gt;0,INDEX('Surface DEET'!$Q$9:$W$38,COLUMN(Z103)-COLUMN($E$5),1),$E110),0)</f>
        <v>0</v>
      </c>
      <c r="AA110" s="295">
        <f>IF(AA$6=$C110,IF(INDEX('Surface DEET'!$Q$9:$W$38,COLUMN(AA103)-COLUMN($E$5),1)&gt;0,INDEX('Surface DEET'!$Q$9:$W$38,COLUMN(AA103)-COLUMN($E$5),1),$E110),0)</f>
        <v>0</v>
      </c>
      <c r="AB110" s="295">
        <f>IF(AB$6=$C110,IF(INDEX('Surface DEET'!$Q$9:$W$38,COLUMN(AB103)-COLUMN($E$5),1)&gt;0,INDEX('Surface DEET'!$Q$9:$W$38,COLUMN(AB103)-COLUMN($E$5),1),$E110),0)</f>
        <v>0</v>
      </c>
      <c r="AC110" s="295">
        <f>IF(AC$6=$C110,IF(INDEX('Surface DEET'!$Q$9:$W$38,COLUMN(AC103)-COLUMN($E$5),1)&gt;0,INDEX('Surface DEET'!$Q$9:$W$38,COLUMN(AC103)-COLUMN($E$5),1),$E110),0)</f>
        <v>0</v>
      </c>
      <c r="AD110" s="295">
        <f>IF(AD$6=$C110,IF(INDEX('Surface DEET'!$Q$9:$W$38,COLUMN(AD103)-COLUMN($E$5),1)&gt;0,INDEX('Surface DEET'!$Q$9:$W$38,COLUMN(AD103)-COLUMN($E$5),1),$E110),0)</f>
        <v>0</v>
      </c>
      <c r="AE110" s="295">
        <f>IF(AE$6=$C110,IF(INDEX('Surface DEET'!$Q$9:$W$38,COLUMN(AE103)-COLUMN($E$5),1)&gt;0,INDEX('Surface DEET'!$Q$9:$W$38,COLUMN(AE103)-COLUMN($E$5),1),$E110),0)</f>
        <v>0</v>
      </c>
      <c r="AF110" s="295">
        <f>IF(AF$6=$C110,IF(INDEX('Surface DEET'!$Q$9:$W$38,COLUMN(AF103)-COLUMN($E$5),1)&gt;0,INDEX('Surface DEET'!$Q$9:$W$38,COLUMN(AF103)-COLUMN($E$5),1),$E110),0)</f>
        <v>0</v>
      </c>
      <c r="AG110" s="295">
        <f>IF(AG$6=$C110,IF(INDEX('Surface DEET'!$Q$9:$W$38,COLUMN(AG103)-COLUMN($E$5),1)&gt;0,INDEX('Surface DEET'!$Q$9:$W$38,COLUMN(AG103)-COLUMN($E$5),1),$E110),0)</f>
        <v>0</v>
      </c>
      <c r="AH110" s="295">
        <f>IF(AH$6=$C110,IF(INDEX('Surface DEET'!$Q$9:$W$38,COLUMN(AH103)-COLUMN($E$5),1)&gt;0,INDEX('Surface DEET'!$Q$9:$W$38,COLUMN(AH103)-COLUMN($E$5),1),$E110),0)</f>
        <v>0</v>
      </c>
      <c r="AI110" s="295">
        <f>IF(AI$6=$C110,IF(INDEX('Surface DEET'!$Q$9:$W$38,COLUMN(AI103)-COLUMN($E$5),1)&gt;0,INDEX('Surface DEET'!$Q$9:$W$38,COLUMN(AI103)-COLUMN($E$5),1),$E110),0)</f>
        <v>0</v>
      </c>
    </row>
    <row r="111" spans="1:35">
      <c r="A111" s="520"/>
      <c r="B111" s="295" t="s">
        <v>549</v>
      </c>
      <c r="C111" s="32" t="s">
        <v>625</v>
      </c>
      <c r="D111" s="343" t="s">
        <v>626</v>
      </c>
      <c r="E111" s="295">
        <v>18</v>
      </c>
      <c r="F111" s="295">
        <f>IF(F$6=$C111,IF(INDEX('Surface DEET'!$Q$9:$W$38,COLUMN(F104)-COLUMN($E$5),4)&gt;0,INDEX('Surface DEET'!$Q$9:$W$38,COLUMN(F104)-COLUMN($E$5),4),$E111),0)</f>
        <v>0</v>
      </c>
      <c r="G111" s="295">
        <f>IF(G$6=$C111,IF(INDEX('Surface DEET'!$Q$9:$W$38,COLUMN(G104)-COLUMN($E$5),4)&gt;0,INDEX('Surface DEET'!$Q$9:$W$38,COLUMN(G104)-COLUMN($E$5),4),$E111),0)</f>
        <v>0</v>
      </c>
      <c r="H111" s="295">
        <f>IF(H$6=$C111,IF(INDEX('Surface DEET'!$Q$9:$W$38,COLUMN(H104)-COLUMN($E$5),4)&gt;0,INDEX('Surface DEET'!$Q$9:$W$38,COLUMN(H104)-COLUMN($E$5),4),$E111),0)</f>
        <v>0</v>
      </c>
      <c r="I111" s="295">
        <f>IF(I$6=$C111,IF(INDEX('Surface DEET'!$Q$9:$W$38,COLUMN(I104)-COLUMN($E$5),4)&gt;0,INDEX('Surface DEET'!$Q$9:$W$38,COLUMN(I104)-COLUMN($E$5),4),$E111),0)</f>
        <v>0</v>
      </c>
      <c r="J111" s="295">
        <f>IF(J$6=$C111,IF(INDEX('Surface DEET'!$Q$9:$W$38,COLUMN(J104)-COLUMN($E$5),4)&gt;0,INDEX('Surface DEET'!$Q$9:$W$38,COLUMN(J104)-COLUMN($E$5),4),$E111),0)</f>
        <v>0</v>
      </c>
      <c r="K111" s="295">
        <f>IF(K$6=$C111,IF(INDEX('Surface DEET'!$Q$9:$W$38,COLUMN(K104)-COLUMN($E$5),4)&gt;0,INDEX('Surface DEET'!$Q$9:$W$38,COLUMN(K104)-COLUMN($E$5),4),$E111),0)</f>
        <v>0</v>
      </c>
      <c r="L111" s="295">
        <f>IF(L$6=$C111,IF(INDEX('Surface DEET'!$Q$9:$W$38,COLUMN(L104)-COLUMN($E$5),4)&gt;0,INDEX('Surface DEET'!$Q$9:$W$38,COLUMN(L104)-COLUMN($E$5),4),$E111),0)</f>
        <v>0</v>
      </c>
      <c r="M111" s="295">
        <f>IF(M$6=$C111,IF(INDEX('Surface DEET'!$Q$9:$W$38,COLUMN(M104)-COLUMN($E$5),4)&gt;0,INDEX('Surface DEET'!$Q$9:$W$38,COLUMN(M104)-COLUMN($E$5),4),$E111),0)</f>
        <v>0</v>
      </c>
      <c r="N111" s="295">
        <f>IF(N$6=$C111,IF(INDEX('Surface DEET'!$Q$9:$W$38,COLUMN(N104)-COLUMN($E$5),4)&gt;0,INDEX('Surface DEET'!$Q$9:$W$38,COLUMN(N104)-COLUMN($E$5),4),$E111),0)</f>
        <v>0</v>
      </c>
      <c r="O111" s="295">
        <f>IF(O$6=$C111,IF(INDEX('Surface DEET'!$Q$9:$W$38,COLUMN(O104)-COLUMN($E$5),4)&gt;0,INDEX('Surface DEET'!$Q$9:$W$38,COLUMN(O104)-COLUMN($E$5),4),$E111),0)</f>
        <v>0</v>
      </c>
      <c r="P111" s="295">
        <f>IF(P$6=$C111,IF(INDEX('Surface DEET'!$Q$9:$W$38,COLUMN(P104)-COLUMN($E$5),4)&gt;0,INDEX('Surface DEET'!$Q$9:$W$38,COLUMN(P104)-COLUMN($E$5),4),$E111),0)</f>
        <v>0</v>
      </c>
      <c r="Q111" s="295">
        <f>IF(Q$6=$C111,IF(INDEX('Surface DEET'!$Q$9:$W$38,COLUMN(Q104)-COLUMN($E$5),4)&gt;0,INDEX('Surface DEET'!$Q$9:$W$38,COLUMN(Q104)-COLUMN($E$5),4),$E111),0)</f>
        <v>0</v>
      </c>
      <c r="R111" s="295">
        <f>IF(R$6=$C111,IF(INDEX('Surface DEET'!$Q$9:$W$38,COLUMN(R104)-COLUMN($E$5),4)&gt;0,INDEX('Surface DEET'!$Q$9:$W$38,COLUMN(R104)-COLUMN($E$5),4),$E111),0)</f>
        <v>0</v>
      </c>
      <c r="S111" s="295">
        <f>IF(S$6=$C111,IF(INDEX('Surface DEET'!$Q$9:$W$38,COLUMN(S104)-COLUMN($E$5),4)&gt;0,INDEX('Surface DEET'!$Q$9:$W$38,COLUMN(S104)-COLUMN($E$5),4),$E111),0)</f>
        <v>0</v>
      </c>
      <c r="T111" s="295">
        <f>IF(T$6=$C111,IF(INDEX('Surface DEET'!$Q$9:$W$38,COLUMN(T104)-COLUMN($E$5),4)&gt;0,INDEX('Surface DEET'!$Q$9:$W$38,COLUMN(T104)-COLUMN($E$5),4),$E111),0)</f>
        <v>0</v>
      </c>
      <c r="U111" s="295">
        <f>IF(U$6=$C111,IF(INDEX('Surface DEET'!$Q$9:$W$38,COLUMN(U104)-COLUMN($E$5),4)&gt;0,INDEX('Surface DEET'!$Q$9:$W$38,COLUMN(U104)-COLUMN($E$5),4),$E111),0)</f>
        <v>0</v>
      </c>
      <c r="V111" s="295">
        <f>IF(V$6=$C111,IF(INDEX('Surface DEET'!$Q$9:$W$38,COLUMN(V104)-COLUMN($E$5),4)&gt;0,INDEX('Surface DEET'!$Q$9:$W$38,COLUMN(V104)-COLUMN($E$5),4),$E111),0)</f>
        <v>0</v>
      </c>
      <c r="W111" s="295">
        <f>IF(W$6=$C111,IF(INDEX('Surface DEET'!$Q$9:$W$38,COLUMN(W104)-COLUMN($E$5),4)&gt;0,INDEX('Surface DEET'!$Q$9:$W$38,COLUMN(W104)-COLUMN($E$5),4),$E111),0)</f>
        <v>0</v>
      </c>
      <c r="X111" s="295">
        <f>IF(X$6=$C111,IF(INDEX('Surface DEET'!$Q$9:$W$38,COLUMN(X104)-COLUMN($E$5),4)&gt;0,INDEX('Surface DEET'!$Q$9:$W$38,COLUMN(X104)-COLUMN($E$5),4),$E111),0)</f>
        <v>0</v>
      </c>
      <c r="Y111" s="295">
        <f>IF(Y$6=$C111,IF(INDEX('Surface DEET'!$Q$9:$W$38,COLUMN(Y104)-COLUMN($E$5),4)&gt;0,INDEX('Surface DEET'!$Q$9:$W$38,COLUMN(Y104)-COLUMN($E$5),4),$E111),0)</f>
        <v>0</v>
      </c>
      <c r="Z111" s="295">
        <f>IF(Z$6=$C111,IF(INDEX('Surface DEET'!$Q$9:$W$38,COLUMN(Z104)-COLUMN($E$5),4)&gt;0,INDEX('Surface DEET'!$Q$9:$W$38,COLUMN(Z104)-COLUMN($E$5),4),$E111),0)</f>
        <v>0</v>
      </c>
      <c r="AA111" s="295">
        <f>IF(AA$6=$C111,IF(INDEX('Surface DEET'!$Q$9:$W$38,COLUMN(AA104)-COLUMN($E$5),4)&gt;0,INDEX('Surface DEET'!$Q$9:$W$38,COLUMN(AA104)-COLUMN($E$5),4),$E111),0)</f>
        <v>0</v>
      </c>
      <c r="AB111" s="295">
        <f>IF(AB$6=$C111,IF(INDEX('Surface DEET'!$Q$9:$W$38,COLUMN(AB104)-COLUMN($E$5),4)&gt;0,INDEX('Surface DEET'!$Q$9:$W$38,COLUMN(AB104)-COLUMN($E$5),4),$E111),0)</f>
        <v>0</v>
      </c>
      <c r="AC111" s="295">
        <f>IF(AC$6=$C111,IF(INDEX('Surface DEET'!$Q$9:$W$38,COLUMN(AC104)-COLUMN($E$5),4)&gt;0,INDEX('Surface DEET'!$Q$9:$W$38,COLUMN(AC104)-COLUMN($E$5),4),$E111),0)</f>
        <v>0</v>
      </c>
      <c r="AD111" s="295">
        <f>IF(AD$6=$C111,IF(INDEX('Surface DEET'!$Q$9:$W$38,COLUMN(AD104)-COLUMN($E$5),4)&gt;0,INDEX('Surface DEET'!$Q$9:$W$38,COLUMN(AD104)-COLUMN($E$5),4),$E111),0)</f>
        <v>0</v>
      </c>
      <c r="AE111" s="295">
        <f>IF(AE$6=$C111,IF(INDEX('Surface DEET'!$Q$9:$W$38,COLUMN(AE104)-COLUMN($E$5),4)&gt;0,INDEX('Surface DEET'!$Q$9:$W$38,COLUMN(AE104)-COLUMN($E$5),4),$E111),0)</f>
        <v>0</v>
      </c>
      <c r="AF111" s="295">
        <f>IF(AF$6=$C111,IF(INDEX('Surface DEET'!$Q$9:$W$38,COLUMN(AF104)-COLUMN($E$5),4)&gt;0,INDEX('Surface DEET'!$Q$9:$W$38,COLUMN(AF104)-COLUMN($E$5),4),$E111),0)</f>
        <v>0</v>
      </c>
      <c r="AG111" s="295">
        <f>IF(AG$6=$C111,IF(INDEX('Surface DEET'!$Q$9:$W$38,COLUMN(AG104)-COLUMN($E$5),4)&gt;0,INDEX('Surface DEET'!$Q$9:$W$38,COLUMN(AG104)-COLUMN($E$5),4),$E111),0)</f>
        <v>0</v>
      </c>
      <c r="AH111" s="295">
        <f>IF(AH$6=$C111,IF(INDEX('Surface DEET'!$Q$9:$W$38,COLUMN(AH104)-COLUMN($E$5),4)&gt;0,INDEX('Surface DEET'!$Q$9:$W$38,COLUMN(AH104)-COLUMN($E$5),4),$E111),0)</f>
        <v>0</v>
      </c>
      <c r="AI111" s="295">
        <f>IF(AI$6=$C111,IF(INDEX('Surface DEET'!$Q$9:$W$38,COLUMN(AI104)-COLUMN($E$5),4)&gt;0,INDEX('Surface DEET'!$Q$9:$W$38,COLUMN(AI104)-COLUMN($E$5),4),$E111),0)</f>
        <v>0</v>
      </c>
    </row>
    <row r="112" spans="1:35">
      <c r="A112" s="520"/>
      <c r="B112" s="295" t="s">
        <v>552</v>
      </c>
      <c r="C112" s="32" t="s">
        <v>625</v>
      </c>
      <c r="D112" s="343" t="s">
        <v>627</v>
      </c>
      <c r="E112" s="295">
        <v>0.7</v>
      </c>
      <c r="F112" s="295">
        <f>IF(F$6=$C112,IF(INDEX('Surface DEET'!$Q$9:$W$38,COLUMN(F105)-COLUMN($E$5),7)&gt;0,INDEX('Surface DEET'!$Q$9:$W$38,COLUMN(F105)-COLUMN($E$5),7),$E112),0)</f>
        <v>0</v>
      </c>
      <c r="G112" s="295">
        <f>IF(G$6=$C112,IF(INDEX('Surface DEET'!$Q$9:$W$38,COLUMN(G105)-COLUMN($E$5),7)&gt;0,INDEX('Surface DEET'!$Q$9:$W$38,COLUMN(G105)-COLUMN($E$5),7),$E112),0)</f>
        <v>0</v>
      </c>
      <c r="H112" s="295">
        <f>IF(H$6=$C112,IF(INDEX('Surface DEET'!$Q$9:$W$38,COLUMN(H105)-COLUMN($E$5),7)&gt;0,INDEX('Surface DEET'!$Q$9:$W$38,COLUMN(H105)-COLUMN($E$5),7),$E112),0)</f>
        <v>0</v>
      </c>
      <c r="I112" s="295">
        <f>IF(I$6=$C112,IF(INDEX('Surface DEET'!$Q$9:$W$38,COLUMN(I105)-COLUMN($E$5),7)&gt;0,INDEX('Surface DEET'!$Q$9:$W$38,COLUMN(I105)-COLUMN($E$5),7),$E112),0)</f>
        <v>0</v>
      </c>
      <c r="J112" s="295">
        <f>IF(J$6=$C112,IF(INDEX('Surface DEET'!$Q$9:$W$38,COLUMN(J105)-COLUMN($E$5),7)&gt;0,INDEX('Surface DEET'!$Q$9:$W$38,COLUMN(J105)-COLUMN($E$5),7),$E112),0)</f>
        <v>0</v>
      </c>
      <c r="K112" s="295">
        <f>IF(K$6=$C112,IF(INDEX('Surface DEET'!$Q$9:$W$38,COLUMN(K105)-COLUMN($E$5),7)&gt;0,INDEX('Surface DEET'!$Q$9:$W$38,COLUMN(K105)-COLUMN($E$5),7),$E112),0)</f>
        <v>0</v>
      </c>
      <c r="L112" s="295">
        <f>IF(L$6=$C112,IF(INDEX('Surface DEET'!$Q$9:$W$38,COLUMN(L105)-COLUMN($E$5),7)&gt;0,INDEX('Surface DEET'!$Q$9:$W$38,COLUMN(L105)-COLUMN($E$5),7),$E112),0)</f>
        <v>0</v>
      </c>
      <c r="M112" s="295">
        <f>IF(M$6=$C112,IF(INDEX('Surface DEET'!$Q$9:$W$38,COLUMN(M105)-COLUMN($E$5),7)&gt;0,INDEX('Surface DEET'!$Q$9:$W$38,COLUMN(M105)-COLUMN($E$5),7),$E112),0)</f>
        <v>0</v>
      </c>
      <c r="N112" s="295">
        <f>IF(N$6=$C112,IF(INDEX('Surface DEET'!$Q$9:$W$38,COLUMN(N105)-COLUMN($E$5),7)&gt;0,INDEX('Surface DEET'!$Q$9:$W$38,COLUMN(N105)-COLUMN($E$5),7),$E112),0)</f>
        <v>0</v>
      </c>
      <c r="O112" s="295">
        <f>IF(O$6=$C112,IF(INDEX('Surface DEET'!$Q$9:$W$38,COLUMN(O105)-COLUMN($E$5),7)&gt;0,INDEX('Surface DEET'!$Q$9:$W$38,COLUMN(O105)-COLUMN($E$5),7),$E112),0)</f>
        <v>0</v>
      </c>
      <c r="P112" s="295">
        <f>IF(P$6=$C112,IF(INDEX('Surface DEET'!$Q$9:$W$38,COLUMN(P105)-COLUMN($E$5),7)&gt;0,INDEX('Surface DEET'!$Q$9:$W$38,COLUMN(P105)-COLUMN($E$5),7),$E112),0)</f>
        <v>0</v>
      </c>
      <c r="Q112" s="295">
        <f>IF(Q$6=$C112,IF(INDEX('Surface DEET'!$Q$9:$W$38,COLUMN(Q105)-COLUMN($E$5),7)&gt;0,INDEX('Surface DEET'!$Q$9:$W$38,COLUMN(Q105)-COLUMN($E$5),7),$E112),0)</f>
        <v>0</v>
      </c>
      <c r="R112" s="295">
        <f>IF(R$6=$C112,IF(INDEX('Surface DEET'!$Q$9:$W$38,COLUMN(R105)-COLUMN($E$5),7)&gt;0,INDEX('Surface DEET'!$Q$9:$W$38,COLUMN(R105)-COLUMN($E$5),7),$E112),0)</f>
        <v>0</v>
      </c>
      <c r="S112" s="295">
        <f>IF(S$6=$C112,IF(INDEX('Surface DEET'!$Q$9:$W$38,COLUMN(S105)-COLUMN($E$5),7)&gt;0,INDEX('Surface DEET'!$Q$9:$W$38,COLUMN(S105)-COLUMN($E$5),7),$E112),0)</f>
        <v>0</v>
      </c>
      <c r="T112" s="295">
        <f>IF(T$6=$C112,IF(INDEX('Surface DEET'!$Q$9:$W$38,COLUMN(T105)-COLUMN($E$5),7)&gt;0,INDEX('Surface DEET'!$Q$9:$W$38,COLUMN(T105)-COLUMN($E$5),7),$E112),0)</f>
        <v>0</v>
      </c>
      <c r="U112" s="295">
        <f>IF(U$6=$C112,IF(INDEX('Surface DEET'!$Q$9:$W$38,COLUMN(U105)-COLUMN($E$5),7)&gt;0,INDEX('Surface DEET'!$Q$9:$W$38,COLUMN(U105)-COLUMN($E$5),7),$E112),0)</f>
        <v>0</v>
      </c>
      <c r="V112" s="295">
        <f>IF(V$6=$C112,IF(INDEX('Surface DEET'!$Q$9:$W$38,COLUMN(V105)-COLUMN($E$5),7)&gt;0,INDEX('Surface DEET'!$Q$9:$W$38,COLUMN(V105)-COLUMN($E$5),7),$E112),0)</f>
        <v>0</v>
      </c>
      <c r="W112" s="295">
        <f>IF(W$6=$C112,IF(INDEX('Surface DEET'!$Q$9:$W$38,COLUMN(W105)-COLUMN($E$5),7)&gt;0,INDEX('Surface DEET'!$Q$9:$W$38,COLUMN(W105)-COLUMN($E$5),7),$E112),0)</f>
        <v>0</v>
      </c>
      <c r="X112" s="295">
        <f>IF(X$6=$C112,IF(INDEX('Surface DEET'!$Q$9:$W$38,COLUMN(X105)-COLUMN($E$5),7)&gt;0,INDEX('Surface DEET'!$Q$9:$W$38,COLUMN(X105)-COLUMN($E$5),7),$E112),0)</f>
        <v>0</v>
      </c>
      <c r="Y112" s="295">
        <f>IF(Y$6=$C112,IF(INDEX('Surface DEET'!$Q$9:$W$38,COLUMN(Y105)-COLUMN($E$5),7)&gt;0,INDEX('Surface DEET'!$Q$9:$W$38,COLUMN(Y105)-COLUMN($E$5),7),$E112),0)</f>
        <v>0</v>
      </c>
      <c r="Z112" s="295">
        <f>IF(Z$6=$C112,IF(INDEX('Surface DEET'!$Q$9:$W$38,COLUMN(Z105)-COLUMN($E$5),7)&gt;0,INDEX('Surface DEET'!$Q$9:$W$38,COLUMN(Z105)-COLUMN($E$5),7),$E112),0)</f>
        <v>0</v>
      </c>
      <c r="AA112" s="295">
        <f>IF(AA$6=$C112,IF(INDEX('Surface DEET'!$Q$9:$W$38,COLUMN(AA105)-COLUMN($E$5),7)&gt;0,INDEX('Surface DEET'!$Q$9:$W$38,COLUMN(AA105)-COLUMN($E$5),7),$E112),0)</f>
        <v>0</v>
      </c>
      <c r="AB112" s="295">
        <f>IF(AB$6=$C112,IF(INDEX('Surface DEET'!$Q$9:$W$38,COLUMN(AB105)-COLUMN($E$5),7)&gt;0,INDEX('Surface DEET'!$Q$9:$W$38,COLUMN(AB105)-COLUMN($E$5),7),$E112),0)</f>
        <v>0</v>
      </c>
      <c r="AC112" s="295">
        <f>IF(AC$6=$C112,IF(INDEX('Surface DEET'!$Q$9:$W$38,COLUMN(AC105)-COLUMN($E$5),7)&gt;0,INDEX('Surface DEET'!$Q$9:$W$38,COLUMN(AC105)-COLUMN($E$5),7),$E112),0)</f>
        <v>0</v>
      </c>
      <c r="AD112" s="295">
        <f>IF(AD$6=$C112,IF(INDEX('Surface DEET'!$Q$9:$W$38,COLUMN(AD105)-COLUMN($E$5),7)&gt;0,INDEX('Surface DEET'!$Q$9:$W$38,COLUMN(AD105)-COLUMN($E$5),7),$E112),0)</f>
        <v>0</v>
      </c>
      <c r="AE112" s="295">
        <f>IF(AE$6=$C112,IF(INDEX('Surface DEET'!$Q$9:$W$38,COLUMN(AE105)-COLUMN($E$5),7)&gt;0,INDEX('Surface DEET'!$Q$9:$W$38,COLUMN(AE105)-COLUMN($E$5),7),$E112),0)</f>
        <v>0</v>
      </c>
      <c r="AF112" s="295">
        <f>IF(AF$6=$C112,IF(INDEX('Surface DEET'!$Q$9:$W$38,COLUMN(AF105)-COLUMN($E$5),7)&gt;0,INDEX('Surface DEET'!$Q$9:$W$38,COLUMN(AF105)-COLUMN($E$5),7),$E112),0)</f>
        <v>0</v>
      </c>
      <c r="AG112" s="295">
        <f>IF(AG$6=$C112,IF(INDEX('Surface DEET'!$Q$9:$W$38,COLUMN(AG105)-COLUMN($E$5),7)&gt;0,INDEX('Surface DEET'!$Q$9:$W$38,COLUMN(AG105)-COLUMN($E$5),7),$E112),0)</f>
        <v>0</v>
      </c>
      <c r="AH112" s="295">
        <f>IF(AH$6=$C112,IF(INDEX('Surface DEET'!$Q$9:$W$38,COLUMN(AH105)-COLUMN($E$5),7)&gt;0,INDEX('Surface DEET'!$Q$9:$W$38,COLUMN(AH105)-COLUMN($E$5),7),$E112),0)</f>
        <v>0</v>
      </c>
      <c r="AI112" s="295">
        <f>IF(AI$6=$C112,IF(INDEX('Surface DEET'!$Q$9:$W$38,COLUMN(AI105)-COLUMN($E$5),7)&gt;0,INDEX('Surface DEET'!$Q$9:$W$38,COLUMN(AI105)-COLUMN($E$5),7),$E112),0)</f>
        <v>0</v>
      </c>
    </row>
    <row r="113" spans="1:35">
      <c r="A113" s="520"/>
      <c r="B113" s="295" t="s">
        <v>542</v>
      </c>
      <c r="C113" s="32" t="s">
        <v>625</v>
      </c>
      <c r="D113" s="295" t="s">
        <v>542</v>
      </c>
      <c r="F113" s="295">
        <f>IFERROR($E$107*(F110/$E$110)*($E$109*(F112/$E$112)*($E$111/F111)+(1-$E$109))+0.28*$E$106*(F110-$E$110)/$E$110,0)</f>
        <v>0</v>
      </c>
      <c r="G113" s="295">
        <f t="shared" ref="G113:AI113" si="12">IFERROR($E$107*(G110/$E$110)*($E$109*(G112/$E$112)*($E$111/G111)+(1-$E$109))+0.28*$E$106*(G110-$E$110)/$E$110,0)</f>
        <v>0</v>
      </c>
      <c r="H113" s="295">
        <f t="shared" si="12"/>
        <v>0</v>
      </c>
      <c r="I113" s="295">
        <f t="shared" si="12"/>
        <v>0</v>
      </c>
      <c r="J113" s="295">
        <f t="shared" si="12"/>
        <v>0</v>
      </c>
      <c r="K113" s="295">
        <f t="shared" si="12"/>
        <v>0</v>
      </c>
      <c r="L113" s="295">
        <f t="shared" si="12"/>
        <v>0</v>
      </c>
      <c r="M113" s="295">
        <f t="shared" si="12"/>
        <v>0</v>
      </c>
      <c r="N113" s="295">
        <f t="shared" si="12"/>
        <v>0</v>
      </c>
      <c r="O113" s="295">
        <f t="shared" si="12"/>
        <v>0</v>
      </c>
      <c r="P113" s="295">
        <f t="shared" si="12"/>
        <v>0</v>
      </c>
      <c r="Q113" s="295">
        <f t="shared" si="12"/>
        <v>0</v>
      </c>
      <c r="R113" s="295">
        <f t="shared" si="12"/>
        <v>0</v>
      </c>
      <c r="S113" s="295">
        <f t="shared" si="12"/>
        <v>0</v>
      </c>
      <c r="T113" s="295">
        <f t="shared" si="12"/>
        <v>0</v>
      </c>
      <c r="U113" s="295">
        <f t="shared" si="12"/>
        <v>0</v>
      </c>
      <c r="V113" s="295">
        <f t="shared" si="12"/>
        <v>0</v>
      </c>
      <c r="W113" s="295">
        <f t="shared" si="12"/>
        <v>0</v>
      </c>
      <c r="X113" s="295">
        <f t="shared" si="12"/>
        <v>0</v>
      </c>
      <c r="Y113" s="295">
        <f t="shared" si="12"/>
        <v>0</v>
      </c>
      <c r="Z113" s="295">
        <f t="shared" si="12"/>
        <v>0</v>
      </c>
      <c r="AA113" s="295">
        <f t="shared" si="12"/>
        <v>0</v>
      </c>
      <c r="AB113" s="295">
        <f t="shared" si="12"/>
        <v>0</v>
      </c>
      <c r="AC113" s="295">
        <f t="shared" si="12"/>
        <v>0</v>
      </c>
      <c r="AD113" s="295">
        <f t="shared" si="12"/>
        <v>0</v>
      </c>
      <c r="AE113" s="295">
        <f t="shared" si="12"/>
        <v>0</v>
      </c>
      <c r="AF113" s="295">
        <f t="shared" si="12"/>
        <v>0</v>
      </c>
      <c r="AG113" s="295">
        <f t="shared" si="12"/>
        <v>0</v>
      </c>
      <c r="AH113" s="295">
        <f t="shared" si="12"/>
        <v>0</v>
      </c>
      <c r="AI113" s="295">
        <f t="shared" si="12"/>
        <v>0</v>
      </c>
    </row>
    <row r="114" spans="1:35">
      <c r="A114" s="520" t="s">
        <v>628</v>
      </c>
      <c r="B114" s="93" t="s">
        <v>301</v>
      </c>
      <c r="C114" s="32" t="s">
        <v>628</v>
      </c>
      <c r="D114" s="93" t="s">
        <v>301</v>
      </c>
      <c r="E114" s="295">
        <f t="array" ref="E114">INDEX(CABS_CVC!$C$3:$O$870,MATCH(1, (CABS_CVC!$A$3:$A$870=Calculs_CABS!C114)*(CABS_CVC!$B$3:$B$870=Calculs_CABS!$D$2),0),MATCH(Calculs_CABS!$D$1,Liste_CABS!$B$3:$B$15,0))</f>
        <v>34</v>
      </c>
    </row>
    <row r="115" spans="1:35">
      <c r="A115" s="520"/>
      <c r="B115" s="295" t="s">
        <v>543</v>
      </c>
      <c r="C115" s="32" t="s">
        <v>628</v>
      </c>
      <c r="D115" s="295" t="s">
        <v>543</v>
      </c>
      <c r="E115" s="295">
        <v>28</v>
      </c>
    </row>
    <row r="116" spans="1:35">
      <c r="A116" s="520"/>
      <c r="B116" s="295" t="s">
        <v>544</v>
      </c>
      <c r="C116" s="32" t="s">
        <v>628</v>
      </c>
      <c r="D116" s="295" t="s">
        <v>544</v>
      </c>
      <c r="E116" s="295">
        <f>E114+E115</f>
        <v>62</v>
      </c>
    </row>
    <row r="117" spans="1:35">
      <c r="A117" s="520"/>
      <c r="B117" s="295" t="s">
        <v>545</v>
      </c>
      <c r="C117" s="32" t="s">
        <v>628</v>
      </c>
      <c r="D117" s="295" t="s">
        <v>545</v>
      </c>
      <c r="E117" s="295">
        <v>0.63</v>
      </c>
    </row>
    <row r="118" spans="1:35">
      <c r="A118" s="520"/>
      <c r="B118" s="295" t="s">
        <v>546</v>
      </c>
      <c r="C118" s="32" t="s">
        <v>628</v>
      </c>
      <c r="D118" s="343" t="s">
        <v>592</v>
      </c>
      <c r="E118" s="295">
        <v>3120</v>
      </c>
      <c r="F118" s="295">
        <f>IF(F$6=$C118,IF(INDEX('Surface DEET'!$Q$9:$W$38,COLUMN(F111)-COLUMN($E$5),1)&gt;0,INDEX('Surface DEET'!$Q$9:$W$38,COLUMN(F111)-COLUMN($E$5),1),$E118),0)</f>
        <v>0</v>
      </c>
      <c r="G118" s="295">
        <f>IF(G$6=$C118,IF(INDEX('Surface DEET'!$Q$9:$W$38,COLUMN(G111)-COLUMN($E$5),1)&gt;0,INDEX('Surface DEET'!$Q$9:$W$38,COLUMN(G111)-COLUMN($E$5),1),$E118),0)</f>
        <v>0</v>
      </c>
      <c r="H118" s="295">
        <f>IF(H$6=$C118,IF(INDEX('Surface DEET'!$Q$9:$W$38,COLUMN(H111)-COLUMN($E$5),1)&gt;0,INDEX('Surface DEET'!$Q$9:$W$38,COLUMN(H111)-COLUMN($E$5),1),$E118),0)</f>
        <v>0</v>
      </c>
      <c r="I118" s="295">
        <f>IF(I$6=$C118,IF(INDEX('Surface DEET'!$Q$9:$W$38,COLUMN(I111)-COLUMN($E$5),1)&gt;0,INDEX('Surface DEET'!$Q$9:$W$38,COLUMN(I111)-COLUMN($E$5),1),$E118),0)</f>
        <v>0</v>
      </c>
      <c r="J118" s="295">
        <f>IF(J$6=$C118,IF(INDEX('Surface DEET'!$Q$9:$W$38,COLUMN(J111)-COLUMN($E$5),1)&gt;0,INDEX('Surface DEET'!$Q$9:$W$38,COLUMN(J111)-COLUMN($E$5),1),$E118),0)</f>
        <v>0</v>
      </c>
      <c r="K118" s="295">
        <f>IF(K$6=$C118,IF(INDEX('Surface DEET'!$Q$9:$W$38,COLUMN(K111)-COLUMN($E$5),1)&gt;0,INDEX('Surface DEET'!$Q$9:$W$38,COLUMN(K111)-COLUMN($E$5),1),$E118),0)</f>
        <v>0</v>
      </c>
      <c r="L118" s="295">
        <f>IF(L$6=$C118,IF(INDEX('Surface DEET'!$Q$9:$W$38,COLUMN(L111)-COLUMN($E$5),1)&gt;0,INDEX('Surface DEET'!$Q$9:$W$38,COLUMN(L111)-COLUMN($E$5),1),$E118),0)</f>
        <v>0</v>
      </c>
      <c r="M118" s="295">
        <f>IF(M$6=$C118,IF(INDEX('Surface DEET'!$Q$9:$W$38,COLUMN(M111)-COLUMN($E$5),1)&gt;0,INDEX('Surface DEET'!$Q$9:$W$38,COLUMN(M111)-COLUMN($E$5),1),$E118),0)</f>
        <v>0</v>
      </c>
      <c r="N118" s="295">
        <f>IF(N$6=$C118,IF(INDEX('Surface DEET'!$Q$9:$W$38,COLUMN(N111)-COLUMN($E$5),1)&gt;0,INDEX('Surface DEET'!$Q$9:$W$38,COLUMN(N111)-COLUMN($E$5),1),$E118),0)</f>
        <v>0</v>
      </c>
      <c r="O118" s="295">
        <f>IF(O$6=$C118,IF(INDEX('Surface DEET'!$Q$9:$W$38,COLUMN(O111)-COLUMN($E$5),1)&gt;0,INDEX('Surface DEET'!$Q$9:$W$38,COLUMN(O111)-COLUMN($E$5),1),$E118),0)</f>
        <v>0</v>
      </c>
      <c r="P118" s="295">
        <f>IF(P$6=$C118,IF(INDEX('Surface DEET'!$Q$9:$W$38,COLUMN(P111)-COLUMN($E$5),1)&gt;0,INDEX('Surface DEET'!$Q$9:$W$38,COLUMN(P111)-COLUMN($E$5),1),$E118),0)</f>
        <v>0</v>
      </c>
      <c r="Q118" s="295">
        <f>IF(Q$6=$C118,IF(INDEX('Surface DEET'!$Q$9:$W$38,COLUMN(Q111)-COLUMN($E$5),1)&gt;0,INDEX('Surface DEET'!$Q$9:$W$38,COLUMN(Q111)-COLUMN($E$5),1),$E118),0)</f>
        <v>0</v>
      </c>
      <c r="R118" s="295">
        <f>IF(R$6=$C118,IF(INDEX('Surface DEET'!$Q$9:$W$38,COLUMN(R111)-COLUMN($E$5),1)&gt;0,INDEX('Surface DEET'!$Q$9:$W$38,COLUMN(R111)-COLUMN($E$5),1),$E118),0)</f>
        <v>0</v>
      </c>
      <c r="S118" s="295">
        <f>IF(S$6=$C118,IF(INDEX('Surface DEET'!$Q$9:$W$38,COLUMN(S111)-COLUMN($E$5),1)&gt;0,INDEX('Surface DEET'!$Q$9:$W$38,COLUMN(S111)-COLUMN($E$5),1),$E118),0)</f>
        <v>0</v>
      </c>
      <c r="T118" s="295">
        <f>IF(T$6=$C118,IF(INDEX('Surface DEET'!$Q$9:$W$38,COLUMN(T111)-COLUMN($E$5),1)&gt;0,INDEX('Surface DEET'!$Q$9:$W$38,COLUMN(T111)-COLUMN($E$5),1),$E118),0)</f>
        <v>0</v>
      </c>
      <c r="U118" s="295">
        <f>IF(U$6=$C118,IF(INDEX('Surface DEET'!$Q$9:$W$38,COLUMN(U111)-COLUMN($E$5),1)&gt;0,INDEX('Surface DEET'!$Q$9:$W$38,COLUMN(U111)-COLUMN($E$5),1),$E118),0)</f>
        <v>0</v>
      </c>
      <c r="V118" s="295">
        <f>IF(V$6=$C118,IF(INDEX('Surface DEET'!$Q$9:$W$38,COLUMN(V111)-COLUMN($E$5),1)&gt;0,INDEX('Surface DEET'!$Q$9:$W$38,COLUMN(V111)-COLUMN($E$5),1),$E118),0)</f>
        <v>0</v>
      </c>
      <c r="W118" s="295">
        <f>IF(W$6=$C118,IF(INDEX('Surface DEET'!$Q$9:$W$38,COLUMN(W111)-COLUMN($E$5),1)&gt;0,INDEX('Surface DEET'!$Q$9:$W$38,COLUMN(W111)-COLUMN($E$5),1),$E118),0)</f>
        <v>0</v>
      </c>
      <c r="X118" s="295">
        <f>IF(X$6=$C118,IF(INDEX('Surface DEET'!$Q$9:$W$38,COLUMN(X111)-COLUMN($E$5),1)&gt;0,INDEX('Surface DEET'!$Q$9:$W$38,COLUMN(X111)-COLUMN($E$5),1),$E118),0)</f>
        <v>0</v>
      </c>
      <c r="Y118" s="295">
        <f>IF(Y$6=$C118,IF(INDEX('Surface DEET'!$Q$9:$W$38,COLUMN(Y111)-COLUMN($E$5),1)&gt;0,INDEX('Surface DEET'!$Q$9:$W$38,COLUMN(Y111)-COLUMN($E$5),1),$E118),0)</f>
        <v>0</v>
      </c>
      <c r="Z118" s="295">
        <f>IF(Z$6=$C118,IF(INDEX('Surface DEET'!$Q$9:$W$38,COLUMN(Z111)-COLUMN($E$5),1)&gt;0,INDEX('Surface DEET'!$Q$9:$W$38,COLUMN(Z111)-COLUMN($E$5),1),$E118),0)</f>
        <v>0</v>
      </c>
      <c r="AA118" s="295">
        <f>IF(AA$6=$C118,IF(INDEX('Surface DEET'!$Q$9:$W$38,COLUMN(AA111)-COLUMN($E$5),1)&gt;0,INDEX('Surface DEET'!$Q$9:$W$38,COLUMN(AA111)-COLUMN($E$5),1),$E118),0)</f>
        <v>0</v>
      </c>
      <c r="AB118" s="295">
        <f>IF(AB$6=$C118,IF(INDEX('Surface DEET'!$Q$9:$W$38,COLUMN(AB111)-COLUMN($E$5),1)&gt;0,INDEX('Surface DEET'!$Q$9:$W$38,COLUMN(AB111)-COLUMN($E$5),1),$E118),0)</f>
        <v>0</v>
      </c>
      <c r="AC118" s="295">
        <f>IF(AC$6=$C118,IF(INDEX('Surface DEET'!$Q$9:$W$38,COLUMN(AC111)-COLUMN($E$5),1)&gt;0,INDEX('Surface DEET'!$Q$9:$W$38,COLUMN(AC111)-COLUMN($E$5),1),$E118),0)</f>
        <v>0</v>
      </c>
      <c r="AD118" s="295">
        <f>IF(AD$6=$C118,IF(INDEX('Surface DEET'!$Q$9:$W$38,COLUMN(AD111)-COLUMN($E$5),1)&gt;0,INDEX('Surface DEET'!$Q$9:$W$38,COLUMN(AD111)-COLUMN($E$5),1),$E118),0)</f>
        <v>0</v>
      </c>
      <c r="AE118" s="295">
        <f>IF(AE$6=$C118,IF(INDEX('Surface DEET'!$Q$9:$W$38,COLUMN(AE111)-COLUMN($E$5),1)&gt;0,INDEX('Surface DEET'!$Q$9:$W$38,COLUMN(AE111)-COLUMN($E$5),1),$E118),0)</f>
        <v>0</v>
      </c>
      <c r="AF118" s="295">
        <f>IF(AF$6=$C118,IF(INDEX('Surface DEET'!$Q$9:$W$38,COLUMN(AF111)-COLUMN($E$5),1)&gt;0,INDEX('Surface DEET'!$Q$9:$W$38,COLUMN(AF111)-COLUMN($E$5),1),$E118),0)</f>
        <v>0</v>
      </c>
      <c r="AG118" s="295">
        <f>IF(AG$6=$C118,IF(INDEX('Surface DEET'!$Q$9:$W$38,COLUMN(AG111)-COLUMN($E$5),1)&gt;0,INDEX('Surface DEET'!$Q$9:$W$38,COLUMN(AG111)-COLUMN($E$5),1),$E118),0)</f>
        <v>0</v>
      </c>
      <c r="AH118" s="295">
        <f>IF(AH$6=$C118,IF(INDEX('Surface DEET'!$Q$9:$W$38,COLUMN(AH111)-COLUMN($E$5),1)&gt;0,INDEX('Surface DEET'!$Q$9:$W$38,COLUMN(AH111)-COLUMN($E$5),1),$E118),0)</f>
        <v>0</v>
      </c>
      <c r="AI118" s="295">
        <f>IF(AI$6=$C118,IF(INDEX('Surface DEET'!$Q$9:$W$38,COLUMN(AI111)-COLUMN($E$5),1)&gt;0,INDEX('Surface DEET'!$Q$9:$W$38,COLUMN(AI111)-COLUMN($E$5),1),$E118),0)</f>
        <v>0</v>
      </c>
    </row>
    <row r="119" spans="1:35">
      <c r="A119" s="520"/>
      <c r="B119" s="295" t="s">
        <v>549</v>
      </c>
      <c r="C119" s="32" t="s">
        <v>628</v>
      </c>
      <c r="D119" s="343" t="s">
        <v>629</v>
      </c>
      <c r="E119" s="295">
        <v>31</v>
      </c>
      <c r="F119" s="295">
        <f>IF(F$6=$C119,IF(INDEX('Surface DEET'!$Q$9:$W$38,COLUMN(F112)-COLUMN($E$5),4)&gt;0,INDEX('Surface DEET'!$Q$9:$W$38,COLUMN(F112)-COLUMN($E$5),4),$E119),0)</f>
        <v>0</v>
      </c>
      <c r="G119" s="295">
        <f>IF(G$6=$C119,IF(INDEX('Surface DEET'!$Q$9:$W$38,COLUMN(G112)-COLUMN($E$5),4)&gt;0,INDEX('Surface DEET'!$Q$9:$W$38,COLUMN(G112)-COLUMN($E$5),4),$E119),0)</f>
        <v>0</v>
      </c>
      <c r="H119" s="295">
        <f>IF(H$6=$C119,IF(INDEX('Surface DEET'!$Q$9:$W$38,COLUMN(H112)-COLUMN($E$5),4)&gt;0,INDEX('Surface DEET'!$Q$9:$W$38,COLUMN(H112)-COLUMN($E$5),4),$E119),0)</f>
        <v>0</v>
      </c>
      <c r="I119" s="295">
        <f>IF(I$6=$C119,IF(INDEX('Surface DEET'!$Q$9:$W$38,COLUMN(I112)-COLUMN($E$5),4)&gt;0,INDEX('Surface DEET'!$Q$9:$W$38,COLUMN(I112)-COLUMN($E$5),4),$E119),0)</f>
        <v>0</v>
      </c>
      <c r="J119" s="295">
        <f>IF(J$6=$C119,IF(INDEX('Surface DEET'!$Q$9:$W$38,COLUMN(J112)-COLUMN($E$5),4)&gt;0,INDEX('Surface DEET'!$Q$9:$W$38,COLUMN(J112)-COLUMN($E$5),4),$E119),0)</f>
        <v>0</v>
      </c>
      <c r="K119" s="295">
        <f>IF(K$6=$C119,IF(INDEX('Surface DEET'!$Q$9:$W$38,COLUMN(K112)-COLUMN($E$5),4)&gt;0,INDEX('Surface DEET'!$Q$9:$W$38,COLUMN(K112)-COLUMN($E$5),4),$E119),0)</f>
        <v>0</v>
      </c>
      <c r="L119" s="295">
        <f>IF(L$6=$C119,IF(INDEX('Surface DEET'!$Q$9:$W$38,COLUMN(L112)-COLUMN($E$5),4)&gt;0,INDEX('Surface DEET'!$Q$9:$W$38,COLUMN(L112)-COLUMN($E$5),4),$E119),0)</f>
        <v>0</v>
      </c>
      <c r="M119" s="295">
        <f>IF(M$6=$C119,IF(INDEX('Surface DEET'!$Q$9:$W$38,COLUMN(M112)-COLUMN($E$5),4)&gt;0,INDEX('Surface DEET'!$Q$9:$W$38,COLUMN(M112)-COLUMN($E$5),4),$E119),0)</f>
        <v>0</v>
      </c>
      <c r="N119" s="295">
        <f>IF(N$6=$C119,IF(INDEX('Surface DEET'!$Q$9:$W$38,COLUMN(N112)-COLUMN($E$5),4)&gt;0,INDEX('Surface DEET'!$Q$9:$W$38,COLUMN(N112)-COLUMN($E$5),4),$E119),0)</f>
        <v>0</v>
      </c>
      <c r="O119" s="295">
        <f>IF(O$6=$C119,IF(INDEX('Surface DEET'!$Q$9:$W$38,COLUMN(O112)-COLUMN($E$5),4)&gt;0,INDEX('Surface DEET'!$Q$9:$W$38,COLUMN(O112)-COLUMN($E$5),4),$E119),0)</f>
        <v>0</v>
      </c>
      <c r="P119" s="295">
        <f>IF(P$6=$C119,IF(INDEX('Surface DEET'!$Q$9:$W$38,COLUMN(P112)-COLUMN($E$5),4)&gt;0,INDEX('Surface DEET'!$Q$9:$W$38,COLUMN(P112)-COLUMN($E$5),4),$E119),0)</f>
        <v>0</v>
      </c>
      <c r="Q119" s="295">
        <f>IF(Q$6=$C119,IF(INDEX('Surface DEET'!$Q$9:$W$38,COLUMN(Q112)-COLUMN($E$5),4)&gt;0,INDEX('Surface DEET'!$Q$9:$W$38,COLUMN(Q112)-COLUMN($E$5),4),$E119),0)</f>
        <v>0</v>
      </c>
      <c r="R119" s="295">
        <f>IF(R$6=$C119,IF(INDEX('Surface DEET'!$Q$9:$W$38,COLUMN(R112)-COLUMN($E$5),4)&gt;0,INDEX('Surface DEET'!$Q$9:$W$38,COLUMN(R112)-COLUMN($E$5),4),$E119),0)</f>
        <v>0</v>
      </c>
      <c r="S119" s="295">
        <f>IF(S$6=$C119,IF(INDEX('Surface DEET'!$Q$9:$W$38,COLUMN(S112)-COLUMN($E$5),4)&gt;0,INDEX('Surface DEET'!$Q$9:$W$38,COLUMN(S112)-COLUMN($E$5),4),$E119),0)</f>
        <v>0</v>
      </c>
      <c r="T119" s="295">
        <f>IF(T$6=$C119,IF(INDEX('Surface DEET'!$Q$9:$W$38,COLUMN(T112)-COLUMN($E$5),4)&gt;0,INDEX('Surface DEET'!$Q$9:$W$38,COLUMN(T112)-COLUMN($E$5),4),$E119),0)</f>
        <v>0</v>
      </c>
      <c r="U119" s="295">
        <f>IF(U$6=$C119,IF(INDEX('Surface DEET'!$Q$9:$W$38,COLUMN(U112)-COLUMN($E$5),4)&gt;0,INDEX('Surface DEET'!$Q$9:$W$38,COLUMN(U112)-COLUMN($E$5),4),$E119),0)</f>
        <v>0</v>
      </c>
      <c r="V119" s="295">
        <f>IF(V$6=$C119,IF(INDEX('Surface DEET'!$Q$9:$W$38,COLUMN(V112)-COLUMN($E$5),4)&gt;0,INDEX('Surface DEET'!$Q$9:$W$38,COLUMN(V112)-COLUMN($E$5),4),$E119),0)</f>
        <v>0</v>
      </c>
      <c r="W119" s="295">
        <f>IF(W$6=$C119,IF(INDEX('Surface DEET'!$Q$9:$W$38,COLUMN(W112)-COLUMN($E$5),4)&gt;0,INDEX('Surface DEET'!$Q$9:$W$38,COLUMN(W112)-COLUMN($E$5),4),$E119),0)</f>
        <v>0</v>
      </c>
      <c r="X119" s="295">
        <f>IF(X$6=$C119,IF(INDEX('Surface DEET'!$Q$9:$W$38,COLUMN(X112)-COLUMN($E$5),4)&gt;0,INDEX('Surface DEET'!$Q$9:$W$38,COLUMN(X112)-COLUMN($E$5),4),$E119),0)</f>
        <v>0</v>
      </c>
      <c r="Y119" s="295">
        <f>IF(Y$6=$C119,IF(INDEX('Surface DEET'!$Q$9:$W$38,COLUMN(Y112)-COLUMN($E$5),4)&gt;0,INDEX('Surface DEET'!$Q$9:$W$38,COLUMN(Y112)-COLUMN($E$5),4),$E119),0)</f>
        <v>0</v>
      </c>
      <c r="Z119" s="295">
        <f>IF(Z$6=$C119,IF(INDEX('Surface DEET'!$Q$9:$W$38,COLUMN(Z112)-COLUMN($E$5),4)&gt;0,INDEX('Surface DEET'!$Q$9:$W$38,COLUMN(Z112)-COLUMN($E$5),4),$E119),0)</f>
        <v>0</v>
      </c>
      <c r="AA119" s="295">
        <f>IF(AA$6=$C119,IF(INDEX('Surface DEET'!$Q$9:$W$38,COLUMN(AA112)-COLUMN($E$5),4)&gt;0,INDEX('Surface DEET'!$Q$9:$W$38,COLUMN(AA112)-COLUMN($E$5),4),$E119),0)</f>
        <v>0</v>
      </c>
      <c r="AB119" s="295">
        <f>IF(AB$6=$C119,IF(INDEX('Surface DEET'!$Q$9:$W$38,COLUMN(AB112)-COLUMN($E$5),4)&gt;0,INDEX('Surface DEET'!$Q$9:$W$38,COLUMN(AB112)-COLUMN($E$5),4),$E119),0)</f>
        <v>0</v>
      </c>
      <c r="AC119" s="295">
        <f>IF(AC$6=$C119,IF(INDEX('Surface DEET'!$Q$9:$W$38,COLUMN(AC112)-COLUMN($E$5),4)&gt;0,INDEX('Surface DEET'!$Q$9:$W$38,COLUMN(AC112)-COLUMN($E$5),4),$E119),0)</f>
        <v>0</v>
      </c>
      <c r="AD119" s="295">
        <f>IF(AD$6=$C119,IF(INDEX('Surface DEET'!$Q$9:$W$38,COLUMN(AD112)-COLUMN($E$5),4)&gt;0,INDEX('Surface DEET'!$Q$9:$W$38,COLUMN(AD112)-COLUMN($E$5),4),$E119),0)</f>
        <v>0</v>
      </c>
      <c r="AE119" s="295">
        <f>IF(AE$6=$C119,IF(INDEX('Surface DEET'!$Q$9:$W$38,COLUMN(AE112)-COLUMN($E$5),4)&gt;0,INDEX('Surface DEET'!$Q$9:$W$38,COLUMN(AE112)-COLUMN($E$5),4),$E119),0)</f>
        <v>0</v>
      </c>
      <c r="AF119" s="295">
        <f>IF(AF$6=$C119,IF(INDEX('Surface DEET'!$Q$9:$W$38,COLUMN(AF112)-COLUMN($E$5),4)&gt;0,INDEX('Surface DEET'!$Q$9:$W$38,COLUMN(AF112)-COLUMN($E$5),4),$E119),0)</f>
        <v>0</v>
      </c>
      <c r="AG119" s="295">
        <f>IF(AG$6=$C119,IF(INDEX('Surface DEET'!$Q$9:$W$38,COLUMN(AG112)-COLUMN($E$5),4)&gt;0,INDEX('Surface DEET'!$Q$9:$W$38,COLUMN(AG112)-COLUMN($E$5),4),$E119),0)</f>
        <v>0</v>
      </c>
      <c r="AH119" s="295">
        <f>IF(AH$6=$C119,IF(INDEX('Surface DEET'!$Q$9:$W$38,COLUMN(AH112)-COLUMN($E$5),4)&gt;0,INDEX('Surface DEET'!$Q$9:$W$38,COLUMN(AH112)-COLUMN($E$5),4),$E119),0)</f>
        <v>0</v>
      </c>
      <c r="AI119" s="295">
        <f>IF(AI$6=$C119,IF(INDEX('Surface DEET'!$Q$9:$W$38,COLUMN(AI112)-COLUMN($E$5),4)&gt;0,INDEX('Surface DEET'!$Q$9:$W$38,COLUMN(AI112)-COLUMN($E$5),4),$E119),0)</f>
        <v>0</v>
      </c>
    </row>
    <row r="120" spans="1:35">
      <c r="A120" s="520"/>
      <c r="B120" s="295" t="s">
        <v>542</v>
      </c>
      <c r="C120" s="32" t="s">
        <v>628</v>
      </c>
      <c r="D120" s="295" t="s">
        <v>542</v>
      </c>
      <c r="F120" s="295">
        <f>IFERROR($E$115*(F118/$E$118)*($E$117*($E$119/F119)+(1-$E$117))+0.28*(F118-$E$118)/$E$118,0)</f>
        <v>0</v>
      </c>
      <c r="G120" s="295">
        <f t="shared" ref="G120:AI120" si="13">IFERROR($E$115*(G118/$E$118)*($E$117*($E$119/G119)+(1-$E$117))+0.28*(G118-$E$118)/$E$118,0)</f>
        <v>0</v>
      </c>
      <c r="H120" s="295">
        <f t="shared" si="13"/>
        <v>0</v>
      </c>
      <c r="I120" s="295">
        <f t="shared" si="13"/>
        <v>0</v>
      </c>
      <c r="J120" s="295">
        <f t="shared" si="13"/>
        <v>0</v>
      </c>
      <c r="K120" s="295">
        <f t="shared" si="13"/>
        <v>0</v>
      </c>
      <c r="L120" s="295">
        <f t="shared" si="13"/>
        <v>0</v>
      </c>
      <c r="M120" s="295">
        <f t="shared" si="13"/>
        <v>0</v>
      </c>
      <c r="N120" s="295">
        <f t="shared" si="13"/>
        <v>0</v>
      </c>
      <c r="O120" s="295">
        <f t="shared" si="13"/>
        <v>0</v>
      </c>
      <c r="P120" s="295">
        <f t="shared" si="13"/>
        <v>0</v>
      </c>
      <c r="Q120" s="295">
        <f t="shared" si="13"/>
        <v>0</v>
      </c>
      <c r="R120" s="295">
        <f t="shared" si="13"/>
        <v>0</v>
      </c>
      <c r="S120" s="295">
        <f t="shared" si="13"/>
        <v>0</v>
      </c>
      <c r="T120" s="295">
        <f t="shared" si="13"/>
        <v>0</v>
      </c>
      <c r="U120" s="295">
        <f t="shared" si="13"/>
        <v>0</v>
      </c>
      <c r="V120" s="295">
        <f t="shared" si="13"/>
        <v>0</v>
      </c>
      <c r="W120" s="295">
        <f t="shared" si="13"/>
        <v>0</v>
      </c>
      <c r="X120" s="295">
        <f t="shared" si="13"/>
        <v>0</v>
      </c>
      <c r="Y120" s="295">
        <f t="shared" si="13"/>
        <v>0</v>
      </c>
      <c r="Z120" s="295">
        <f t="shared" si="13"/>
        <v>0</v>
      </c>
      <c r="AA120" s="295">
        <f t="shared" si="13"/>
        <v>0</v>
      </c>
      <c r="AB120" s="295">
        <f t="shared" si="13"/>
        <v>0</v>
      </c>
      <c r="AC120" s="295">
        <f t="shared" si="13"/>
        <v>0</v>
      </c>
      <c r="AD120" s="295">
        <f t="shared" si="13"/>
        <v>0</v>
      </c>
      <c r="AE120" s="295">
        <f t="shared" si="13"/>
        <v>0</v>
      </c>
      <c r="AF120" s="295">
        <f t="shared" si="13"/>
        <v>0</v>
      </c>
      <c r="AG120" s="295">
        <f t="shared" si="13"/>
        <v>0</v>
      </c>
      <c r="AH120" s="295">
        <f t="shared" si="13"/>
        <v>0</v>
      </c>
      <c r="AI120" s="295">
        <f t="shared" si="13"/>
        <v>0</v>
      </c>
    </row>
    <row r="121" spans="1:35">
      <c r="A121" s="520" t="s">
        <v>630</v>
      </c>
      <c r="B121" s="93" t="s">
        <v>301</v>
      </c>
      <c r="C121" s="32" t="s">
        <v>630</v>
      </c>
      <c r="D121" s="93" t="s">
        <v>301</v>
      </c>
      <c r="E121" s="295">
        <f t="array" ref="E121">INDEX(CABS_CVC!$C$3:$O$870,MATCH(1, (CABS_CVC!$A$3:$A$870=Calculs_CABS!C121)*(CABS_CVC!$B$3:$B$870=Calculs_CABS!$D$2),0),MATCH(Calculs_CABS!$D$1,Liste_CABS!$B$3:$B$15,0))</f>
        <v>95</v>
      </c>
    </row>
    <row r="122" spans="1:35">
      <c r="A122" s="520"/>
      <c r="B122" s="295" t="s">
        <v>543</v>
      </c>
      <c r="C122" s="32" t="s">
        <v>630</v>
      </c>
      <c r="D122" s="295" t="s">
        <v>543</v>
      </c>
      <c r="E122" s="295">
        <v>101</v>
      </c>
    </row>
    <row r="123" spans="1:35">
      <c r="A123" s="520"/>
      <c r="B123" s="295" t="s">
        <v>544</v>
      </c>
      <c r="C123" s="32" t="s">
        <v>630</v>
      </c>
      <c r="D123" s="295" t="s">
        <v>544</v>
      </c>
      <c r="E123" s="295">
        <f>E121+E122</f>
        <v>196</v>
      </c>
    </row>
    <row r="124" spans="1:35">
      <c r="A124" s="520"/>
      <c r="B124" s="295" t="s">
        <v>545</v>
      </c>
      <c r="C124" s="32" t="s">
        <v>630</v>
      </c>
      <c r="D124" s="295" t="s">
        <v>545</v>
      </c>
      <c r="E124" s="295">
        <v>0.64</v>
      </c>
    </row>
    <row r="125" spans="1:35">
      <c r="A125" s="520"/>
      <c r="B125" s="295" t="s">
        <v>546</v>
      </c>
      <c r="C125" s="32" t="s">
        <v>630</v>
      </c>
      <c r="D125" s="343" t="s">
        <v>609</v>
      </c>
      <c r="E125" s="295">
        <v>8760</v>
      </c>
      <c r="F125" s="295">
        <f>IF(F$6=$C125,IF(INDEX('Surface DEET'!$Q$9:$W$38,COLUMN(F118)-COLUMN($E$5),1)&gt;0,INDEX('Surface DEET'!$Q$9:$W$38,COLUMN(F118)-COLUMN($E$5),1),$E125),0)</f>
        <v>0</v>
      </c>
      <c r="G125" s="295">
        <f>IF(G$6=$C125,IF(INDEX('Surface DEET'!$Q$9:$W$38,COLUMN(G118)-COLUMN($E$5),1)&gt;0,INDEX('Surface DEET'!$Q$9:$W$38,COLUMN(G118)-COLUMN($E$5),1),$E125),0)</f>
        <v>0</v>
      </c>
      <c r="H125" s="295">
        <f>IF(H$6=$C125,IF(INDEX('Surface DEET'!$Q$9:$W$38,COLUMN(H118)-COLUMN($E$5),1)&gt;0,INDEX('Surface DEET'!$Q$9:$W$38,COLUMN(H118)-COLUMN($E$5),1),$E125),0)</f>
        <v>0</v>
      </c>
      <c r="I125" s="295">
        <f>IF(I$6=$C125,IF(INDEX('Surface DEET'!$Q$9:$W$38,COLUMN(I118)-COLUMN($E$5),1)&gt;0,INDEX('Surface DEET'!$Q$9:$W$38,COLUMN(I118)-COLUMN($E$5),1),$E125),0)</f>
        <v>0</v>
      </c>
      <c r="J125" s="295">
        <f>IF(J$6=$C125,IF(INDEX('Surface DEET'!$Q$9:$W$38,COLUMN(J118)-COLUMN($E$5),1)&gt;0,INDEX('Surface DEET'!$Q$9:$W$38,COLUMN(J118)-COLUMN($E$5),1),$E125),0)</f>
        <v>0</v>
      </c>
      <c r="K125" s="295">
        <f>IF(K$6=$C125,IF(INDEX('Surface DEET'!$Q$9:$W$38,COLUMN(K118)-COLUMN($E$5),1)&gt;0,INDEX('Surface DEET'!$Q$9:$W$38,COLUMN(K118)-COLUMN($E$5),1),$E125),0)</f>
        <v>0</v>
      </c>
      <c r="L125" s="295">
        <f>IF(L$6=$C125,IF(INDEX('Surface DEET'!$Q$9:$W$38,COLUMN(L118)-COLUMN($E$5),1)&gt;0,INDEX('Surface DEET'!$Q$9:$W$38,COLUMN(L118)-COLUMN($E$5),1),$E125),0)</f>
        <v>0</v>
      </c>
      <c r="M125" s="295">
        <f>IF(M$6=$C125,IF(INDEX('Surface DEET'!$Q$9:$W$38,COLUMN(M118)-COLUMN($E$5),1)&gt;0,INDEX('Surface DEET'!$Q$9:$W$38,COLUMN(M118)-COLUMN($E$5),1),$E125),0)</f>
        <v>0</v>
      </c>
      <c r="N125" s="295">
        <f>IF(N$6=$C125,IF(INDEX('Surface DEET'!$Q$9:$W$38,COLUMN(N118)-COLUMN($E$5),1)&gt;0,INDEX('Surface DEET'!$Q$9:$W$38,COLUMN(N118)-COLUMN($E$5),1),$E125),0)</f>
        <v>0</v>
      </c>
      <c r="O125" s="295">
        <f>IF(O$6=$C125,IF(INDEX('Surface DEET'!$Q$9:$W$38,COLUMN(O118)-COLUMN($E$5),1)&gt;0,INDEX('Surface DEET'!$Q$9:$W$38,COLUMN(O118)-COLUMN($E$5),1),$E125),0)</f>
        <v>0</v>
      </c>
      <c r="P125" s="295">
        <f>IF(P$6=$C125,IF(INDEX('Surface DEET'!$Q$9:$W$38,COLUMN(P118)-COLUMN($E$5),1)&gt;0,INDEX('Surface DEET'!$Q$9:$W$38,COLUMN(P118)-COLUMN($E$5),1),$E125),0)</f>
        <v>0</v>
      </c>
      <c r="Q125" s="295">
        <f>IF(Q$6=$C125,IF(INDEX('Surface DEET'!$Q$9:$W$38,COLUMN(Q118)-COLUMN($E$5),1)&gt;0,INDEX('Surface DEET'!$Q$9:$W$38,COLUMN(Q118)-COLUMN($E$5),1),$E125),0)</f>
        <v>0</v>
      </c>
      <c r="R125" s="295">
        <f>IF(R$6=$C125,IF(INDEX('Surface DEET'!$Q$9:$W$38,COLUMN(R118)-COLUMN($E$5),1)&gt;0,INDEX('Surface DEET'!$Q$9:$W$38,COLUMN(R118)-COLUMN($E$5),1),$E125),0)</f>
        <v>0</v>
      </c>
      <c r="S125" s="295">
        <f>IF(S$6=$C125,IF(INDEX('Surface DEET'!$Q$9:$W$38,COLUMN(S118)-COLUMN($E$5),1)&gt;0,INDEX('Surface DEET'!$Q$9:$W$38,COLUMN(S118)-COLUMN($E$5),1),$E125),0)</f>
        <v>0</v>
      </c>
      <c r="T125" s="295">
        <f>IF(T$6=$C125,IF(INDEX('Surface DEET'!$Q$9:$W$38,COLUMN(T118)-COLUMN($E$5),1)&gt;0,INDEX('Surface DEET'!$Q$9:$W$38,COLUMN(T118)-COLUMN($E$5),1),$E125),0)</f>
        <v>0</v>
      </c>
      <c r="U125" s="295">
        <f>IF(U$6=$C125,IF(INDEX('Surface DEET'!$Q$9:$W$38,COLUMN(U118)-COLUMN($E$5),1)&gt;0,INDEX('Surface DEET'!$Q$9:$W$38,COLUMN(U118)-COLUMN($E$5),1),$E125),0)</f>
        <v>0</v>
      </c>
      <c r="V125" s="295">
        <f>IF(V$6=$C125,IF(INDEX('Surface DEET'!$Q$9:$W$38,COLUMN(V118)-COLUMN($E$5),1)&gt;0,INDEX('Surface DEET'!$Q$9:$W$38,COLUMN(V118)-COLUMN($E$5),1),$E125),0)</f>
        <v>0</v>
      </c>
      <c r="W125" s="295">
        <f>IF(W$6=$C125,IF(INDEX('Surface DEET'!$Q$9:$W$38,COLUMN(W118)-COLUMN($E$5),1)&gt;0,INDEX('Surface DEET'!$Q$9:$W$38,COLUMN(W118)-COLUMN($E$5),1),$E125),0)</f>
        <v>0</v>
      </c>
      <c r="X125" s="295">
        <f>IF(X$6=$C125,IF(INDEX('Surface DEET'!$Q$9:$W$38,COLUMN(X118)-COLUMN($E$5),1)&gt;0,INDEX('Surface DEET'!$Q$9:$W$38,COLUMN(X118)-COLUMN($E$5),1),$E125),0)</f>
        <v>0</v>
      </c>
      <c r="Y125" s="295">
        <f>IF(Y$6=$C125,IF(INDEX('Surface DEET'!$Q$9:$W$38,COLUMN(Y118)-COLUMN($E$5),1)&gt;0,INDEX('Surface DEET'!$Q$9:$W$38,COLUMN(Y118)-COLUMN($E$5),1),$E125),0)</f>
        <v>0</v>
      </c>
      <c r="Z125" s="295">
        <f>IF(Z$6=$C125,IF(INDEX('Surface DEET'!$Q$9:$W$38,COLUMN(Z118)-COLUMN($E$5),1)&gt;0,INDEX('Surface DEET'!$Q$9:$W$38,COLUMN(Z118)-COLUMN($E$5),1),$E125),0)</f>
        <v>0</v>
      </c>
      <c r="AA125" s="295">
        <f>IF(AA$6=$C125,IF(INDEX('Surface DEET'!$Q$9:$W$38,COLUMN(AA118)-COLUMN($E$5),1)&gt;0,INDEX('Surface DEET'!$Q$9:$W$38,COLUMN(AA118)-COLUMN($E$5),1),$E125),0)</f>
        <v>0</v>
      </c>
      <c r="AB125" s="295">
        <f>IF(AB$6=$C125,IF(INDEX('Surface DEET'!$Q$9:$W$38,COLUMN(AB118)-COLUMN($E$5),1)&gt;0,INDEX('Surface DEET'!$Q$9:$W$38,COLUMN(AB118)-COLUMN($E$5),1),$E125),0)</f>
        <v>0</v>
      </c>
      <c r="AC125" s="295">
        <f>IF(AC$6=$C125,IF(INDEX('Surface DEET'!$Q$9:$W$38,COLUMN(AC118)-COLUMN($E$5),1)&gt;0,INDEX('Surface DEET'!$Q$9:$W$38,COLUMN(AC118)-COLUMN($E$5),1),$E125),0)</f>
        <v>0</v>
      </c>
      <c r="AD125" s="295">
        <f>IF(AD$6=$C125,IF(INDEX('Surface DEET'!$Q$9:$W$38,COLUMN(AD118)-COLUMN($E$5),1)&gt;0,INDEX('Surface DEET'!$Q$9:$W$38,COLUMN(AD118)-COLUMN($E$5),1),$E125),0)</f>
        <v>0</v>
      </c>
      <c r="AE125" s="295">
        <f>IF(AE$6=$C125,IF(INDEX('Surface DEET'!$Q$9:$W$38,COLUMN(AE118)-COLUMN($E$5),1)&gt;0,INDEX('Surface DEET'!$Q$9:$W$38,COLUMN(AE118)-COLUMN($E$5),1),$E125),0)</f>
        <v>0</v>
      </c>
      <c r="AF125" s="295">
        <f>IF(AF$6=$C125,IF(INDEX('Surface DEET'!$Q$9:$W$38,COLUMN(AF118)-COLUMN($E$5),1)&gt;0,INDEX('Surface DEET'!$Q$9:$W$38,COLUMN(AF118)-COLUMN($E$5),1),$E125),0)</f>
        <v>0</v>
      </c>
      <c r="AG125" s="295">
        <f>IF(AG$6=$C125,IF(INDEX('Surface DEET'!$Q$9:$W$38,COLUMN(AG118)-COLUMN($E$5),1)&gt;0,INDEX('Surface DEET'!$Q$9:$W$38,COLUMN(AG118)-COLUMN($E$5),1),$E125),0)</f>
        <v>0</v>
      </c>
      <c r="AH125" s="295">
        <f>IF(AH$6=$C125,IF(INDEX('Surface DEET'!$Q$9:$W$38,COLUMN(AH118)-COLUMN($E$5),1)&gt;0,INDEX('Surface DEET'!$Q$9:$W$38,COLUMN(AH118)-COLUMN($E$5),1),$E125),0)</f>
        <v>0</v>
      </c>
      <c r="AI125" s="295">
        <f>IF(AI$6=$C125,IF(INDEX('Surface DEET'!$Q$9:$W$38,COLUMN(AI118)-COLUMN($E$5),1)&gt;0,INDEX('Surface DEET'!$Q$9:$W$38,COLUMN(AI118)-COLUMN($E$5),1),$E125),0)</f>
        <v>0</v>
      </c>
    </row>
    <row r="126" spans="1:35">
      <c r="A126" s="520"/>
      <c r="B126" s="295" t="s">
        <v>549</v>
      </c>
      <c r="C126" s="32" t="s">
        <v>630</v>
      </c>
      <c r="D126" s="343" t="s">
        <v>599</v>
      </c>
      <c r="E126" s="295">
        <v>14</v>
      </c>
      <c r="F126" s="295">
        <f>IF(F$6=$C126,IF(INDEX('Surface DEET'!$Q$9:$W$38,COLUMN(F119)-COLUMN($E$5),4)&gt;0,INDEX('Surface DEET'!$Q$9:$W$38,COLUMN(F119)-COLUMN($E$5),4),$E126),0)</f>
        <v>0</v>
      </c>
      <c r="G126" s="295">
        <f>IF(G$6=$C126,IF(INDEX('Surface DEET'!$Q$9:$W$38,COLUMN(G119)-COLUMN($E$5),4)&gt;0,INDEX('Surface DEET'!$Q$9:$W$38,COLUMN(G119)-COLUMN($E$5),4),$E126),0)</f>
        <v>0</v>
      </c>
      <c r="H126" s="295">
        <f>IF(H$6=$C126,IF(INDEX('Surface DEET'!$Q$9:$W$38,COLUMN(H119)-COLUMN($E$5),4)&gt;0,INDEX('Surface DEET'!$Q$9:$W$38,COLUMN(H119)-COLUMN($E$5),4),$E126),0)</f>
        <v>0</v>
      </c>
      <c r="I126" s="295">
        <f>IF(I$6=$C126,IF(INDEX('Surface DEET'!$Q$9:$W$38,COLUMN(I119)-COLUMN($E$5),4)&gt;0,INDEX('Surface DEET'!$Q$9:$W$38,COLUMN(I119)-COLUMN($E$5),4),$E126),0)</f>
        <v>0</v>
      </c>
      <c r="J126" s="295">
        <f>IF(J$6=$C126,IF(INDEX('Surface DEET'!$Q$9:$W$38,COLUMN(J119)-COLUMN($E$5),4)&gt;0,INDEX('Surface DEET'!$Q$9:$W$38,COLUMN(J119)-COLUMN($E$5),4),$E126),0)</f>
        <v>0</v>
      </c>
      <c r="K126" s="295">
        <f>IF(K$6=$C126,IF(INDEX('Surface DEET'!$Q$9:$W$38,COLUMN(K119)-COLUMN($E$5),4)&gt;0,INDEX('Surface DEET'!$Q$9:$W$38,COLUMN(K119)-COLUMN($E$5),4),$E126),0)</f>
        <v>0</v>
      </c>
      <c r="L126" s="295">
        <f>IF(L$6=$C126,IF(INDEX('Surface DEET'!$Q$9:$W$38,COLUMN(L119)-COLUMN($E$5),4)&gt;0,INDEX('Surface DEET'!$Q$9:$W$38,COLUMN(L119)-COLUMN($E$5),4),$E126),0)</f>
        <v>0</v>
      </c>
      <c r="M126" s="295">
        <f>IF(M$6=$C126,IF(INDEX('Surface DEET'!$Q$9:$W$38,COLUMN(M119)-COLUMN($E$5),4)&gt;0,INDEX('Surface DEET'!$Q$9:$W$38,COLUMN(M119)-COLUMN($E$5),4),$E126),0)</f>
        <v>0</v>
      </c>
      <c r="N126" s="295">
        <f>IF(N$6=$C126,IF(INDEX('Surface DEET'!$Q$9:$W$38,COLUMN(N119)-COLUMN($E$5),4)&gt;0,INDEX('Surface DEET'!$Q$9:$W$38,COLUMN(N119)-COLUMN($E$5),4),$E126),0)</f>
        <v>0</v>
      </c>
      <c r="O126" s="295">
        <f>IF(O$6=$C126,IF(INDEX('Surface DEET'!$Q$9:$W$38,COLUMN(O119)-COLUMN($E$5),4)&gt;0,INDEX('Surface DEET'!$Q$9:$W$38,COLUMN(O119)-COLUMN($E$5),4),$E126),0)</f>
        <v>0</v>
      </c>
      <c r="P126" s="295">
        <f>IF(P$6=$C126,IF(INDEX('Surface DEET'!$Q$9:$W$38,COLUMN(P119)-COLUMN($E$5),4)&gt;0,INDEX('Surface DEET'!$Q$9:$W$38,COLUMN(P119)-COLUMN($E$5),4),$E126),0)</f>
        <v>0</v>
      </c>
      <c r="Q126" s="295">
        <f>IF(Q$6=$C126,IF(INDEX('Surface DEET'!$Q$9:$W$38,COLUMN(Q119)-COLUMN($E$5),4)&gt;0,INDEX('Surface DEET'!$Q$9:$W$38,COLUMN(Q119)-COLUMN($E$5),4),$E126),0)</f>
        <v>0</v>
      </c>
      <c r="R126" s="295">
        <f>IF(R$6=$C126,IF(INDEX('Surface DEET'!$Q$9:$W$38,COLUMN(R119)-COLUMN($E$5),4)&gt;0,INDEX('Surface DEET'!$Q$9:$W$38,COLUMN(R119)-COLUMN($E$5),4),$E126),0)</f>
        <v>0</v>
      </c>
      <c r="S126" s="295">
        <f>IF(S$6=$C126,IF(INDEX('Surface DEET'!$Q$9:$W$38,COLUMN(S119)-COLUMN($E$5),4)&gt;0,INDEX('Surface DEET'!$Q$9:$W$38,COLUMN(S119)-COLUMN($E$5),4),$E126),0)</f>
        <v>0</v>
      </c>
      <c r="T126" s="295">
        <f>IF(T$6=$C126,IF(INDEX('Surface DEET'!$Q$9:$W$38,COLUMN(T119)-COLUMN($E$5),4)&gt;0,INDEX('Surface DEET'!$Q$9:$W$38,COLUMN(T119)-COLUMN($E$5),4),$E126),0)</f>
        <v>0</v>
      </c>
      <c r="U126" s="295">
        <f>IF(U$6=$C126,IF(INDEX('Surface DEET'!$Q$9:$W$38,COLUMN(U119)-COLUMN($E$5),4)&gt;0,INDEX('Surface DEET'!$Q$9:$W$38,COLUMN(U119)-COLUMN($E$5),4),$E126),0)</f>
        <v>0</v>
      </c>
      <c r="V126" s="295">
        <f>IF(V$6=$C126,IF(INDEX('Surface DEET'!$Q$9:$W$38,COLUMN(V119)-COLUMN($E$5),4)&gt;0,INDEX('Surface DEET'!$Q$9:$W$38,COLUMN(V119)-COLUMN($E$5),4),$E126),0)</f>
        <v>0</v>
      </c>
      <c r="W126" s="295">
        <f>IF(W$6=$C126,IF(INDEX('Surface DEET'!$Q$9:$W$38,COLUMN(W119)-COLUMN($E$5),4)&gt;0,INDEX('Surface DEET'!$Q$9:$W$38,COLUMN(W119)-COLUMN($E$5),4),$E126),0)</f>
        <v>0</v>
      </c>
      <c r="X126" s="295">
        <f>IF(X$6=$C126,IF(INDEX('Surface DEET'!$Q$9:$W$38,COLUMN(X119)-COLUMN($E$5),4)&gt;0,INDEX('Surface DEET'!$Q$9:$W$38,COLUMN(X119)-COLUMN($E$5),4),$E126),0)</f>
        <v>0</v>
      </c>
      <c r="Y126" s="295">
        <f>IF(Y$6=$C126,IF(INDEX('Surface DEET'!$Q$9:$W$38,COLUMN(Y119)-COLUMN($E$5),4)&gt;0,INDEX('Surface DEET'!$Q$9:$W$38,COLUMN(Y119)-COLUMN($E$5),4),$E126),0)</f>
        <v>0</v>
      </c>
      <c r="Z126" s="295">
        <f>IF(Z$6=$C126,IF(INDEX('Surface DEET'!$Q$9:$W$38,COLUMN(Z119)-COLUMN($E$5),4)&gt;0,INDEX('Surface DEET'!$Q$9:$W$38,COLUMN(Z119)-COLUMN($E$5),4),$E126),0)</f>
        <v>0</v>
      </c>
      <c r="AA126" s="295">
        <f>IF(AA$6=$C126,IF(INDEX('Surface DEET'!$Q$9:$W$38,COLUMN(AA119)-COLUMN($E$5),4)&gt;0,INDEX('Surface DEET'!$Q$9:$W$38,COLUMN(AA119)-COLUMN($E$5),4),$E126),0)</f>
        <v>0</v>
      </c>
      <c r="AB126" s="295">
        <f>IF(AB$6=$C126,IF(INDEX('Surface DEET'!$Q$9:$W$38,COLUMN(AB119)-COLUMN($E$5),4)&gt;0,INDEX('Surface DEET'!$Q$9:$W$38,COLUMN(AB119)-COLUMN($E$5),4),$E126),0)</f>
        <v>0</v>
      </c>
      <c r="AC126" s="295">
        <f>IF(AC$6=$C126,IF(INDEX('Surface DEET'!$Q$9:$W$38,COLUMN(AC119)-COLUMN($E$5),4)&gt;0,INDEX('Surface DEET'!$Q$9:$W$38,COLUMN(AC119)-COLUMN($E$5),4),$E126),0)</f>
        <v>0</v>
      </c>
      <c r="AD126" s="295">
        <f>IF(AD$6=$C126,IF(INDEX('Surface DEET'!$Q$9:$W$38,COLUMN(AD119)-COLUMN($E$5),4)&gt;0,INDEX('Surface DEET'!$Q$9:$W$38,COLUMN(AD119)-COLUMN($E$5),4),$E126),0)</f>
        <v>0</v>
      </c>
      <c r="AE126" s="295">
        <f>IF(AE$6=$C126,IF(INDEX('Surface DEET'!$Q$9:$W$38,COLUMN(AE119)-COLUMN($E$5),4)&gt;0,INDEX('Surface DEET'!$Q$9:$W$38,COLUMN(AE119)-COLUMN($E$5),4),$E126),0)</f>
        <v>0</v>
      </c>
      <c r="AF126" s="295">
        <f>IF(AF$6=$C126,IF(INDEX('Surface DEET'!$Q$9:$W$38,COLUMN(AF119)-COLUMN($E$5),4)&gt;0,INDEX('Surface DEET'!$Q$9:$W$38,COLUMN(AF119)-COLUMN($E$5),4),$E126),0)</f>
        <v>0</v>
      </c>
      <c r="AG126" s="295">
        <f>IF(AG$6=$C126,IF(INDEX('Surface DEET'!$Q$9:$W$38,COLUMN(AG119)-COLUMN($E$5),4)&gt;0,INDEX('Surface DEET'!$Q$9:$W$38,COLUMN(AG119)-COLUMN($E$5),4),$E126),0)</f>
        <v>0</v>
      </c>
      <c r="AH126" s="295">
        <f>IF(AH$6=$C126,IF(INDEX('Surface DEET'!$Q$9:$W$38,COLUMN(AH119)-COLUMN($E$5),4)&gt;0,INDEX('Surface DEET'!$Q$9:$W$38,COLUMN(AH119)-COLUMN($E$5),4),$E126),0)</f>
        <v>0</v>
      </c>
      <c r="AI126" s="295">
        <f>IF(AI$6=$C126,IF(INDEX('Surface DEET'!$Q$9:$W$38,COLUMN(AI119)-COLUMN($E$5),4)&gt;0,INDEX('Surface DEET'!$Q$9:$W$38,COLUMN(AI119)-COLUMN($E$5),4),$E126),0)</f>
        <v>0</v>
      </c>
    </row>
    <row r="127" spans="1:35">
      <c r="A127" s="520"/>
      <c r="B127" s="295" t="s">
        <v>552</v>
      </c>
      <c r="C127" s="32" t="s">
        <v>630</v>
      </c>
      <c r="D127" s="343" t="s">
        <v>627</v>
      </c>
      <c r="E127" s="295">
        <v>90</v>
      </c>
      <c r="F127" s="295">
        <f>IF(F$6=$C127,IF(INDEX('Surface DEET'!$Q$9:$W$38,COLUMN(F120)-COLUMN($E$5),7)&gt;0,INDEX('Surface DEET'!$Q$9:$W$38,COLUMN(F120)-COLUMN($E$5),7),$E127),0)</f>
        <v>0</v>
      </c>
      <c r="G127" s="295">
        <f>IF(G$6=$C127,IF(INDEX('Surface DEET'!$Q$9:$W$38,COLUMN(G120)-COLUMN($E$5),7)&gt;0,INDEX('Surface DEET'!$Q$9:$W$38,COLUMN(G120)-COLUMN($E$5),7),$E127),0)</f>
        <v>0</v>
      </c>
      <c r="H127" s="295">
        <f>IF(H$6=$C127,IF(INDEX('Surface DEET'!$Q$9:$W$38,COLUMN(H120)-COLUMN($E$5),7)&gt;0,INDEX('Surface DEET'!$Q$9:$W$38,COLUMN(H120)-COLUMN($E$5),7),$E127),0)</f>
        <v>0</v>
      </c>
      <c r="I127" s="295">
        <f>IF(I$6=$C127,IF(INDEX('Surface DEET'!$Q$9:$W$38,COLUMN(I120)-COLUMN($E$5),7)&gt;0,INDEX('Surface DEET'!$Q$9:$W$38,COLUMN(I120)-COLUMN($E$5),7),$E127),0)</f>
        <v>0</v>
      </c>
      <c r="J127" s="295">
        <f>IF(J$6=$C127,IF(INDEX('Surface DEET'!$Q$9:$W$38,COLUMN(J120)-COLUMN($E$5),7)&gt;0,INDEX('Surface DEET'!$Q$9:$W$38,COLUMN(J120)-COLUMN($E$5),7),$E127),0)</f>
        <v>0</v>
      </c>
      <c r="K127" s="295">
        <f>IF(K$6=$C127,IF(INDEX('Surface DEET'!$Q$9:$W$38,COLUMN(K120)-COLUMN($E$5),7)&gt;0,INDEX('Surface DEET'!$Q$9:$W$38,COLUMN(K120)-COLUMN($E$5),7),$E127),0)</f>
        <v>0</v>
      </c>
      <c r="L127" s="295">
        <f>IF(L$6=$C127,IF(INDEX('Surface DEET'!$Q$9:$W$38,COLUMN(L120)-COLUMN($E$5),7)&gt;0,INDEX('Surface DEET'!$Q$9:$W$38,COLUMN(L120)-COLUMN($E$5),7),$E127),0)</f>
        <v>0</v>
      </c>
      <c r="M127" s="295">
        <f>IF(M$6=$C127,IF(INDEX('Surface DEET'!$Q$9:$W$38,COLUMN(M120)-COLUMN($E$5),7)&gt;0,INDEX('Surface DEET'!$Q$9:$W$38,COLUMN(M120)-COLUMN($E$5),7),$E127),0)</f>
        <v>0</v>
      </c>
      <c r="N127" s="295">
        <f>IF(N$6=$C127,IF(INDEX('Surface DEET'!$Q$9:$W$38,COLUMN(N120)-COLUMN($E$5),7)&gt;0,INDEX('Surface DEET'!$Q$9:$W$38,COLUMN(N120)-COLUMN($E$5),7),$E127),0)</f>
        <v>0</v>
      </c>
      <c r="O127" s="295">
        <f>IF(O$6=$C127,IF(INDEX('Surface DEET'!$Q$9:$W$38,COLUMN(O120)-COLUMN($E$5),7)&gt;0,INDEX('Surface DEET'!$Q$9:$W$38,COLUMN(O120)-COLUMN($E$5),7),$E127),0)</f>
        <v>0</v>
      </c>
      <c r="P127" s="295">
        <f>IF(P$6=$C127,IF(INDEX('Surface DEET'!$Q$9:$W$38,COLUMN(P120)-COLUMN($E$5),7)&gt;0,INDEX('Surface DEET'!$Q$9:$W$38,COLUMN(P120)-COLUMN($E$5),7),$E127),0)</f>
        <v>0</v>
      </c>
      <c r="Q127" s="295">
        <f>IF(Q$6=$C127,IF(INDEX('Surface DEET'!$Q$9:$W$38,COLUMN(Q120)-COLUMN($E$5),7)&gt;0,INDEX('Surface DEET'!$Q$9:$W$38,COLUMN(Q120)-COLUMN($E$5),7),$E127),0)</f>
        <v>0</v>
      </c>
      <c r="R127" s="295">
        <f>IF(R$6=$C127,IF(INDEX('Surface DEET'!$Q$9:$W$38,COLUMN(R120)-COLUMN($E$5),7)&gt;0,INDEX('Surface DEET'!$Q$9:$W$38,COLUMN(R120)-COLUMN($E$5),7),$E127),0)</f>
        <v>0</v>
      </c>
      <c r="S127" s="295">
        <f>IF(S$6=$C127,IF(INDEX('Surface DEET'!$Q$9:$W$38,COLUMN(S120)-COLUMN($E$5),7)&gt;0,INDEX('Surface DEET'!$Q$9:$W$38,COLUMN(S120)-COLUMN($E$5),7),$E127),0)</f>
        <v>0</v>
      </c>
      <c r="T127" s="295">
        <f>IF(T$6=$C127,IF(INDEX('Surface DEET'!$Q$9:$W$38,COLUMN(T120)-COLUMN($E$5),7)&gt;0,INDEX('Surface DEET'!$Q$9:$W$38,COLUMN(T120)-COLUMN($E$5),7),$E127),0)</f>
        <v>0</v>
      </c>
      <c r="U127" s="295">
        <f>IF(U$6=$C127,IF(INDEX('Surface DEET'!$Q$9:$W$38,COLUMN(U120)-COLUMN($E$5),7)&gt;0,INDEX('Surface DEET'!$Q$9:$W$38,COLUMN(U120)-COLUMN($E$5),7),$E127),0)</f>
        <v>0</v>
      </c>
      <c r="V127" s="295">
        <f>IF(V$6=$C127,IF(INDEX('Surface DEET'!$Q$9:$W$38,COLUMN(V120)-COLUMN($E$5),7)&gt;0,INDEX('Surface DEET'!$Q$9:$W$38,COLUMN(V120)-COLUMN($E$5),7),$E127),0)</f>
        <v>0</v>
      </c>
      <c r="W127" s="295">
        <f>IF(W$6=$C127,IF(INDEX('Surface DEET'!$Q$9:$W$38,COLUMN(W120)-COLUMN($E$5),7)&gt;0,INDEX('Surface DEET'!$Q$9:$W$38,COLUMN(W120)-COLUMN($E$5),7),$E127),0)</f>
        <v>0</v>
      </c>
      <c r="X127" s="295">
        <f>IF(X$6=$C127,IF(INDEX('Surface DEET'!$Q$9:$W$38,COLUMN(X120)-COLUMN($E$5),7)&gt;0,INDEX('Surface DEET'!$Q$9:$W$38,COLUMN(X120)-COLUMN($E$5),7),$E127),0)</f>
        <v>0</v>
      </c>
      <c r="Y127" s="295">
        <f>IF(Y$6=$C127,IF(INDEX('Surface DEET'!$Q$9:$W$38,COLUMN(Y120)-COLUMN($E$5),7)&gt;0,INDEX('Surface DEET'!$Q$9:$W$38,COLUMN(Y120)-COLUMN($E$5),7),$E127),0)</f>
        <v>0</v>
      </c>
      <c r="Z127" s="295">
        <f>IF(Z$6=$C127,IF(INDEX('Surface DEET'!$Q$9:$W$38,COLUMN(Z120)-COLUMN($E$5),7)&gt;0,INDEX('Surface DEET'!$Q$9:$W$38,COLUMN(Z120)-COLUMN($E$5),7),$E127),0)</f>
        <v>0</v>
      </c>
      <c r="AA127" s="295">
        <f>IF(AA$6=$C127,IF(INDEX('Surface DEET'!$Q$9:$W$38,COLUMN(AA120)-COLUMN($E$5),7)&gt;0,INDEX('Surface DEET'!$Q$9:$W$38,COLUMN(AA120)-COLUMN($E$5),7),$E127),0)</f>
        <v>0</v>
      </c>
      <c r="AB127" s="295">
        <f>IF(AB$6=$C127,IF(INDEX('Surface DEET'!$Q$9:$W$38,COLUMN(AB120)-COLUMN($E$5),7)&gt;0,INDEX('Surface DEET'!$Q$9:$W$38,COLUMN(AB120)-COLUMN($E$5),7),$E127),0)</f>
        <v>0</v>
      </c>
      <c r="AC127" s="295">
        <f>IF(AC$6=$C127,IF(INDEX('Surface DEET'!$Q$9:$W$38,COLUMN(AC120)-COLUMN($E$5),7)&gt;0,INDEX('Surface DEET'!$Q$9:$W$38,COLUMN(AC120)-COLUMN($E$5),7),$E127),0)</f>
        <v>0</v>
      </c>
      <c r="AD127" s="295">
        <f>IF(AD$6=$C127,IF(INDEX('Surface DEET'!$Q$9:$W$38,COLUMN(AD120)-COLUMN($E$5),7)&gt;0,INDEX('Surface DEET'!$Q$9:$W$38,COLUMN(AD120)-COLUMN($E$5),7),$E127),0)</f>
        <v>0</v>
      </c>
      <c r="AE127" s="295">
        <f>IF(AE$6=$C127,IF(INDEX('Surface DEET'!$Q$9:$W$38,COLUMN(AE120)-COLUMN($E$5),7)&gt;0,INDEX('Surface DEET'!$Q$9:$W$38,COLUMN(AE120)-COLUMN($E$5),7),$E127),0)</f>
        <v>0</v>
      </c>
      <c r="AF127" s="295">
        <f>IF(AF$6=$C127,IF(INDEX('Surface DEET'!$Q$9:$W$38,COLUMN(AF120)-COLUMN($E$5),7)&gt;0,INDEX('Surface DEET'!$Q$9:$W$38,COLUMN(AF120)-COLUMN($E$5),7),$E127),0)</f>
        <v>0</v>
      </c>
      <c r="AG127" s="295">
        <f>IF(AG$6=$C127,IF(INDEX('Surface DEET'!$Q$9:$W$38,COLUMN(AG120)-COLUMN($E$5),7)&gt;0,INDEX('Surface DEET'!$Q$9:$W$38,COLUMN(AG120)-COLUMN($E$5),7),$E127),0)</f>
        <v>0</v>
      </c>
      <c r="AH127" s="295">
        <f>IF(AH$6=$C127,IF(INDEX('Surface DEET'!$Q$9:$W$38,COLUMN(AH120)-COLUMN($E$5),7)&gt;0,INDEX('Surface DEET'!$Q$9:$W$38,COLUMN(AH120)-COLUMN($E$5),7),$E127),0)</f>
        <v>0</v>
      </c>
      <c r="AI127" s="295">
        <f>IF(AI$6=$C127,IF(INDEX('Surface DEET'!$Q$9:$W$38,COLUMN(AI120)-COLUMN($E$5),7)&gt;0,INDEX('Surface DEET'!$Q$9:$W$38,COLUMN(AI120)-COLUMN($E$5),7),$E127),0)</f>
        <v>0</v>
      </c>
    </row>
    <row r="128" spans="1:35">
      <c r="A128" s="520"/>
      <c r="B128" s="295" t="s">
        <v>542</v>
      </c>
      <c r="C128" s="32" t="s">
        <v>630</v>
      </c>
      <c r="D128" s="295" t="s">
        <v>542</v>
      </c>
      <c r="F128" s="295">
        <f>IFERROR($E$122*(F125/$E$125)*($E$124*(F127/$E$127)*($E$126/F126)+(1-$E$124))+0.28*$E$121*(F125-$E$125)/$E$125,0)</f>
        <v>0</v>
      </c>
      <c r="G128" s="295">
        <f t="shared" ref="G128:AI128" si="14">IFERROR($E$122*(G125/$E$125)*($E$124*(G127/$E$127)*($E$126/G126)+(1-$E$124))+0.28*$E$121*(G125-$E$125)/$E$125,0)</f>
        <v>0</v>
      </c>
      <c r="H128" s="295">
        <f t="shared" si="14"/>
        <v>0</v>
      </c>
      <c r="I128" s="295">
        <f t="shared" si="14"/>
        <v>0</v>
      </c>
      <c r="J128" s="295">
        <f t="shared" si="14"/>
        <v>0</v>
      </c>
      <c r="K128" s="295">
        <f t="shared" si="14"/>
        <v>0</v>
      </c>
      <c r="L128" s="295">
        <f t="shared" si="14"/>
        <v>0</v>
      </c>
      <c r="M128" s="295">
        <f t="shared" si="14"/>
        <v>0</v>
      </c>
      <c r="N128" s="295">
        <f t="shared" si="14"/>
        <v>0</v>
      </c>
      <c r="O128" s="295">
        <f t="shared" si="14"/>
        <v>0</v>
      </c>
      <c r="P128" s="295">
        <f t="shared" si="14"/>
        <v>0</v>
      </c>
      <c r="Q128" s="295">
        <f t="shared" si="14"/>
        <v>0</v>
      </c>
      <c r="R128" s="295">
        <f t="shared" si="14"/>
        <v>0</v>
      </c>
      <c r="S128" s="295">
        <f t="shared" si="14"/>
        <v>0</v>
      </c>
      <c r="T128" s="295">
        <f t="shared" si="14"/>
        <v>0</v>
      </c>
      <c r="U128" s="295">
        <f t="shared" si="14"/>
        <v>0</v>
      </c>
      <c r="V128" s="295">
        <f t="shared" si="14"/>
        <v>0</v>
      </c>
      <c r="W128" s="295">
        <f t="shared" si="14"/>
        <v>0</v>
      </c>
      <c r="X128" s="295">
        <f t="shared" si="14"/>
        <v>0</v>
      </c>
      <c r="Y128" s="295">
        <f t="shared" si="14"/>
        <v>0</v>
      </c>
      <c r="Z128" s="295">
        <f t="shared" si="14"/>
        <v>0</v>
      </c>
      <c r="AA128" s="295">
        <f t="shared" si="14"/>
        <v>0</v>
      </c>
      <c r="AB128" s="295">
        <f t="shared" si="14"/>
        <v>0</v>
      </c>
      <c r="AC128" s="295">
        <f t="shared" si="14"/>
        <v>0</v>
      </c>
      <c r="AD128" s="295">
        <f t="shared" si="14"/>
        <v>0</v>
      </c>
      <c r="AE128" s="295">
        <f t="shared" si="14"/>
        <v>0</v>
      </c>
      <c r="AF128" s="295">
        <f t="shared" si="14"/>
        <v>0</v>
      </c>
      <c r="AG128" s="295">
        <f t="shared" si="14"/>
        <v>0</v>
      </c>
      <c r="AH128" s="295">
        <f t="shared" si="14"/>
        <v>0</v>
      </c>
      <c r="AI128" s="295">
        <f t="shared" si="14"/>
        <v>0</v>
      </c>
    </row>
    <row r="129" spans="1:35">
      <c r="A129" s="520" t="s">
        <v>631</v>
      </c>
      <c r="B129" s="93" t="s">
        <v>301</v>
      </c>
      <c r="C129" s="32" t="s">
        <v>631</v>
      </c>
      <c r="D129" s="93" t="s">
        <v>301</v>
      </c>
      <c r="E129" s="295">
        <f t="array" ref="E129">INDEX(CABS_CVC!$C$3:$O$870,MATCH(1, (CABS_CVC!$A$3:$A$870=Calculs_CABS!C129)*(CABS_CVC!$B$3:$B$870=Calculs_CABS!$D$2),0),MATCH(Calculs_CABS!$D$1,Liste_CABS!$B$3:$B$15,0))</f>
        <v>95</v>
      </c>
    </row>
    <row r="130" spans="1:35">
      <c r="A130" s="520"/>
      <c r="B130" s="295" t="s">
        <v>543</v>
      </c>
      <c r="C130" s="32" t="s">
        <v>631</v>
      </c>
      <c r="D130" s="295" t="s">
        <v>543</v>
      </c>
      <c r="E130" s="295">
        <v>82</v>
      </c>
    </row>
    <row r="131" spans="1:35">
      <c r="A131" s="520"/>
      <c r="B131" s="295" t="s">
        <v>544</v>
      </c>
      <c r="C131" s="32" t="s">
        <v>631</v>
      </c>
      <c r="D131" s="295" t="s">
        <v>544</v>
      </c>
      <c r="E131" s="295">
        <f>E129+E130</f>
        <v>177</v>
      </c>
    </row>
    <row r="132" spans="1:35">
      <c r="A132" s="520"/>
      <c r="B132" s="295" t="s">
        <v>545</v>
      </c>
      <c r="C132" s="32" t="s">
        <v>631</v>
      </c>
      <c r="D132" s="295" t="s">
        <v>545</v>
      </c>
      <c r="E132" s="295">
        <v>0.63</v>
      </c>
    </row>
    <row r="133" spans="1:35">
      <c r="A133" s="520"/>
      <c r="B133" s="295" t="s">
        <v>546</v>
      </c>
      <c r="C133" s="32" t="s">
        <v>631</v>
      </c>
      <c r="D133" s="343" t="s">
        <v>609</v>
      </c>
      <c r="E133" s="295">
        <v>3510</v>
      </c>
      <c r="F133" s="295">
        <f>IF(F$6=$C133,IF(INDEX('Surface DEET'!$Q$9:$W$38,COLUMN(F126)-COLUMN($E$5),1)&gt;0,INDEX('Surface DEET'!$Q$9:$W$38,COLUMN(F126)-COLUMN($E$5),1),$E133),0)</f>
        <v>0</v>
      </c>
      <c r="G133" s="295">
        <f>IF(G$6=$C133,IF(INDEX('Surface DEET'!$Q$9:$W$38,COLUMN(G126)-COLUMN($E$5),1)&gt;0,INDEX('Surface DEET'!$Q$9:$W$38,COLUMN(G126)-COLUMN($E$5),1),$E133),0)</f>
        <v>0</v>
      </c>
      <c r="H133" s="295">
        <f>IF(H$6=$C133,IF(INDEX('Surface DEET'!$Q$9:$W$38,COLUMN(H126)-COLUMN($E$5),1)&gt;0,INDEX('Surface DEET'!$Q$9:$W$38,COLUMN(H126)-COLUMN($E$5),1),$E133),0)</f>
        <v>0</v>
      </c>
      <c r="I133" s="295">
        <f>IF(I$6=$C133,IF(INDEX('Surface DEET'!$Q$9:$W$38,COLUMN(I126)-COLUMN($E$5),1)&gt;0,INDEX('Surface DEET'!$Q$9:$W$38,COLUMN(I126)-COLUMN($E$5),1),$E133),0)</f>
        <v>0</v>
      </c>
      <c r="J133" s="295">
        <f>IF(J$6=$C133,IF(INDEX('Surface DEET'!$Q$9:$W$38,COLUMN(J126)-COLUMN($E$5),1)&gt;0,INDEX('Surface DEET'!$Q$9:$W$38,COLUMN(J126)-COLUMN($E$5),1),$E133),0)</f>
        <v>0</v>
      </c>
      <c r="K133" s="295">
        <f>IF(K$6=$C133,IF(INDEX('Surface DEET'!$Q$9:$W$38,COLUMN(K126)-COLUMN($E$5),1)&gt;0,INDEX('Surface DEET'!$Q$9:$W$38,COLUMN(K126)-COLUMN($E$5),1),$E133),0)</f>
        <v>0</v>
      </c>
      <c r="L133" s="295">
        <f>IF(L$6=$C133,IF(INDEX('Surface DEET'!$Q$9:$W$38,COLUMN(L126)-COLUMN($E$5),1)&gt;0,INDEX('Surface DEET'!$Q$9:$W$38,COLUMN(L126)-COLUMN($E$5),1),$E133),0)</f>
        <v>0</v>
      </c>
      <c r="M133" s="295">
        <f>IF(M$6=$C133,IF(INDEX('Surface DEET'!$Q$9:$W$38,COLUMN(M126)-COLUMN($E$5),1)&gt;0,INDEX('Surface DEET'!$Q$9:$W$38,COLUMN(M126)-COLUMN($E$5),1),$E133),0)</f>
        <v>0</v>
      </c>
      <c r="N133" s="295">
        <f>IF(N$6=$C133,IF(INDEX('Surface DEET'!$Q$9:$W$38,COLUMN(N126)-COLUMN($E$5),1)&gt;0,INDEX('Surface DEET'!$Q$9:$W$38,COLUMN(N126)-COLUMN($E$5),1),$E133),0)</f>
        <v>0</v>
      </c>
      <c r="O133" s="295">
        <f>IF(O$6=$C133,IF(INDEX('Surface DEET'!$Q$9:$W$38,COLUMN(O126)-COLUMN($E$5),1)&gt;0,INDEX('Surface DEET'!$Q$9:$W$38,COLUMN(O126)-COLUMN($E$5),1),$E133),0)</f>
        <v>0</v>
      </c>
      <c r="P133" s="295">
        <f>IF(P$6=$C133,IF(INDEX('Surface DEET'!$Q$9:$W$38,COLUMN(P126)-COLUMN($E$5),1)&gt;0,INDEX('Surface DEET'!$Q$9:$W$38,COLUMN(P126)-COLUMN($E$5),1),$E133),0)</f>
        <v>0</v>
      </c>
      <c r="Q133" s="295">
        <f>IF(Q$6=$C133,IF(INDEX('Surface DEET'!$Q$9:$W$38,COLUMN(Q126)-COLUMN($E$5),1)&gt;0,INDEX('Surface DEET'!$Q$9:$W$38,COLUMN(Q126)-COLUMN($E$5),1),$E133),0)</f>
        <v>0</v>
      </c>
      <c r="R133" s="295">
        <f>IF(R$6=$C133,IF(INDEX('Surface DEET'!$Q$9:$W$38,COLUMN(R126)-COLUMN($E$5),1)&gt;0,INDEX('Surface DEET'!$Q$9:$W$38,COLUMN(R126)-COLUMN($E$5),1),$E133),0)</f>
        <v>0</v>
      </c>
      <c r="S133" s="295">
        <f>IF(S$6=$C133,IF(INDEX('Surface DEET'!$Q$9:$W$38,COLUMN(S126)-COLUMN($E$5),1)&gt;0,INDEX('Surface DEET'!$Q$9:$W$38,COLUMN(S126)-COLUMN($E$5),1),$E133),0)</f>
        <v>0</v>
      </c>
      <c r="T133" s="295">
        <f>IF(T$6=$C133,IF(INDEX('Surface DEET'!$Q$9:$W$38,COLUMN(T126)-COLUMN($E$5),1)&gt;0,INDEX('Surface DEET'!$Q$9:$W$38,COLUMN(T126)-COLUMN($E$5),1),$E133),0)</f>
        <v>0</v>
      </c>
      <c r="U133" s="295">
        <f>IF(U$6=$C133,IF(INDEX('Surface DEET'!$Q$9:$W$38,COLUMN(U126)-COLUMN($E$5),1)&gt;0,INDEX('Surface DEET'!$Q$9:$W$38,COLUMN(U126)-COLUMN($E$5),1),$E133),0)</f>
        <v>0</v>
      </c>
      <c r="V133" s="295">
        <f>IF(V$6=$C133,IF(INDEX('Surface DEET'!$Q$9:$W$38,COLUMN(V126)-COLUMN($E$5),1)&gt;0,INDEX('Surface DEET'!$Q$9:$W$38,COLUMN(V126)-COLUMN($E$5),1),$E133),0)</f>
        <v>0</v>
      </c>
      <c r="W133" s="295">
        <f>IF(W$6=$C133,IF(INDEX('Surface DEET'!$Q$9:$W$38,COLUMN(W126)-COLUMN($E$5),1)&gt;0,INDEX('Surface DEET'!$Q$9:$W$38,COLUMN(W126)-COLUMN($E$5),1),$E133),0)</f>
        <v>0</v>
      </c>
      <c r="X133" s="295">
        <f>IF(X$6=$C133,IF(INDEX('Surface DEET'!$Q$9:$W$38,COLUMN(X126)-COLUMN($E$5),1)&gt;0,INDEX('Surface DEET'!$Q$9:$W$38,COLUMN(X126)-COLUMN($E$5),1),$E133),0)</f>
        <v>0</v>
      </c>
      <c r="Y133" s="295">
        <f>IF(Y$6=$C133,IF(INDEX('Surface DEET'!$Q$9:$W$38,COLUMN(Y126)-COLUMN($E$5),1)&gt;0,INDEX('Surface DEET'!$Q$9:$W$38,COLUMN(Y126)-COLUMN($E$5),1),$E133),0)</f>
        <v>0</v>
      </c>
      <c r="Z133" s="295">
        <f>IF(Z$6=$C133,IF(INDEX('Surface DEET'!$Q$9:$W$38,COLUMN(Z126)-COLUMN($E$5),1)&gt;0,INDEX('Surface DEET'!$Q$9:$W$38,COLUMN(Z126)-COLUMN($E$5),1),$E133),0)</f>
        <v>0</v>
      </c>
      <c r="AA133" s="295">
        <f>IF(AA$6=$C133,IF(INDEX('Surface DEET'!$Q$9:$W$38,COLUMN(AA126)-COLUMN($E$5),1)&gt;0,INDEX('Surface DEET'!$Q$9:$W$38,COLUMN(AA126)-COLUMN($E$5),1),$E133),0)</f>
        <v>0</v>
      </c>
      <c r="AB133" s="295">
        <f>IF(AB$6=$C133,IF(INDEX('Surface DEET'!$Q$9:$W$38,COLUMN(AB126)-COLUMN($E$5),1)&gt;0,INDEX('Surface DEET'!$Q$9:$W$38,COLUMN(AB126)-COLUMN($E$5),1),$E133),0)</f>
        <v>0</v>
      </c>
      <c r="AC133" s="295">
        <f>IF(AC$6=$C133,IF(INDEX('Surface DEET'!$Q$9:$W$38,COLUMN(AC126)-COLUMN($E$5),1)&gt;0,INDEX('Surface DEET'!$Q$9:$W$38,COLUMN(AC126)-COLUMN($E$5),1),$E133),0)</f>
        <v>0</v>
      </c>
      <c r="AD133" s="295">
        <f>IF(AD$6=$C133,IF(INDEX('Surface DEET'!$Q$9:$W$38,COLUMN(AD126)-COLUMN($E$5),1)&gt;0,INDEX('Surface DEET'!$Q$9:$W$38,COLUMN(AD126)-COLUMN($E$5),1),$E133),0)</f>
        <v>0</v>
      </c>
      <c r="AE133" s="295">
        <f>IF(AE$6=$C133,IF(INDEX('Surface DEET'!$Q$9:$W$38,COLUMN(AE126)-COLUMN($E$5),1)&gt;0,INDEX('Surface DEET'!$Q$9:$W$38,COLUMN(AE126)-COLUMN($E$5),1),$E133),0)</f>
        <v>0</v>
      </c>
      <c r="AF133" s="295">
        <f>IF(AF$6=$C133,IF(INDEX('Surface DEET'!$Q$9:$W$38,COLUMN(AF126)-COLUMN($E$5),1)&gt;0,INDEX('Surface DEET'!$Q$9:$W$38,COLUMN(AF126)-COLUMN($E$5),1),$E133),0)</f>
        <v>0</v>
      </c>
      <c r="AG133" s="295">
        <f>IF(AG$6=$C133,IF(INDEX('Surface DEET'!$Q$9:$W$38,COLUMN(AG126)-COLUMN($E$5),1)&gt;0,INDEX('Surface DEET'!$Q$9:$W$38,COLUMN(AG126)-COLUMN($E$5),1),$E133),0)</f>
        <v>0</v>
      </c>
      <c r="AH133" s="295">
        <f>IF(AH$6=$C133,IF(INDEX('Surface DEET'!$Q$9:$W$38,COLUMN(AH126)-COLUMN($E$5),1)&gt;0,INDEX('Surface DEET'!$Q$9:$W$38,COLUMN(AH126)-COLUMN($E$5),1),$E133),0)</f>
        <v>0</v>
      </c>
      <c r="AI133" s="295">
        <f>IF(AI$6=$C133,IF(INDEX('Surface DEET'!$Q$9:$W$38,COLUMN(AI126)-COLUMN($E$5),1)&gt;0,INDEX('Surface DEET'!$Q$9:$W$38,COLUMN(AI126)-COLUMN($E$5),1),$E133),0)</f>
        <v>0</v>
      </c>
    </row>
    <row r="134" spans="1:35">
      <c r="A134" s="520"/>
      <c r="B134" s="295" t="s">
        <v>549</v>
      </c>
      <c r="C134" s="32" t="s">
        <v>631</v>
      </c>
      <c r="D134" s="343" t="s">
        <v>599</v>
      </c>
      <c r="E134" s="295">
        <v>11</v>
      </c>
      <c r="F134" s="295">
        <f>IF(F$6=$C134,IF(INDEX('Surface DEET'!$Q$9:$W$38,COLUMN(F127)-COLUMN($E$5),4)&gt;0,INDEX('Surface DEET'!$Q$9:$W$38,COLUMN(F127)-COLUMN($E$5),4),$E134),0)</f>
        <v>0</v>
      </c>
      <c r="G134" s="295">
        <f>IF(G$6=$C134,IF(INDEX('Surface DEET'!$Q$9:$W$38,COLUMN(G127)-COLUMN($E$5),4)&gt;0,INDEX('Surface DEET'!$Q$9:$W$38,COLUMN(G127)-COLUMN($E$5),4),$E134),0)</f>
        <v>0</v>
      </c>
      <c r="H134" s="295">
        <f>IF(H$6=$C134,IF(INDEX('Surface DEET'!$Q$9:$W$38,COLUMN(H127)-COLUMN($E$5),4)&gt;0,INDEX('Surface DEET'!$Q$9:$W$38,COLUMN(H127)-COLUMN($E$5),4),$E134),0)</f>
        <v>0</v>
      </c>
      <c r="I134" s="295">
        <f>IF(I$6=$C134,IF(INDEX('Surface DEET'!$Q$9:$W$38,COLUMN(I127)-COLUMN($E$5),4)&gt;0,INDEX('Surface DEET'!$Q$9:$W$38,COLUMN(I127)-COLUMN($E$5),4),$E134),0)</f>
        <v>0</v>
      </c>
      <c r="J134" s="295">
        <f>IF(J$6=$C134,IF(INDEX('Surface DEET'!$Q$9:$W$38,COLUMN(J127)-COLUMN($E$5),4)&gt;0,INDEX('Surface DEET'!$Q$9:$W$38,COLUMN(J127)-COLUMN($E$5),4),$E134),0)</f>
        <v>0</v>
      </c>
      <c r="K134" s="295">
        <f>IF(K$6=$C134,IF(INDEX('Surface DEET'!$Q$9:$W$38,COLUMN(K127)-COLUMN($E$5),4)&gt;0,INDEX('Surface DEET'!$Q$9:$W$38,COLUMN(K127)-COLUMN($E$5),4),$E134),0)</f>
        <v>0</v>
      </c>
      <c r="L134" s="295">
        <f>IF(L$6=$C134,IF(INDEX('Surface DEET'!$Q$9:$W$38,COLUMN(L127)-COLUMN($E$5),4)&gt;0,INDEX('Surface DEET'!$Q$9:$W$38,COLUMN(L127)-COLUMN($E$5),4),$E134),0)</f>
        <v>0</v>
      </c>
      <c r="M134" s="295">
        <f>IF(M$6=$C134,IF(INDEX('Surface DEET'!$Q$9:$W$38,COLUMN(M127)-COLUMN($E$5),4)&gt;0,INDEX('Surface DEET'!$Q$9:$W$38,COLUMN(M127)-COLUMN($E$5),4),$E134),0)</f>
        <v>0</v>
      </c>
      <c r="N134" s="295">
        <f>IF(N$6=$C134,IF(INDEX('Surface DEET'!$Q$9:$W$38,COLUMN(N127)-COLUMN($E$5),4)&gt;0,INDEX('Surface DEET'!$Q$9:$W$38,COLUMN(N127)-COLUMN($E$5),4),$E134),0)</f>
        <v>0</v>
      </c>
      <c r="O134" s="295">
        <f>IF(O$6=$C134,IF(INDEX('Surface DEET'!$Q$9:$W$38,COLUMN(O127)-COLUMN($E$5),4)&gt;0,INDEX('Surface DEET'!$Q$9:$W$38,COLUMN(O127)-COLUMN($E$5),4),$E134),0)</f>
        <v>0</v>
      </c>
      <c r="P134" s="295">
        <f>IF(P$6=$C134,IF(INDEX('Surface DEET'!$Q$9:$W$38,COLUMN(P127)-COLUMN($E$5),4)&gt;0,INDEX('Surface DEET'!$Q$9:$W$38,COLUMN(P127)-COLUMN($E$5),4),$E134),0)</f>
        <v>0</v>
      </c>
      <c r="Q134" s="295">
        <f>IF(Q$6=$C134,IF(INDEX('Surface DEET'!$Q$9:$W$38,COLUMN(Q127)-COLUMN($E$5),4)&gt;0,INDEX('Surface DEET'!$Q$9:$W$38,COLUMN(Q127)-COLUMN($E$5),4),$E134),0)</f>
        <v>0</v>
      </c>
      <c r="R134" s="295">
        <f>IF(R$6=$C134,IF(INDEX('Surface DEET'!$Q$9:$W$38,COLUMN(R127)-COLUMN($E$5),4)&gt;0,INDEX('Surface DEET'!$Q$9:$W$38,COLUMN(R127)-COLUMN($E$5),4),$E134),0)</f>
        <v>0</v>
      </c>
      <c r="S134" s="295">
        <f>IF(S$6=$C134,IF(INDEX('Surface DEET'!$Q$9:$W$38,COLUMN(S127)-COLUMN($E$5),4)&gt;0,INDEX('Surface DEET'!$Q$9:$W$38,COLUMN(S127)-COLUMN($E$5),4),$E134),0)</f>
        <v>0</v>
      </c>
      <c r="T134" s="295">
        <f>IF(T$6=$C134,IF(INDEX('Surface DEET'!$Q$9:$W$38,COLUMN(T127)-COLUMN($E$5),4)&gt;0,INDEX('Surface DEET'!$Q$9:$W$38,COLUMN(T127)-COLUMN($E$5),4),$E134),0)</f>
        <v>0</v>
      </c>
      <c r="U134" s="295">
        <f>IF(U$6=$C134,IF(INDEX('Surface DEET'!$Q$9:$W$38,COLUMN(U127)-COLUMN($E$5),4)&gt;0,INDEX('Surface DEET'!$Q$9:$W$38,COLUMN(U127)-COLUMN($E$5),4),$E134),0)</f>
        <v>0</v>
      </c>
      <c r="V134" s="295">
        <f>IF(V$6=$C134,IF(INDEX('Surface DEET'!$Q$9:$W$38,COLUMN(V127)-COLUMN($E$5),4)&gt;0,INDEX('Surface DEET'!$Q$9:$W$38,COLUMN(V127)-COLUMN($E$5),4),$E134),0)</f>
        <v>0</v>
      </c>
      <c r="W134" s="295">
        <f>IF(W$6=$C134,IF(INDEX('Surface DEET'!$Q$9:$W$38,COLUMN(W127)-COLUMN($E$5),4)&gt;0,INDEX('Surface DEET'!$Q$9:$W$38,COLUMN(W127)-COLUMN($E$5),4),$E134),0)</f>
        <v>0</v>
      </c>
      <c r="X134" s="295">
        <f>IF(X$6=$C134,IF(INDEX('Surface DEET'!$Q$9:$W$38,COLUMN(X127)-COLUMN($E$5),4)&gt;0,INDEX('Surface DEET'!$Q$9:$W$38,COLUMN(X127)-COLUMN($E$5),4),$E134),0)</f>
        <v>0</v>
      </c>
      <c r="Y134" s="295">
        <f>IF(Y$6=$C134,IF(INDEX('Surface DEET'!$Q$9:$W$38,COLUMN(Y127)-COLUMN($E$5),4)&gt;0,INDEX('Surface DEET'!$Q$9:$W$38,COLUMN(Y127)-COLUMN($E$5),4),$E134),0)</f>
        <v>0</v>
      </c>
      <c r="Z134" s="295">
        <f>IF(Z$6=$C134,IF(INDEX('Surface DEET'!$Q$9:$W$38,COLUMN(Z127)-COLUMN($E$5),4)&gt;0,INDEX('Surface DEET'!$Q$9:$W$38,COLUMN(Z127)-COLUMN($E$5),4),$E134),0)</f>
        <v>0</v>
      </c>
      <c r="AA134" s="295">
        <f>IF(AA$6=$C134,IF(INDEX('Surface DEET'!$Q$9:$W$38,COLUMN(AA127)-COLUMN($E$5),4)&gt;0,INDEX('Surface DEET'!$Q$9:$W$38,COLUMN(AA127)-COLUMN($E$5),4),$E134),0)</f>
        <v>0</v>
      </c>
      <c r="AB134" s="295">
        <f>IF(AB$6=$C134,IF(INDEX('Surface DEET'!$Q$9:$W$38,COLUMN(AB127)-COLUMN($E$5),4)&gt;0,INDEX('Surface DEET'!$Q$9:$W$38,COLUMN(AB127)-COLUMN($E$5),4),$E134),0)</f>
        <v>0</v>
      </c>
      <c r="AC134" s="295">
        <f>IF(AC$6=$C134,IF(INDEX('Surface DEET'!$Q$9:$W$38,COLUMN(AC127)-COLUMN($E$5),4)&gt;0,INDEX('Surface DEET'!$Q$9:$W$38,COLUMN(AC127)-COLUMN($E$5),4),$E134),0)</f>
        <v>0</v>
      </c>
      <c r="AD134" s="295">
        <f>IF(AD$6=$C134,IF(INDEX('Surface DEET'!$Q$9:$W$38,COLUMN(AD127)-COLUMN($E$5),4)&gt;0,INDEX('Surface DEET'!$Q$9:$W$38,COLUMN(AD127)-COLUMN($E$5),4),$E134),0)</f>
        <v>0</v>
      </c>
      <c r="AE134" s="295">
        <f>IF(AE$6=$C134,IF(INDEX('Surface DEET'!$Q$9:$W$38,COLUMN(AE127)-COLUMN($E$5),4)&gt;0,INDEX('Surface DEET'!$Q$9:$W$38,COLUMN(AE127)-COLUMN($E$5),4),$E134),0)</f>
        <v>0</v>
      </c>
      <c r="AF134" s="295">
        <f>IF(AF$6=$C134,IF(INDEX('Surface DEET'!$Q$9:$W$38,COLUMN(AF127)-COLUMN($E$5),4)&gt;0,INDEX('Surface DEET'!$Q$9:$W$38,COLUMN(AF127)-COLUMN($E$5),4),$E134),0)</f>
        <v>0</v>
      </c>
      <c r="AG134" s="295">
        <f>IF(AG$6=$C134,IF(INDEX('Surface DEET'!$Q$9:$W$38,COLUMN(AG127)-COLUMN($E$5),4)&gt;0,INDEX('Surface DEET'!$Q$9:$W$38,COLUMN(AG127)-COLUMN($E$5),4),$E134),0)</f>
        <v>0</v>
      </c>
      <c r="AH134" s="295">
        <f>IF(AH$6=$C134,IF(INDEX('Surface DEET'!$Q$9:$W$38,COLUMN(AH127)-COLUMN($E$5),4)&gt;0,INDEX('Surface DEET'!$Q$9:$W$38,COLUMN(AH127)-COLUMN($E$5),4),$E134),0)</f>
        <v>0</v>
      </c>
      <c r="AI134" s="295">
        <f>IF(AI$6=$C134,IF(INDEX('Surface DEET'!$Q$9:$W$38,COLUMN(AI127)-COLUMN($E$5),4)&gt;0,INDEX('Surface DEET'!$Q$9:$W$38,COLUMN(AI127)-COLUMN($E$5),4),$E134),0)</f>
        <v>0</v>
      </c>
    </row>
    <row r="135" spans="1:35">
      <c r="A135" s="520"/>
      <c r="B135" s="295" t="s">
        <v>552</v>
      </c>
      <c r="C135" s="32" t="s">
        <v>631</v>
      </c>
      <c r="D135" s="343" t="s">
        <v>627</v>
      </c>
      <c r="E135" s="295">
        <v>90</v>
      </c>
      <c r="F135" s="295">
        <f>IF(F$6=$C135,IF(INDEX('Surface DEET'!$Q$9:$W$38,COLUMN(F128)-COLUMN($E$5),7)&gt;0,INDEX('Surface DEET'!$Q$9:$W$38,COLUMN(F128)-COLUMN($E$5),7),$E135),0)</f>
        <v>0</v>
      </c>
      <c r="G135" s="295">
        <f>IF(G$6=$C135,IF(INDEX('Surface DEET'!$Q$9:$W$38,COLUMN(G128)-COLUMN($E$5),7)&gt;0,INDEX('Surface DEET'!$Q$9:$W$38,COLUMN(G128)-COLUMN($E$5),7),$E135),0)</f>
        <v>0</v>
      </c>
      <c r="H135" s="295">
        <f>IF(H$6=$C135,IF(INDEX('Surface DEET'!$Q$9:$W$38,COLUMN(H128)-COLUMN($E$5),7)&gt;0,INDEX('Surface DEET'!$Q$9:$W$38,COLUMN(H128)-COLUMN($E$5),7),$E135),0)</f>
        <v>0</v>
      </c>
      <c r="I135" s="295">
        <f>IF(I$6=$C135,IF(INDEX('Surface DEET'!$Q$9:$W$38,COLUMN(I128)-COLUMN($E$5),7)&gt;0,INDEX('Surface DEET'!$Q$9:$W$38,COLUMN(I128)-COLUMN($E$5),7),$E135),0)</f>
        <v>0</v>
      </c>
      <c r="J135" s="295">
        <f>IF(J$6=$C135,IF(INDEX('Surface DEET'!$Q$9:$W$38,COLUMN(J128)-COLUMN($E$5),7)&gt;0,INDEX('Surface DEET'!$Q$9:$W$38,COLUMN(J128)-COLUMN($E$5),7),$E135),0)</f>
        <v>0</v>
      </c>
      <c r="K135" s="295">
        <f>IF(K$6=$C135,IF(INDEX('Surface DEET'!$Q$9:$W$38,COLUMN(K128)-COLUMN($E$5),7)&gt;0,INDEX('Surface DEET'!$Q$9:$W$38,COLUMN(K128)-COLUMN($E$5),7),$E135),0)</f>
        <v>0</v>
      </c>
      <c r="L135" s="295">
        <f>IF(L$6=$C135,IF(INDEX('Surface DEET'!$Q$9:$W$38,COLUMN(L128)-COLUMN($E$5),7)&gt;0,INDEX('Surface DEET'!$Q$9:$W$38,COLUMN(L128)-COLUMN($E$5),7),$E135),0)</f>
        <v>0</v>
      </c>
      <c r="M135" s="295">
        <f>IF(M$6=$C135,IF(INDEX('Surface DEET'!$Q$9:$W$38,COLUMN(M128)-COLUMN($E$5),7)&gt;0,INDEX('Surface DEET'!$Q$9:$W$38,COLUMN(M128)-COLUMN($E$5),7),$E135),0)</f>
        <v>0</v>
      </c>
      <c r="N135" s="295">
        <f>IF(N$6=$C135,IF(INDEX('Surface DEET'!$Q$9:$W$38,COLUMN(N128)-COLUMN($E$5),7)&gt;0,INDEX('Surface DEET'!$Q$9:$W$38,COLUMN(N128)-COLUMN($E$5),7),$E135),0)</f>
        <v>0</v>
      </c>
      <c r="O135" s="295">
        <f>IF(O$6=$C135,IF(INDEX('Surface DEET'!$Q$9:$W$38,COLUMN(O128)-COLUMN($E$5),7)&gt;0,INDEX('Surface DEET'!$Q$9:$W$38,COLUMN(O128)-COLUMN($E$5),7),$E135),0)</f>
        <v>0</v>
      </c>
      <c r="P135" s="295">
        <f>IF(P$6=$C135,IF(INDEX('Surface DEET'!$Q$9:$W$38,COLUMN(P128)-COLUMN($E$5),7)&gt;0,INDEX('Surface DEET'!$Q$9:$W$38,COLUMN(P128)-COLUMN($E$5),7),$E135),0)</f>
        <v>0</v>
      </c>
      <c r="Q135" s="295">
        <f>IF(Q$6=$C135,IF(INDEX('Surface DEET'!$Q$9:$W$38,COLUMN(Q128)-COLUMN($E$5),7)&gt;0,INDEX('Surface DEET'!$Q$9:$W$38,COLUMN(Q128)-COLUMN($E$5),7),$E135),0)</f>
        <v>0</v>
      </c>
      <c r="R135" s="295">
        <f>IF(R$6=$C135,IF(INDEX('Surface DEET'!$Q$9:$W$38,COLUMN(R128)-COLUMN($E$5),7)&gt;0,INDEX('Surface DEET'!$Q$9:$W$38,COLUMN(R128)-COLUMN($E$5),7),$E135),0)</f>
        <v>0</v>
      </c>
      <c r="S135" s="295">
        <f>IF(S$6=$C135,IF(INDEX('Surface DEET'!$Q$9:$W$38,COLUMN(S128)-COLUMN($E$5),7)&gt;0,INDEX('Surface DEET'!$Q$9:$W$38,COLUMN(S128)-COLUMN($E$5),7),$E135),0)</f>
        <v>0</v>
      </c>
      <c r="T135" s="295">
        <f>IF(T$6=$C135,IF(INDEX('Surface DEET'!$Q$9:$W$38,COLUMN(T128)-COLUMN($E$5),7)&gt;0,INDEX('Surface DEET'!$Q$9:$W$38,COLUMN(T128)-COLUMN($E$5),7),$E135),0)</f>
        <v>0</v>
      </c>
      <c r="U135" s="295">
        <f>IF(U$6=$C135,IF(INDEX('Surface DEET'!$Q$9:$W$38,COLUMN(U128)-COLUMN($E$5),7)&gt;0,INDEX('Surface DEET'!$Q$9:$W$38,COLUMN(U128)-COLUMN($E$5),7),$E135),0)</f>
        <v>0</v>
      </c>
      <c r="V135" s="295">
        <f>IF(V$6=$C135,IF(INDEX('Surface DEET'!$Q$9:$W$38,COLUMN(V128)-COLUMN($E$5),7)&gt;0,INDEX('Surface DEET'!$Q$9:$W$38,COLUMN(V128)-COLUMN($E$5),7),$E135),0)</f>
        <v>0</v>
      </c>
      <c r="W135" s="295">
        <f>IF(W$6=$C135,IF(INDEX('Surface DEET'!$Q$9:$W$38,COLUMN(W128)-COLUMN($E$5),7)&gt;0,INDEX('Surface DEET'!$Q$9:$W$38,COLUMN(W128)-COLUMN($E$5),7),$E135),0)</f>
        <v>0</v>
      </c>
      <c r="X135" s="295">
        <f>IF(X$6=$C135,IF(INDEX('Surface DEET'!$Q$9:$W$38,COLUMN(X128)-COLUMN($E$5),7)&gt;0,INDEX('Surface DEET'!$Q$9:$W$38,COLUMN(X128)-COLUMN($E$5),7),$E135),0)</f>
        <v>0</v>
      </c>
      <c r="Y135" s="295">
        <f>IF(Y$6=$C135,IF(INDEX('Surface DEET'!$Q$9:$W$38,COLUMN(Y128)-COLUMN($E$5),7)&gt;0,INDEX('Surface DEET'!$Q$9:$W$38,COLUMN(Y128)-COLUMN($E$5),7),$E135),0)</f>
        <v>0</v>
      </c>
      <c r="Z135" s="295">
        <f>IF(Z$6=$C135,IF(INDEX('Surface DEET'!$Q$9:$W$38,COLUMN(Z128)-COLUMN($E$5),7)&gt;0,INDEX('Surface DEET'!$Q$9:$W$38,COLUMN(Z128)-COLUMN($E$5),7),$E135),0)</f>
        <v>0</v>
      </c>
      <c r="AA135" s="295">
        <f>IF(AA$6=$C135,IF(INDEX('Surface DEET'!$Q$9:$W$38,COLUMN(AA128)-COLUMN($E$5),7)&gt;0,INDEX('Surface DEET'!$Q$9:$W$38,COLUMN(AA128)-COLUMN($E$5),7),$E135),0)</f>
        <v>0</v>
      </c>
      <c r="AB135" s="295">
        <f>IF(AB$6=$C135,IF(INDEX('Surface DEET'!$Q$9:$W$38,COLUMN(AB128)-COLUMN($E$5),7)&gt;0,INDEX('Surface DEET'!$Q$9:$W$38,COLUMN(AB128)-COLUMN($E$5),7),$E135),0)</f>
        <v>0</v>
      </c>
      <c r="AC135" s="295">
        <f>IF(AC$6=$C135,IF(INDEX('Surface DEET'!$Q$9:$W$38,COLUMN(AC128)-COLUMN($E$5),7)&gt;0,INDEX('Surface DEET'!$Q$9:$W$38,COLUMN(AC128)-COLUMN($E$5),7),$E135),0)</f>
        <v>0</v>
      </c>
      <c r="AD135" s="295">
        <f>IF(AD$6=$C135,IF(INDEX('Surface DEET'!$Q$9:$W$38,COLUMN(AD128)-COLUMN($E$5),7)&gt;0,INDEX('Surface DEET'!$Q$9:$W$38,COLUMN(AD128)-COLUMN($E$5),7),$E135),0)</f>
        <v>0</v>
      </c>
      <c r="AE135" s="295">
        <f>IF(AE$6=$C135,IF(INDEX('Surface DEET'!$Q$9:$W$38,COLUMN(AE128)-COLUMN($E$5),7)&gt;0,INDEX('Surface DEET'!$Q$9:$W$38,COLUMN(AE128)-COLUMN($E$5),7),$E135),0)</f>
        <v>0</v>
      </c>
      <c r="AF135" s="295">
        <f>IF(AF$6=$C135,IF(INDEX('Surface DEET'!$Q$9:$W$38,COLUMN(AF128)-COLUMN($E$5),7)&gt;0,INDEX('Surface DEET'!$Q$9:$W$38,COLUMN(AF128)-COLUMN($E$5),7),$E135),0)</f>
        <v>0</v>
      </c>
      <c r="AG135" s="295">
        <f>IF(AG$6=$C135,IF(INDEX('Surface DEET'!$Q$9:$W$38,COLUMN(AG128)-COLUMN($E$5),7)&gt;0,INDEX('Surface DEET'!$Q$9:$W$38,COLUMN(AG128)-COLUMN($E$5),7),$E135),0)</f>
        <v>0</v>
      </c>
      <c r="AH135" s="295">
        <f>IF(AH$6=$C135,IF(INDEX('Surface DEET'!$Q$9:$W$38,COLUMN(AH128)-COLUMN($E$5),7)&gt;0,INDEX('Surface DEET'!$Q$9:$W$38,COLUMN(AH128)-COLUMN($E$5),7),$E135),0)</f>
        <v>0</v>
      </c>
      <c r="AI135" s="295">
        <f>IF(AI$6=$C135,IF(INDEX('Surface DEET'!$Q$9:$W$38,COLUMN(AI128)-COLUMN($E$5),7)&gt;0,INDEX('Surface DEET'!$Q$9:$W$38,COLUMN(AI128)-COLUMN($E$5),7),$E135),0)</f>
        <v>0</v>
      </c>
    </row>
    <row r="136" spans="1:35">
      <c r="A136" s="520"/>
      <c r="B136" s="295" t="s">
        <v>542</v>
      </c>
      <c r="C136" s="32" t="s">
        <v>631</v>
      </c>
      <c r="D136" s="295" t="s">
        <v>542</v>
      </c>
      <c r="F136" s="295">
        <f>IFERROR($E$130*(F133/$E$133)*($E$132*(F135/$E$135)*($E$134/F134)+(1-$E$132))+0.28*$E$129*(F133-$E$133)/$E$133,0)</f>
        <v>0</v>
      </c>
      <c r="G136" s="295">
        <f t="shared" ref="G136:AI136" si="15">IFERROR($E$130*(G133/$E$133)*($E$132*(G135/$E$135)*($E$134/G134)+(1-$E$132))+0.28*$E$129*(G133-$E$133)/$E$133,0)</f>
        <v>0</v>
      </c>
      <c r="H136" s="295">
        <f t="shared" si="15"/>
        <v>0</v>
      </c>
      <c r="I136" s="295">
        <f t="shared" si="15"/>
        <v>0</v>
      </c>
      <c r="J136" s="295">
        <f t="shared" si="15"/>
        <v>0</v>
      </c>
      <c r="K136" s="295">
        <f t="shared" si="15"/>
        <v>0</v>
      </c>
      <c r="L136" s="295">
        <f t="shared" si="15"/>
        <v>0</v>
      </c>
      <c r="M136" s="295">
        <f t="shared" si="15"/>
        <v>0</v>
      </c>
      <c r="N136" s="295">
        <f t="shared" si="15"/>
        <v>0</v>
      </c>
      <c r="O136" s="295">
        <f t="shared" si="15"/>
        <v>0</v>
      </c>
      <c r="P136" s="295">
        <f t="shared" si="15"/>
        <v>0</v>
      </c>
      <c r="Q136" s="295">
        <f t="shared" si="15"/>
        <v>0</v>
      </c>
      <c r="R136" s="295">
        <f t="shared" si="15"/>
        <v>0</v>
      </c>
      <c r="S136" s="295">
        <f t="shared" si="15"/>
        <v>0</v>
      </c>
      <c r="T136" s="295">
        <f t="shared" si="15"/>
        <v>0</v>
      </c>
      <c r="U136" s="295">
        <f t="shared" si="15"/>
        <v>0</v>
      </c>
      <c r="V136" s="295">
        <f t="shared" si="15"/>
        <v>0</v>
      </c>
      <c r="W136" s="295">
        <f t="shared" si="15"/>
        <v>0</v>
      </c>
      <c r="X136" s="295">
        <f t="shared" si="15"/>
        <v>0</v>
      </c>
      <c r="Y136" s="295">
        <f t="shared" si="15"/>
        <v>0</v>
      </c>
      <c r="Z136" s="295">
        <f t="shared" si="15"/>
        <v>0</v>
      </c>
      <c r="AA136" s="295">
        <f t="shared" si="15"/>
        <v>0</v>
      </c>
      <c r="AB136" s="295">
        <f t="shared" si="15"/>
        <v>0</v>
      </c>
      <c r="AC136" s="295">
        <f t="shared" si="15"/>
        <v>0</v>
      </c>
      <c r="AD136" s="295">
        <f t="shared" si="15"/>
        <v>0</v>
      </c>
      <c r="AE136" s="295">
        <f t="shared" si="15"/>
        <v>0</v>
      </c>
      <c r="AF136" s="295">
        <f t="shared" si="15"/>
        <v>0</v>
      </c>
      <c r="AG136" s="295">
        <f t="shared" si="15"/>
        <v>0</v>
      </c>
      <c r="AH136" s="295">
        <f t="shared" si="15"/>
        <v>0</v>
      </c>
      <c r="AI136" s="295">
        <f t="shared" si="15"/>
        <v>0</v>
      </c>
    </row>
    <row r="137" spans="1:35">
      <c r="A137" s="520" t="s">
        <v>632</v>
      </c>
      <c r="B137" s="93" t="s">
        <v>301</v>
      </c>
      <c r="C137" s="32" t="s">
        <v>632</v>
      </c>
      <c r="D137" s="93" t="s">
        <v>301</v>
      </c>
      <c r="E137" s="295">
        <f t="array" ref="E137">INDEX(CABS_CVC!$C$3:$O$894,MATCH(1, (CABS_CVC!$A$3:$A$894=Calculs_CABS!C137)*(CABS_CVC!$B$3:$B$894=Calculs_CABS!$D$2),0),MATCH(Calculs_CABS!$D$1,Liste_CABS!$B$3:$B$15,0))</f>
        <v>50</v>
      </c>
    </row>
    <row r="138" spans="1:35">
      <c r="A138" s="520"/>
      <c r="B138" s="295" t="s">
        <v>543</v>
      </c>
      <c r="C138" s="32" t="s">
        <v>632</v>
      </c>
      <c r="D138" s="295" t="s">
        <v>543</v>
      </c>
      <c r="E138" s="346">
        <v>22</v>
      </c>
    </row>
    <row r="139" spans="1:35">
      <c r="A139" s="520"/>
      <c r="B139" s="295" t="s">
        <v>544</v>
      </c>
      <c r="C139" s="32" t="s">
        <v>632</v>
      </c>
      <c r="D139" s="295" t="s">
        <v>544</v>
      </c>
      <c r="E139" s="295">
        <f>E137+E138</f>
        <v>72</v>
      </c>
    </row>
    <row r="140" spans="1:35">
      <c r="A140" s="520"/>
      <c r="B140" s="295" t="s">
        <v>545</v>
      </c>
      <c r="C140" s="32" t="s">
        <v>632</v>
      </c>
      <c r="D140" s="295" t="s">
        <v>545</v>
      </c>
      <c r="E140" s="295">
        <v>0</v>
      </c>
    </row>
    <row r="141" spans="1:35">
      <c r="A141" s="520"/>
      <c r="B141" s="295" t="s">
        <v>546</v>
      </c>
      <c r="C141" s="32" t="s">
        <v>632</v>
      </c>
      <c r="D141" s="343" t="s">
        <v>592</v>
      </c>
      <c r="E141" s="295">
        <v>3510</v>
      </c>
      <c r="F141" s="295">
        <f>IF(F$6=$C141,IF(INDEX('Surface DEET'!$Q$9:$W$38,COLUMN(F134)-COLUMN($E$5),1)&gt;0,INDEX('Surface DEET'!$Q$9:$W$38,COLUMN(F134)-COLUMN($E$5),1),$E141),0)</f>
        <v>0</v>
      </c>
      <c r="G141" s="295">
        <f>IF(G$6=$C141,IF(INDEX('Surface DEET'!$Q$9:$W$38,COLUMN(G134)-COLUMN($E$5),1)&gt;0,INDEX('Surface DEET'!$Q$9:$W$38,COLUMN(G134)-COLUMN($E$5),1),$E141),0)</f>
        <v>0</v>
      </c>
      <c r="H141" s="295">
        <f>IF(H$6=$C141,IF(INDEX('Surface DEET'!$Q$9:$W$38,COLUMN(H134)-COLUMN($E$5),1)&gt;0,INDEX('Surface DEET'!$Q$9:$W$38,COLUMN(H134)-COLUMN($E$5),1),$E141),0)</f>
        <v>0</v>
      </c>
      <c r="I141" s="295">
        <f>IF(I$6=$C141,IF(INDEX('Surface DEET'!$Q$9:$W$38,COLUMN(I134)-COLUMN($E$5),1)&gt;0,INDEX('Surface DEET'!$Q$9:$W$38,COLUMN(I134)-COLUMN($E$5),1),$E141),0)</f>
        <v>0</v>
      </c>
      <c r="J141" s="295">
        <f>IF(J$6=$C141,IF(INDEX('Surface DEET'!$Q$9:$W$38,COLUMN(J134)-COLUMN($E$5),1)&gt;0,INDEX('Surface DEET'!$Q$9:$W$38,COLUMN(J134)-COLUMN($E$5),1),$E141),0)</f>
        <v>0</v>
      </c>
      <c r="K141" s="295">
        <f>IF(K$6=$C141,IF(INDEX('Surface DEET'!$Q$9:$W$38,COLUMN(K134)-COLUMN($E$5),1)&gt;0,INDEX('Surface DEET'!$Q$9:$W$38,COLUMN(K134)-COLUMN($E$5),1),$E141),0)</f>
        <v>0</v>
      </c>
      <c r="L141" s="295">
        <f>IF(L$6=$C141,IF(INDEX('Surface DEET'!$Q$9:$W$38,COLUMN(L134)-COLUMN($E$5),1)&gt;0,INDEX('Surface DEET'!$Q$9:$W$38,COLUMN(L134)-COLUMN($E$5),1),$E141),0)</f>
        <v>0</v>
      </c>
      <c r="M141" s="295">
        <f>IF(M$6=$C141,IF(INDEX('Surface DEET'!$Q$9:$W$38,COLUMN(M134)-COLUMN($E$5),1)&gt;0,INDEX('Surface DEET'!$Q$9:$W$38,COLUMN(M134)-COLUMN($E$5),1),$E141),0)</f>
        <v>0</v>
      </c>
      <c r="N141" s="295">
        <f>IF(N$6=$C141,IF(INDEX('Surface DEET'!$Q$9:$W$38,COLUMN(N134)-COLUMN($E$5),1)&gt;0,INDEX('Surface DEET'!$Q$9:$W$38,COLUMN(N134)-COLUMN($E$5),1),$E141),0)</f>
        <v>0</v>
      </c>
      <c r="O141" s="295">
        <f>IF(O$6=$C141,IF(INDEX('Surface DEET'!$Q$9:$W$38,COLUMN(O134)-COLUMN($E$5),1)&gt;0,INDEX('Surface DEET'!$Q$9:$W$38,COLUMN(O134)-COLUMN($E$5),1),$E141),0)</f>
        <v>0</v>
      </c>
      <c r="P141" s="295">
        <f>IF(P$6=$C141,IF(INDEX('Surface DEET'!$Q$9:$W$38,COLUMN(P134)-COLUMN($E$5),1)&gt;0,INDEX('Surface DEET'!$Q$9:$W$38,COLUMN(P134)-COLUMN($E$5),1),$E141),0)</f>
        <v>0</v>
      </c>
      <c r="Q141" s="295">
        <f>IF(Q$6=$C141,IF(INDEX('Surface DEET'!$Q$9:$W$38,COLUMN(Q134)-COLUMN($E$5),1)&gt;0,INDEX('Surface DEET'!$Q$9:$W$38,COLUMN(Q134)-COLUMN($E$5),1),$E141),0)</f>
        <v>0</v>
      </c>
      <c r="R141" s="295">
        <f>IF(R$6=$C141,IF(INDEX('Surface DEET'!$Q$9:$W$38,COLUMN(R134)-COLUMN($E$5),1)&gt;0,INDEX('Surface DEET'!$Q$9:$W$38,COLUMN(R134)-COLUMN($E$5),1),$E141),0)</f>
        <v>0</v>
      </c>
      <c r="S141" s="295">
        <f>IF(S$6=$C141,IF(INDEX('Surface DEET'!$Q$9:$W$38,COLUMN(S134)-COLUMN($E$5),1)&gt;0,INDEX('Surface DEET'!$Q$9:$W$38,COLUMN(S134)-COLUMN($E$5),1),$E141),0)</f>
        <v>0</v>
      </c>
      <c r="T141" s="295">
        <f>IF(T$6=$C141,IF(INDEX('Surface DEET'!$Q$9:$W$38,COLUMN(T134)-COLUMN($E$5),1)&gt;0,INDEX('Surface DEET'!$Q$9:$W$38,COLUMN(T134)-COLUMN($E$5),1),$E141),0)</f>
        <v>0</v>
      </c>
      <c r="U141" s="295">
        <f>IF(U$6=$C141,IF(INDEX('Surface DEET'!$Q$9:$W$38,COLUMN(U134)-COLUMN($E$5),1)&gt;0,INDEX('Surface DEET'!$Q$9:$W$38,COLUMN(U134)-COLUMN($E$5),1),$E141),0)</f>
        <v>0</v>
      </c>
      <c r="V141" s="295">
        <f>IF(V$6=$C141,IF(INDEX('Surface DEET'!$Q$9:$W$38,COLUMN(V134)-COLUMN($E$5),1)&gt;0,INDEX('Surface DEET'!$Q$9:$W$38,COLUMN(V134)-COLUMN($E$5),1),$E141),0)</f>
        <v>0</v>
      </c>
      <c r="W141" s="295">
        <f>IF(W$6=$C141,IF(INDEX('Surface DEET'!$Q$9:$W$38,COLUMN(W134)-COLUMN($E$5),1)&gt;0,INDEX('Surface DEET'!$Q$9:$W$38,COLUMN(W134)-COLUMN($E$5),1),$E141),0)</f>
        <v>0</v>
      </c>
      <c r="X141" s="295">
        <f>IF(X$6=$C141,IF(INDEX('Surface DEET'!$Q$9:$W$38,COLUMN(X134)-COLUMN($E$5),1)&gt;0,INDEX('Surface DEET'!$Q$9:$W$38,COLUMN(X134)-COLUMN($E$5),1),$E141),0)</f>
        <v>0</v>
      </c>
      <c r="Y141" s="295">
        <f>IF(Y$6=$C141,IF(INDEX('Surface DEET'!$Q$9:$W$38,COLUMN(Y134)-COLUMN($E$5),1)&gt;0,INDEX('Surface DEET'!$Q$9:$W$38,COLUMN(Y134)-COLUMN($E$5),1),$E141),0)</f>
        <v>0</v>
      </c>
      <c r="Z141" s="295">
        <f>IF(Z$6=$C141,IF(INDEX('Surface DEET'!$Q$9:$W$38,COLUMN(Z134)-COLUMN($E$5),1)&gt;0,INDEX('Surface DEET'!$Q$9:$W$38,COLUMN(Z134)-COLUMN($E$5),1),$E141),0)</f>
        <v>0</v>
      </c>
      <c r="AA141" s="295">
        <f>IF(AA$6=$C141,IF(INDEX('Surface DEET'!$Q$9:$W$38,COLUMN(AA134)-COLUMN($E$5),1)&gt;0,INDEX('Surface DEET'!$Q$9:$W$38,COLUMN(AA134)-COLUMN($E$5),1),$E141),0)</f>
        <v>0</v>
      </c>
      <c r="AB141" s="295">
        <f>IF(AB$6=$C141,IF(INDEX('Surface DEET'!$Q$9:$W$38,COLUMN(AB134)-COLUMN($E$5),1)&gt;0,INDEX('Surface DEET'!$Q$9:$W$38,COLUMN(AB134)-COLUMN($E$5),1),$E141),0)</f>
        <v>0</v>
      </c>
      <c r="AC141" s="295">
        <f>IF(AC$6=$C141,IF(INDEX('Surface DEET'!$Q$9:$W$38,COLUMN(AC134)-COLUMN($E$5),1)&gt;0,INDEX('Surface DEET'!$Q$9:$W$38,COLUMN(AC134)-COLUMN($E$5),1),$E141),0)</f>
        <v>0</v>
      </c>
      <c r="AD141" s="295">
        <f>IF(AD$6=$C141,IF(INDEX('Surface DEET'!$Q$9:$W$38,COLUMN(AD134)-COLUMN($E$5),1)&gt;0,INDEX('Surface DEET'!$Q$9:$W$38,COLUMN(AD134)-COLUMN($E$5),1),$E141),0)</f>
        <v>0</v>
      </c>
      <c r="AE141" s="295">
        <f>IF(AE$6=$C141,IF(INDEX('Surface DEET'!$Q$9:$W$38,COLUMN(AE134)-COLUMN($E$5),1)&gt;0,INDEX('Surface DEET'!$Q$9:$W$38,COLUMN(AE134)-COLUMN($E$5),1),$E141),0)</f>
        <v>0</v>
      </c>
      <c r="AF141" s="295">
        <f>IF(AF$6=$C141,IF(INDEX('Surface DEET'!$Q$9:$W$38,COLUMN(AF134)-COLUMN($E$5),1)&gt;0,INDEX('Surface DEET'!$Q$9:$W$38,COLUMN(AF134)-COLUMN($E$5),1),$E141),0)</f>
        <v>0</v>
      </c>
      <c r="AG141" s="295">
        <f>IF(AG$6=$C141,IF(INDEX('Surface DEET'!$Q$9:$W$38,COLUMN(AG134)-COLUMN($E$5),1)&gt;0,INDEX('Surface DEET'!$Q$9:$W$38,COLUMN(AG134)-COLUMN($E$5),1),$E141),0)</f>
        <v>0</v>
      </c>
      <c r="AH141" s="295">
        <f>IF(AH$6=$C141,IF(INDEX('Surface DEET'!$Q$9:$W$38,COLUMN(AH134)-COLUMN($E$5),1)&gt;0,INDEX('Surface DEET'!$Q$9:$W$38,COLUMN(AH134)-COLUMN($E$5),1),$E141),0)</f>
        <v>0</v>
      </c>
      <c r="AI141" s="295">
        <f>IF(AI$6=$C141,IF(INDEX('Surface DEET'!$Q$9:$W$38,COLUMN(AI134)-COLUMN($E$5),1)&gt;0,INDEX('Surface DEET'!$Q$9:$W$38,COLUMN(AI134)-COLUMN($E$5),1),$E141),0)</f>
        <v>0</v>
      </c>
    </row>
    <row r="142" spans="1:35">
      <c r="A142" s="520"/>
      <c r="B142" s="295" t="s">
        <v>542</v>
      </c>
      <c r="C142" s="32" t="s">
        <v>632</v>
      </c>
      <c r="D142" s="295" t="s">
        <v>542</v>
      </c>
      <c r="F142" s="295">
        <f>$E$138*(F141/$E$141)+0.28*$E$137*(F141-$E$141)/$E$141</f>
        <v>-14.000000000000002</v>
      </c>
      <c r="G142" s="295">
        <f t="shared" ref="G142:AI142" si="16">$E$138*(G141/$E$141)+0.28*$E$137*(G141-$E$141)/$E$141</f>
        <v>-14.000000000000002</v>
      </c>
      <c r="H142" s="295">
        <f t="shared" si="16"/>
        <v>-14.000000000000002</v>
      </c>
      <c r="I142" s="295">
        <f t="shared" si="16"/>
        <v>-14.000000000000002</v>
      </c>
      <c r="J142" s="295">
        <f t="shared" si="16"/>
        <v>-14.000000000000002</v>
      </c>
      <c r="K142" s="295">
        <f t="shared" si="16"/>
        <v>-14.000000000000002</v>
      </c>
      <c r="L142" s="295">
        <f t="shared" si="16"/>
        <v>-14.000000000000002</v>
      </c>
      <c r="M142" s="295">
        <f t="shared" si="16"/>
        <v>-14.000000000000002</v>
      </c>
      <c r="N142" s="295">
        <f t="shared" si="16"/>
        <v>-14.000000000000002</v>
      </c>
      <c r="O142" s="295">
        <f t="shared" si="16"/>
        <v>-14.000000000000002</v>
      </c>
      <c r="P142" s="295">
        <f t="shared" si="16"/>
        <v>-14.000000000000002</v>
      </c>
      <c r="Q142" s="295">
        <f t="shared" si="16"/>
        <v>-14.000000000000002</v>
      </c>
      <c r="R142" s="295">
        <f t="shared" si="16"/>
        <v>-14.000000000000002</v>
      </c>
      <c r="S142" s="295">
        <f t="shared" si="16"/>
        <v>-14.000000000000002</v>
      </c>
      <c r="T142" s="295">
        <f t="shared" si="16"/>
        <v>-14.000000000000002</v>
      </c>
      <c r="U142" s="295">
        <f t="shared" si="16"/>
        <v>-14.000000000000002</v>
      </c>
      <c r="V142" s="295">
        <f t="shared" si="16"/>
        <v>-14.000000000000002</v>
      </c>
      <c r="W142" s="295">
        <f t="shared" si="16"/>
        <v>-14.000000000000002</v>
      </c>
      <c r="X142" s="295">
        <f t="shared" si="16"/>
        <v>-14.000000000000002</v>
      </c>
      <c r="Y142" s="295">
        <f t="shared" si="16"/>
        <v>-14.000000000000002</v>
      </c>
      <c r="Z142" s="295">
        <f t="shared" si="16"/>
        <v>-14.000000000000002</v>
      </c>
      <c r="AA142" s="295">
        <f t="shared" si="16"/>
        <v>-14.000000000000002</v>
      </c>
      <c r="AB142" s="295">
        <f t="shared" si="16"/>
        <v>-14.000000000000002</v>
      </c>
      <c r="AC142" s="295">
        <f t="shared" si="16"/>
        <v>-14.000000000000002</v>
      </c>
      <c r="AD142" s="295">
        <f t="shared" si="16"/>
        <v>-14.000000000000002</v>
      </c>
      <c r="AE142" s="295">
        <f t="shared" si="16"/>
        <v>-14.000000000000002</v>
      </c>
      <c r="AF142" s="295">
        <f t="shared" si="16"/>
        <v>-14.000000000000002</v>
      </c>
      <c r="AG142" s="295">
        <f t="shared" si="16"/>
        <v>-14.000000000000002</v>
      </c>
      <c r="AH142" s="295">
        <f t="shared" si="16"/>
        <v>-14.000000000000002</v>
      </c>
      <c r="AI142" s="295">
        <f t="shared" si="16"/>
        <v>-14.000000000000002</v>
      </c>
    </row>
    <row r="143" spans="1:35">
      <c r="A143" s="520" t="s">
        <v>633</v>
      </c>
      <c r="B143" s="93" t="s">
        <v>301</v>
      </c>
      <c r="C143" s="32" t="s">
        <v>633</v>
      </c>
      <c r="D143" s="93" t="s">
        <v>301</v>
      </c>
      <c r="E143" s="295">
        <f t="array" ref="E143">INDEX(CABS_CVC!$C$3:$O$894,MATCH(1, (CABS_CVC!$A$3:$A$894=Calculs_CABS!C143)*(CABS_CVC!$B$3:$B$894=Calculs_CABS!$D$2),0),MATCH(Calculs_CABS!$D$1,Liste_CABS!$B$3:$B$15,0))</f>
        <v>76</v>
      </c>
    </row>
    <row r="144" spans="1:35">
      <c r="A144" s="520"/>
      <c r="B144" s="295" t="s">
        <v>543</v>
      </c>
      <c r="C144" s="32" t="s">
        <v>633</v>
      </c>
      <c r="D144" s="295" t="s">
        <v>543</v>
      </c>
      <c r="E144" s="346">
        <v>75</v>
      </c>
    </row>
    <row r="145" spans="1:35">
      <c r="A145" s="520"/>
      <c r="B145" s="295" t="s">
        <v>544</v>
      </c>
      <c r="C145" s="32" t="s">
        <v>633</v>
      </c>
      <c r="D145" s="295" t="s">
        <v>544</v>
      </c>
      <c r="E145" s="295">
        <f>E143+E144</f>
        <v>151</v>
      </c>
    </row>
    <row r="146" spans="1:35">
      <c r="A146" s="520"/>
      <c r="B146" s="295" t="s">
        <v>545</v>
      </c>
      <c r="C146" s="32" t="s">
        <v>633</v>
      </c>
      <c r="D146" s="295" t="s">
        <v>545</v>
      </c>
      <c r="E146" s="295">
        <v>0</v>
      </c>
    </row>
    <row r="147" spans="1:35">
      <c r="A147" s="520"/>
      <c r="B147" s="295" t="s">
        <v>546</v>
      </c>
      <c r="C147" s="32" t="s">
        <v>633</v>
      </c>
      <c r="D147" s="343" t="s">
        <v>592</v>
      </c>
      <c r="E147" s="295">
        <v>8760</v>
      </c>
      <c r="F147" s="295">
        <f>IF(F$6=$C147,IF(INDEX('Surface DEET'!$Q$9:$W$38,COLUMN(F140)-COLUMN($E$5),1)&gt;0,INDEX('Surface DEET'!$Q$9:$W$38,COLUMN(F140)-COLUMN($E$5),1),$E147),0)</f>
        <v>0</v>
      </c>
      <c r="G147" s="295">
        <f>IF(G$6=$C147,IF(INDEX('Surface DEET'!$Q$9:$W$38,COLUMN(G140)-COLUMN($E$5),1)&gt;0,INDEX('Surface DEET'!$Q$9:$W$38,COLUMN(G140)-COLUMN($E$5),1),$E147),0)</f>
        <v>0</v>
      </c>
      <c r="H147" s="295">
        <f>IF(H$6=$C147,IF(INDEX('Surface DEET'!$Q$9:$W$38,COLUMN(H140)-COLUMN($E$5),1)&gt;0,INDEX('Surface DEET'!$Q$9:$W$38,COLUMN(H140)-COLUMN($E$5),1),$E147),0)</f>
        <v>0</v>
      </c>
      <c r="I147" s="295">
        <f>IF(I$6=$C147,IF(INDEX('Surface DEET'!$Q$9:$W$38,COLUMN(I140)-COLUMN($E$5),1)&gt;0,INDEX('Surface DEET'!$Q$9:$W$38,COLUMN(I140)-COLUMN($E$5),1),$E147),0)</f>
        <v>0</v>
      </c>
      <c r="J147" s="295">
        <f>IF(J$6=$C147,IF(INDEX('Surface DEET'!$Q$9:$W$38,COLUMN(J140)-COLUMN($E$5),1)&gt;0,INDEX('Surface DEET'!$Q$9:$W$38,COLUMN(J140)-COLUMN($E$5),1),$E147),0)</f>
        <v>0</v>
      </c>
      <c r="K147" s="295">
        <f>IF(K$6=$C147,IF(INDEX('Surface DEET'!$Q$9:$W$38,COLUMN(K140)-COLUMN($E$5),1)&gt;0,INDEX('Surface DEET'!$Q$9:$W$38,COLUMN(K140)-COLUMN($E$5),1),$E147),0)</f>
        <v>0</v>
      </c>
      <c r="L147" s="295">
        <f>IF(L$6=$C147,IF(INDEX('Surface DEET'!$Q$9:$W$38,COLUMN(L140)-COLUMN($E$5),1)&gt;0,INDEX('Surface DEET'!$Q$9:$W$38,COLUMN(L140)-COLUMN($E$5),1),$E147),0)</f>
        <v>0</v>
      </c>
      <c r="M147" s="295">
        <f>IF(M$6=$C147,IF(INDEX('Surface DEET'!$Q$9:$W$38,COLUMN(M140)-COLUMN($E$5),1)&gt;0,INDEX('Surface DEET'!$Q$9:$W$38,COLUMN(M140)-COLUMN($E$5),1),$E147),0)</f>
        <v>0</v>
      </c>
      <c r="N147" s="295">
        <f>IF(N$6=$C147,IF(INDEX('Surface DEET'!$Q$9:$W$38,COLUMN(N140)-COLUMN($E$5),1)&gt;0,INDEX('Surface DEET'!$Q$9:$W$38,COLUMN(N140)-COLUMN($E$5),1),$E147),0)</f>
        <v>0</v>
      </c>
      <c r="O147" s="295">
        <f>IF(O$6=$C147,IF(INDEX('Surface DEET'!$Q$9:$W$38,COLUMN(O140)-COLUMN($E$5),1)&gt;0,INDEX('Surface DEET'!$Q$9:$W$38,COLUMN(O140)-COLUMN($E$5),1),$E147),0)</f>
        <v>0</v>
      </c>
      <c r="P147" s="295">
        <f>IF(P$6=$C147,IF(INDEX('Surface DEET'!$Q$9:$W$38,COLUMN(P140)-COLUMN($E$5),1)&gt;0,INDEX('Surface DEET'!$Q$9:$W$38,COLUMN(P140)-COLUMN($E$5),1),$E147),0)</f>
        <v>0</v>
      </c>
      <c r="Q147" s="295">
        <f>IF(Q$6=$C147,IF(INDEX('Surface DEET'!$Q$9:$W$38,COLUMN(Q140)-COLUMN($E$5),1)&gt;0,INDEX('Surface DEET'!$Q$9:$W$38,COLUMN(Q140)-COLUMN($E$5),1),$E147),0)</f>
        <v>0</v>
      </c>
      <c r="R147" s="295">
        <f>IF(R$6=$C147,IF(INDEX('Surface DEET'!$Q$9:$W$38,COLUMN(R140)-COLUMN($E$5),1)&gt;0,INDEX('Surface DEET'!$Q$9:$W$38,COLUMN(R140)-COLUMN($E$5),1),$E147),0)</f>
        <v>0</v>
      </c>
      <c r="S147" s="295">
        <f>IF(S$6=$C147,IF(INDEX('Surface DEET'!$Q$9:$W$38,COLUMN(S140)-COLUMN($E$5),1)&gt;0,INDEX('Surface DEET'!$Q$9:$W$38,COLUMN(S140)-COLUMN($E$5),1),$E147),0)</f>
        <v>0</v>
      </c>
      <c r="T147" s="295">
        <f>IF(T$6=$C147,IF(INDEX('Surface DEET'!$Q$9:$W$38,COLUMN(T140)-COLUMN($E$5),1)&gt;0,INDEX('Surface DEET'!$Q$9:$W$38,COLUMN(T140)-COLUMN($E$5),1),$E147),0)</f>
        <v>0</v>
      </c>
      <c r="U147" s="295">
        <f>IF(U$6=$C147,IF(INDEX('Surface DEET'!$Q$9:$W$38,COLUMN(U140)-COLUMN($E$5),1)&gt;0,INDEX('Surface DEET'!$Q$9:$W$38,COLUMN(U140)-COLUMN($E$5),1),$E147),0)</f>
        <v>0</v>
      </c>
      <c r="V147" s="295">
        <f>IF(V$6=$C147,IF(INDEX('Surface DEET'!$Q$9:$W$38,COLUMN(V140)-COLUMN($E$5),1)&gt;0,INDEX('Surface DEET'!$Q$9:$W$38,COLUMN(V140)-COLUMN($E$5),1),$E147),0)</f>
        <v>0</v>
      </c>
      <c r="W147" s="295">
        <f>IF(W$6=$C147,IF(INDEX('Surface DEET'!$Q$9:$W$38,COLUMN(W140)-COLUMN($E$5),1)&gt;0,INDEX('Surface DEET'!$Q$9:$W$38,COLUMN(W140)-COLUMN($E$5),1),$E147),0)</f>
        <v>0</v>
      </c>
      <c r="X147" s="295">
        <f>IF(X$6=$C147,IF(INDEX('Surface DEET'!$Q$9:$W$38,COLUMN(X140)-COLUMN($E$5),1)&gt;0,INDEX('Surface DEET'!$Q$9:$W$38,COLUMN(X140)-COLUMN($E$5),1),$E147),0)</f>
        <v>0</v>
      </c>
      <c r="Y147" s="295">
        <f>IF(Y$6=$C147,IF(INDEX('Surface DEET'!$Q$9:$W$38,COLUMN(Y140)-COLUMN($E$5),1)&gt;0,INDEX('Surface DEET'!$Q$9:$W$38,COLUMN(Y140)-COLUMN($E$5),1),$E147),0)</f>
        <v>0</v>
      </c>
      <c r="Z147" s="295">
        <f>IF(Z$6=$C147,IF(INDEX('Surface DEET'!$Q$9:$W$38,COLUMN(Z140)-COLUMN($E$5),1)&gt;0,INDEX('Surface DEET'!$Q$9:$W$38,COLUMN(Z140)-COLUMN($E$5),1),$E147),0)</f>
        <v>0</v>
      </c>
      <c r="AA147" s="295">
        <f>IF(AA$6=$C147,IF(INDEX('Surface DEET'!$Q$9:$W$38,COLUMN(AA140)-COLUMN($E$5),1)&gt;0,INDEX('Surface DEET'!$Q$9:$W$38,COLUMN(AA140)-COLUMN($E$5),1),$E147),0)</f>
        <v>0</v>
      </c>
      <c r="AB147" s="295">
        <f>IF(AB$6=$C147,IF(INDEX('Surface DEET'!$Q$9:$W$38,COLUMN(AB140)-COLUMN($E$5),1)&gt;0,INDEX('Surface DEET'!$Q$9:$W$38,COLUMN(AB140)-COLUMN($E$5),1),$E147),0)</f>
        <v>0</v>
      </c>
      <c r="AC147" s="295">
        <f>IF(AC$6=$C147,IF(INDEX('Surface DEET'!$Q$9:$W$38,COLUMN(AC140)-COLUMN($E$5),1)&gt;0,INDEX('Surface DEET'!$Q$9:$W$38,COLUMN(AC140)-COLUMN($E$5),1),$E147),0)</f>
        <v>0</v>
      </c>
      <c r="AD147" s="295">
        <f>IF(AD$6=$C147,IF(INDEX('Surface DEET'!$Q$9:$W$38,COLUMN(AD140)-COLUMN($E$5),1)&gt;0,INDEX('Surface DEET'!$Q$9:$W$38,COLUMN(AD140)-COLUMN($E$5),1),$E147),0)</f>
        <v>0</v>
      </c>
      <c r="AE147" s="295">
        <f>IF(AE$6=$C147,IF(INDEX('Surface DEET'!$Q$9:$W$38,COLUMN(AE140)-COLUMN($E$5),1)&gt;0,INDEX('Surface DEET'!$Q$9:$W$38,COLUMN(AE140)-COLUMN($E$5),1),$E147),0)</f>
        <v>0</v>
      </c>
      <c r="AF147" s="295">
        <f>IF(AF$6=$C147,IF(INDEX('Surface DEET'!$Q$9:$W$38,COLUMN(AF140)-COLUMN($E$5),1)&gt;0,INDEX('Surface DEET'!$Q$9:$W$38,COLUMN(AF140)-COLUMN($E$5),1),$E147),0)</f>
        <v>0</v>
      </c>
      <c r="AG147" s="295">
        <f>IF(AG$6=$C147,IF(INDEX('Surface DEET'!$Q$9:$W$38,COLUMN(AG140)-COLUMN($E$5),1)&gt;0,INDEX('Surface DEET'!$Q$9:$W$38,COLUMN(AG140)-COLUMN($E$5),1),$E147),0)</f>
        <v>0</v>
      </c>
      <c r="AH147" s="295">
        <f>IF(AH$6=$C147,IF(INDEX('Surface DEET'!$Q$9:$W$38,COLUMN(AH140)-COLUMN($E$5),1)&gt;0,INDEX('Surface DEET'!$Q$9:$W$38,COLUMN(AH140)-COLUMN($E$5),1),$E147),0)</f>
        <v>0</v>
      </c>
      <c r="AI147" s="295">
        <f>IF(AI$6=$C147,IF(INDEX('Surface DEET'!$Q$9:$W$38,COLUMN(AI140)-COLUMN($E$5),1)&gt;0,INDEX('Surface DEET'!$Q$9:$W$38,COLUMN(AI140)-COLUMN($E$5),1),$E147),0)</f>
        <v>0</v>
      </c>
    </row>
    <row r="148" spans="1:35">
      <c r="A148" s="520"/>
      <c r="B148" s="295" t="s">
        <v>542</v>
      </c>
      <c r="C148" s="32" t="s">
        <v>633</v>
      </c>
      <c r="D148" s="295" t="s">
        <v>542</v>
      </c>
      <c r="F148" s="295">
        <f>$E$144*(F147/$E$147)+0.28*$E$143*(F147-$E$147)/$E$147</f>
        <v>-21.28</v>
      </c>
      <c r="G148" s="295">
        <f t="shared" ref="G148:AI148" si="17">$E$144*(G147/$E$147)+0.28*$E$143*(G147-$E$147)/$E$147</f>
        <v>-21.28</v>
      </c>
      <c r="H148" s="295">
        <f t="shared" si="17"/>
        <v>-21.28</v>
      </c>
      <c r="I148" s="295">
        <f t="shared" si="17"/>
        <v>-21.28</v>
      </c>
      <c r="J148" s="295">
        <f t="shared" si="17"/>
        <v>-21.28</v>
      </c>
      <c r="K148" s="295">
        <f t="shared" si="17"/>
        <v>-21.28</v>
      </c>
      <c r="L148" s="295">
        <f t="shared" si="17"/>
        <v>-21.28</v>
      </c>
      <c r="M148" s="295">
        <f t="shared" si="17"/>
        <v>-21.28</v>
      </c>
      <c r="N148" s="295">
        <f t="shared" si="17"/>
        <v>-21.28</v>
      </c>
      <c r="O148" s="295">
        <f t="shared" si="17"/>
        <v>-21.28</v>
      </c>
      <c r="P148" s="295">
        <f t="shared" si="17"/>
        <v>-21.28</v>
      </c>
      <c r="Q148" s="295">
        <f t="shared" si="17"/>
        <v>-21.28</v>
      </c>
      <c r="R148" s="295">
        <f t="shared" si="17"/>
        <v>-21.28</v>
      </c>
      <c r="S148" s="295">
        <f t="shared" si="17"/>
        <v>-21.28</v>
      </c>
      <c r="T148" s="295">
        <f t="shared" si="17"/>
        <v>-21.28</v>
      </c>
      <c r="U148" s="295">
        <f t="shared" si="17"/>
        <v>-21.28</v>
      </c>
      <c r="V148" s="295">
        <f t="shared" si="17"/>
        <v>-21.28</v>
      </c>
      <c r="W148" s="295">
        <f t="shared" si="17"/>
        <v>-21.28</v>
      </c>
      <c r="X148" s="295">
        <f t="shared" si="17"/>
        <v>-21.28</v>
      </c>
      <c r="Y148" s="295">
        <f t="shared" si="17"/>
        <v>-21.28</v>
      </c>
      <c r="Z148" s="295">
        <f t="shared" si="17"/>
        <v>-21.28</v>
      </c>
      <c r="AA148" s="295">
        <f t="shared" si="17"/>
        <v>-21.28</v>
      </c>
      <c r="AB148" s="295">
        <f t="shared" si="17"/>
        <v>-21.28</v>
      </c>
      <c r="AC148" s="295">
        <f t="shared" si="17"/>
        <v>-21.28</v>
      </c>
      <c r="AD148" s="295">
        <f t="shared" si="17"/>
        <v>-21.28</v>
      </c>
      <c r="AE148" s="295">
        <f t="shared" si="17"/>
        <v>-21.28</v>
      </c>
      <c r="AF148" s="295">
        <f t="shared" si="17"/>
        <v>-21.28</v>
      </c>
      <c r="AG148" s="295">
        <f t="shared" si="17"/>
        <v>-21.28</v>
      </c>
      <c r="AH148" s="295">
        <f t="shared" si="17"/>
        <v>-21.28</v>
      </c>
      <c r="AI148" s="295">
        <f t="shared" si="17"/>
        <v>-21.28</v>
      </c>
    </row>
    <row r="149" spans="1:35">
      <c r="A149" s="520" t="s">
        <v>634</v>
      </c>
      <c r="B149" s="93" t="s">
        <v>301</v>
      </c>
      <c r="C149" s="32" t="s">
        <v>634</v>
      </c>
      <c r="D149" s="93" t="s">
        <v>301</v>
      </c>
      <c r="E149" s="295">
        <f t="array" ref="E149">INDEX(CABS_CVC!$C$3:$O$894,MATCH(1, (CABS_CVC!$A$3:$A$894=Calculs_CABS!C149)*(CABS_CVC!$B$3:$B$894=Calculs_CABS!$D$2),0),MATCH(Calculs_CABS!$D$1,Liste_CABS!$B$3:$B$15,0))</f>
        <v>42</v>
      </c>
    </row>
    <row r="150" spans="1:35">
      <c r="A150" s="520"/>
      <c r="B150" s="295" t="s">
        <v>543</v>
      </c>
      <c r="C150" s="32" t="s">
        <v>634</v>
      </c>
      <c r="D150" s="295" t="s">
        <v>543</v>
      </c>
      <c r="E150" s="295">
        <v>914</v>
      </c>
    </row>
    <row r="151" spans="1:35">
      <c r="A151" s="520"/>
      <c r="B151" s="295" t="s">
        <v>544</v>
      </c>
      <c r="C151" s="32" t="s">
        <v>634</v>
      </c>
      <c r="D151" s="295" t="s">
        <v>544</v>
      </c>
      <c r="E151" s="295">
        <f>E149+E150</f>
        <v>956</v>
      </c>
    </row>
    <row r="152" spans="1:35">
      <c r="A152" s="520"/>
      <c r="B152" s="295" t="s">
        <v>545</v>
      </c>
      <c r="C152" s="32" t="s">
        <v>634</v>
      </c>
      <c r="D152" s="295" t="s">
        <v>545</v>
      </c>
      <c r="E152" s="295">
        <v>0.99</v>
      </c>
    </row>
    <row r="153" spans="1:35">
      <c r="A153" s="520"/>
      <c r="B153" s="295" t="s">
        <v>546</v>
      </c>
      <c r="C153" s="32" t="s">
        <v>634</v>
      </c>
      <c r="D153" s="295" t="s">
        <v>606</v>
      </c>
      <c r="E153" s="295">
        <v>2600</v>
      </c>
      <c r="F153" s="295">
        <f>IF(F$6=$C153,IF(INDEX('Surface DEET'!$Q$9:$W$38,COLUMN(F146)-COLUMN($E$5),1)&gt;0,INDEX('Surface DEET'!$Q$9:$W$38,COLUMN(F146)-COLUMN($E$5),1),$E153),0)</f>
        <v>0</v>
      </c>
      <c r="G153" s="295">
        <f>IF(G$6=$C153,IF(INDEX('Surface DEET'!$Q$9:$W$38,COLUMN(G146)-COLUMN($E$5),1)&gt;0,INDEX('Surface DEET'!$Q$9:$W$38,COLUMN(G146)-COLUMN($E$5),1),$E153),0)</f>
        <v>0</v>
      </c>
      <c r="H153" s="295">
        <f>IF(H$6=$C153,IF(INDEX('Surface DEET'!$Q$9:$W$38,COLUMN(H146)-COLUMN($E$5),1)&gt;0,INDEX('Surface DEET'!$Q$9:$W$38,COLUMN(H146)-COLUMN($E$5),1),$E153),0)</f>
        <v>0</v>
      </c>
      <c r="I153" s="295">
        <f>IF(I$6=$C153,IF(INDEX('Surface DEET'!$Q$9:$W$38,COLUMN(I146)-COLUMN($E$5),1)&gt;0,INDEX('Surface DEET'!$Q$9:$W$38,COLUMN(I146)-COLUMN($E$5),1),$E153),0)</f>
        <v>0</v>
      </c>
      <c r="J153" s="295">
        <f>IF(J$6=$C153,IF(INDEX('Surface DEET'!$Q$9:$W$38,COLUMN(J146)-COLUMN($E$5),1)&gt;0,INDEX('Surface DEET'!$Q$9:$W$38,COLUMN(J146)-COLUMN($E$5),1),$E153),0)</f>
        <v>0</v>
      </c>
      <c r="K153" s="295">
        <f>IF(K$6=$C153,IF(INDEX('Surface DEET'!$Q$9:$W$38,COLUMN(K146)-COLUMN($E$5),1)&gt;0,INDEX('Surface DEET'!$Q$9:$W$38,COLUMN(K146)-COLUMN($E$5),1),$E153),0)</f>
        <v>0</v>
      </c>
      <c r="L153" s="295">
        <f>IF(L$6=$C153,IF(INDEX('Surface DEET'!$Q$9:$W$38,COLUMN(L146)-COLUMN($E$5),1)&gt;0,INDEX('Surface DEET'!$Q$9:$W$38,COLUMN(L146)-COLUMN($E$5),1),$E153),0)</f>
        <v>0</v>
      </c>
      <c r="M153" s="295">
        <f>IF(M$6=$C153,IF(INDEX('Surface DEET'!$Q$9:$W$38,COLUMN(M146)-COLUMN($E$5),1)&gt;0,INDEX('Surface DEET'!$Q$9:$W$38,COLUMN(M146)-COLUMN($E$5),1),$E153),0)</f>
        <v>0</v>
      </c>
      <c r="N153" s="295">
        <f>IF(N$6=$C153,IF(INDEX('Surface DEET'!$Q$9:$W$38,COLUMN(N146)-COLUMN($E$5),1)&gt;0,INDEX('Surface DEET'!$Q$9:$W$38,COLUMN(N146)-COLUMN($E$5),1),$E153),0)</f>
        <v>0</v>
      </c>
      <c r="O153" s="295">
        <f>IF(O$6=$C153,IF(INDEX('Surface DEET'!$Q$9:$W$38,COLUMN(O146)-COLUMN($E$5),1)&gt;0,INDEX('Surface DEET'!$Q$9:$W$38,COLUMN(O146)-COLUMN($E$5),1),$E153),0)</f>
        <v>0</v>
      </c>
      <c r="P153" s="295">
        <f>IF(P$6=$C153,IF(INDEX('Surface DEET'!$Q$9:$W$38,COLUMN(P146)-COLUMN($E$5),1)&gt;0,INDEX('Surface DEET'!$Q$9:$W$38,COLUMN(P146)-COLUMN($E$5),1),$E153),0)</f>
        <v>0</v>
      </c>
      <c r="Q153" s="295">
        <f>IF(Q$6=$C153,IF(INDEX('Surface DEET'!$Q$9:$W$38,COLUMN(Q146)-COLUMN($E$5),1)&gt;0,INDEX('Surface DEET'!$Q$9:$W$38,COLUMN(Q146)-COLUMN($E$5),1),$E153),0)</f>
        <v>0</v>
      </c>
      <c r="R153" s="295">
        <f>IF(R$6=$C153,IF(INDEX('Surface DEET'!$Q$9:$W$38,COLUMN(R146)-COLUMN($E$5),1)&gt;0,INDEX('Surface DEET'!$Q$9:$W$38,COLUMN(R146)-COLUMN($E$5),1),$E153),0)</f>
        <v>0</v>
      </c>
      <c r="S153" s="295">
        <f>IF(S$6=$C153,IF(INDEX('Surface DEET'!$Q$9:$W$38,COLUMN(S146)-COLUMN($E$5),1)&gt;0,INDEX('Surface DEET'!$Q$9:$W$38,COLUMN(S146)-COLUMN($E$5),1),$E153),0)</f>
        <v>0</v>
      </c>
      <c r="T153" s="295">
        <f>IF(T$6=$C153,IF(INDEX('Surface DEET'!$Q$9:$W$38,COLUMN(T146)-COLUMN($E$5),1)&gt;0,INDEX('Surface DEET'!$Q$9:$W$38,COLUMN(T146)-COLUMN($E$5),1),$E153),0)</f>
        <v>0</v>
      </c>
      <c r="U153" s="295">
        <f>IF(U$6=$C153,IF(INDEX('Surface DEET'!$Q$9:$W$38,COLUMN(U146)-COLUMN($E$5),1)&gt;0,INDEX('Surface DEET'!$Q$9:$W$38,COLUMN(U146)-COLUMN($E$5),1),$E153),0)</f>
        <v>0</v>
      </c>
      <c r="V153" s="295">
        <f>IF(V$6=$C153,IF(INDEX('Surface DEET'!$Q$9:$W$38,COLUMN(V146)-COLUMN($E$5),1)&gt;0,INDEX('Surface DEET'!$Q$9:$W$38,COLUMN(V146)-COLUMN($E$5),1),$E153),0)</f>
        <v>0</v>
      </c>
      <c r="W153" s="295">
        <f>IF(W$6=$C153,IF(INDEX('Surface DEET'!$Q$9:$W$38,COLUMN(W146)-COLUMN($E$5),1)&gt;0,INDEX('Surface DEET'!$Q$9:$W$38,COLUMN(W146)-COLUMN($E$5),1),$E153),0)</f>
        <v>0</v>
      </c>
      <c r="X153" s="295">
        <f>IF(X$6=$C153,IF(INDEX('Surface DEET'!$Q$9:$W$38,COLUMN(X146)-COLUMN($E$5),1)&gt;0,INDEX('Surface DEET'!$Q$9:$W$38,COLUMN(X146)-COLUMN($E$5),1),$E153),0)</f>
        <v>0</v>
      </c>
      <c r="Y153" s="295">
        <f>IF(Y$6=$C153,IF(INDEX('Surface DEET'!$Q$9:$W$38,COLUMN(Y146)-COLUMN($E$5),1)&gt;0,INDEX('Surface DEET'!$Q$9:$W$38,COLUMN(Y146)-COLUMN($E$5),1),$E153),0)</f>
        <v>0</v>
      </c>
      <c r="Z153" s="295">
        <f>IF(Z$6=$C153,IF(INDEX('Surface DEET'!$Q$9:$W$38,COLUMN(Z146)-COLUMN($E$5),1)&gt;0,INDEX('Surface DEET'!$Q$9:$W$38,COLUMN(Z146)-COLUMN($E$5),1),$E153),0)</f>
        <v>0</v>
      </c>
      <c r="AA153" s="295">
        <f>IF(AA$6=$C153,IF(INDEX('Surface DEET'!$Q$9:$W$38,COLUMN(AA146)-COLUMN($E$5),1)&gt;0,INDEX('Surface DEET'!$Q$9:$W$38,COLUMN(AA146)-COLUMN($E$5),1),$E153),0)</f>
        <v>0</v>
      </c>
      <c r="AB153" s="295">
        <f>IF(AB$6=$C153,IF(INDEX('Surface DEET'!$Q$9:$W$38,COLUMN(AB146)-COLUMN($E$5),1)&gt;0,INDEX('Surface DEET'!$Q$9:$W$38,COLUMN(AB146)-COLUMN($E$5),1),$E153),0)</f>
        <v>0</v>
      </c>
      <c r="AC153" s="295">
        <f>IF(AC$6=$C153,IF(INDEX('Surface DEET'!$Q$9:$W$38,COLUMN(AC146)-COLUMN($E$5),1)&gt;0,INDEX('Surface DEET'!$Q$9:$W$38,COLUMN(AC146)-COLUMN($E$5),1),$E153),0)</f>
        <v>0</v>
      </c>
      <c r="AD153" s="295">
        <f>IF(AD$6=$C153,IF(INDEX('Surface DEET'!$Q$9:$W$38,COLUMN(AD146)-COLUMN($E$5),1)&gt;0,INDEX('Surface DEET'!$Q$9:$W$38,COLUMN(AD146)-COLUMN($E$5),1),$E153),0)</f>
        <v>0</v>
      </c>
      <c r="AE153" s="295">
        <f>IF(AE$6=$C153,IF(INDEX('Surface DEET'!$Q$9:$W$38,COLUMN(AE146)-COLUMN($E$5),1)&gt;0,INDEX('Surface DEET'!$Q$9:$W$38,COLUMN(AE146)-COLUMN($E$5),1),$E153),0)</f>
        <v>0</v>
      </c>
      <c r="AF153" s="295">
        <f>IF(AF$6=$C153,IF(INDEX('Surface DEET'!$Q$9:$W$38,COLUMN(AF146)-COLUMN($E$5),1)&gt;0,INDEX('Surface DEET'!$Q$9:$W$38,COLUMN(AF146)-COLUMN($E$5),1),$E153),0)</f>
        <v>0</v>
      </c>
      <c r="AG153" s="295">
        <f>IF(AG$6=$C153,IF(INDEX('Surface DEET'!$Q$9:$W$38,COLUMN(AG146)-COLUMN($E$5),1)&gt;0,INDEX('Surface DEET'!$Q$9:$W$38,COLUMN(AG146)-COLUMN($E$5),1),$E153),0)</f>
        <v>0</v>
      </c>
      <c r="AH153" s="295">
        <f>IF(AH$6=$C153,IF(INDEX('Surface DEET'!$Q$9:$W$38,COLUMN(AH146)-COLUMN($E$5),1)&gt;0,INDEX('Surface DEET'!$Q$9:$W$38,COLUMN(AH146)-COLUMN($E$5),1),$E153),0)</f>
        <v>0</v>
      </c>
      <c r="AI153" s="295">
        <f>IF(AI$6=$C153,IF(INDEX('Surface DEET'!$Q$9:$W$38,COLUMN(AI146)-COLUMN($E$5),1)&gt;0,INDEX('Surface DEET'!$Q$9:$W$38,COLUMN(AI146)-COLUMN($E$5),1),$E153),0)</f>
        <v>0</v>
      </c>
    </row>
    <row r="154" spans="1:35">
      <c r="A154" s="520"/>
      <c r="B154" s="295" t="s">
        <v>549</v>
      </c>
      <c r="C154" s="32" t="s">
        <v>634</v>
      </c>
      <c r="D154" s="295" t="s">
        <v>635</v>
      </c>
      <c r="E154" s="295">
        <v>3120</v>
      </c>
      <c r="F154" s="295">
        <f>IF(F$6=$C154,IF(INDEX('Surface DEET'!$Q$9:$W$38,COLUMN(F147)-COLUMN($E$5),4)&gt;0,INDEX('Surface DEET'!$Q$9:$W$38,COLUMN(F147)-COLUMN($E$5),4),$E154),0)</f>
        <v>0</v>
      </c>
      <c r="G154" s="295">
        <f>IF(G$6=$C154,IF(INDEX('Surface DEET'!$Q$9:$W$38,COLUMN(G147)-COLUMN($E$5),4)&gt;0,INDEX('Surface DEET'!$Q$9:$W$38,COLUMN(G147)-COLUMN($E$5),4),$E154),0)</f>
        <v>0</v>
      </c>
      <c r="H154" s="295">
        <f>IF(H$6=$C154,IF(INDEX('Surface DEET'!$Q$9:$W$38,COLUMN(H147)-COLUMN($E$5),4)&gt;0,INDEX('Surface DEET'!$Q$9:$W$38,COLUMN(H147)-COLUMN($E$5),4),$E154),0)</f>
        <v>0</v>
      </c>
      <c r="I154" s="295">
        <f>IF(I$6=$C154,IF(INDEX('Surface DEET'!$Q$9:$W$38,COLUMN(I147)-COLUMN($E$5),4)&gt;0,INDEX('Surface DEET'!$Q$9:$W$38,COLUMN(I147)-COLUMN($E$5),4),$E154),0)</f>
        <v>0</v>
      </c>
      <c r="J154" s="295">
        <f>IF(J$6=$C154,IF(INDEX('Surface DEET'!$Q$9:$W$38,COLUMN(J147)-COLUMN($E$5),4)&gt;0,INDEX('Surface DEET'!$Q$9:$W$38,COLUMN(J147)-COLUMN($E$5),4),$E154),0)</f>
        <v>0</v>
      </c>
      <c r="K154" s="295">
        <f>IF(K$6=$C154,IF(INDEX('Surface DEET'!$Q$9:$W$38,COLUMN(K147)-COLUMN($E$5),4)&gt;0,INDEX('Surface DEET'!$Q$9:$W$38,COLUMN(K147)-COLUMN($E$5),4),$E154),0)</f>
        <v>0</v>
      </c>
      <c r="L154" s="295">
        <f>IF(L$6=$C154,IF(INDEX('Surface DEET'!$Q$9:$W$38,COLUMN(L147)-COLUMN($E$5),4)&gt;0,INDEX('Surface DEET'!$Q$9:$W$38,COLUMN(L147)-COLUMN($E$5),4),$E154),0)</f>
        <v>0</v>
      </c>
      <c r="M154" s="295">
        <f>IF(M$6=$C154,IF(INDEX('Surface DEET'!$Q$9:$W$38,COLUMN(M147)-COLUMN($E$5),4)&gt;0,INDEX('Surface DEET'!$Q$9:$W$38,COLUMN(M147)-COLUMN($E$5),4),$E154),0)</f>
        <v>0</v>
      </c>
      <c r="N154" s="295">
        <f>IF(N$6=$C154,IF(INDEX('Surface DEET'!$Q$9:$W$38,COLUMN(N147)-COLUMN($E$5),4)&gt;0,INDEX('Surface DEET'!$Q$9:$W$38,COLUMN(N147)-COLUMN($E$5),4),$E154),0)</f>
        <v>0</v>
      </c>
      <c r="O154" s="295">
        <f>IF(O$6=$C154,IF(INDEX('Surface DEET'!$Q$9:$W$38,COLUMN(O147)-COLUMN($E$5),4)&gt;0,INDEX('Surface DEET'!$Q$9:$W$38,COLUMN(O147)-COLUMN($E$5),4),$E154),0)</f>
        <v>0</v>
      </c>
      <c r="P154" s="295">
        <f>IF(P$6=$C154,IF(INDEX('Surface DEET'!$Q$9:$W$38,COLUMN(P147)-COLUMN($E$5),4)&gt;0,INDEX('Surface DEET'!$Q$9:$W$38,COLUMN(P147)-COLUMN($E$5),4),$E154),0)</f>
        <v>0</v>
      </c>
      <c r="Q154" s="295">
        <f>IF(Q$6=$C154,IF(INDEX('Surface DEET'!$Q$9:$W$38,COLUMN(Q147)-COLUMN($E$5),4)&gt;0,INDEX('Surface DEET'!$Q$9:$W$38,COLUMN(Q147)-COLUMN($E$5),4),$E154),0)</f>
        <v>0</v>
      </c>
      <c r="R154" s="295">
        <f>IF(R$6=$C154,IF(INDEX('Surface DEET'!$Q$9:$W$38,COLUMN(R147)-COLUMN($E$5),4)&gt;0,INDEX('Surface DEET'!$Q$9:$W$38,COLUMN(R147)-COLUMN($E$5),4),$E154),0)</f>
        <v>0</v>
      </c>
      <c r="S154" s="295">
        <f>IF(S$6=$C154,IF(INDEX('Surface DEET'!$Q$9:$W$38,COLUMN(S147)-COLUMN($E$5),4)&gt;0,INDEX('Surface DEET'!$Q$9:$W$38,COLUMN(S147)-COLUMN($E$5),4),$E154),0)</f>
        <v>0</v>
      </c>
      <c r="T154" s="295">
        <f>IF(T$6=$C154,IF(INDEX('Surface DEET'!$Q$9:$W$38,COLUMN(T147)-COLUMN($E$5),4)&gt;0,INDEX('Surface DEET'!$Q$9:$W$38,COLUMN(T147)-COLUMN($E$5),4),$E154),0)</f>
        <v>0</v>
      </c>
      <c r="U154" s="295">
        <f>IF(U$6=$C154,IF(INDEX('Surface DEET'!$Q$9:$W$38,COLUMN(U147)-COLUMN($E$5),4)&gt;0,INDEX('Surface DEET'!$Q$9:$W$38,COLUMN(U147)-COLUMN($E$5),4),$E154),0)</f>
        <v>0</v>
      </c>
      <c r="V154" s="295">
        <f>IF(V$6=$C154,IF(INDEX('Surface DEET'!$Q$9:$W$38,COLUMN(V147)-COLUMN($E$5),4)&gt;0,INDEX('Surface DEET'!$Q$9:$W$38,COLUMN(V147)-COLUMN($E$5),4),$E154),0)</f>
        <v>0</v>
      </c>
      <c r="W154" s="295">
        <f>IF(W$6=$C154,IF(INDEX('Surface DEET'!$Q$9:$W$38,COLUMN(W147)-COLUMN($E$5),4)&gt;0,INDEX('Surface DEET'!$Q$9:$W$38,COLUMN(W147)-COLUMN($E$5),4),$E154),0)</f>
        <v>0</v>
      </c>
      <c r="X154" s="295">
        <f>IF(X$6=$C154,IF(INDEX('Surface DEET'!$Q$9:$W$38,COLUMN(X147)-COLUMN($E$5),4)&gt;0,INDEX('Surface DEET'!$Q$9:$W$38,COLUMN(X147)-COLUMN($E$5),4),$E154),0)</f>
        <v>0</v>
      </c>
      <c r="Y154" s="295">
        <f>IF(Y$6=$C154,IF(INDEX('Surface DEET'!$Q$9:$W$38,COLUMN(Y147)-COLUMN($E$5),4)&gt;0,INDEX('Surface DEET'!$Q$9:$W$38,COLUMN(Y147)-COLUMN($E$5),4),$E154),0)</f>
        <v>0</v>
      </c>
      <c r="Z154" s="295">
        <f>IF(Z$6=$C154,IF(INDEX('Surface DEET'!$Q$9:$W$38,COLUMN(Z147)-COLUMN($E$5),4)&gt;0,INDEX('Surface DEET'!$Q$9:$W$38,COLUMN(Z147)-COLUMN($E$5),4),$E154),0)</f>
        <v>0</v>
      </c>
      <c r="AA154" s="295">
        <f>IF(AA$6=$C154,IF(INDEX('Surface DEET'!$Q$9:$W$38,COLUMN(AA147)-COLUMN($E$5),4)&gt;0,INDEX('Surface DEET'!$Q$9:$W$38,COLUMN(AA147)-COLUMN($E$5),4),$E154),0)</f>
        <v>0</v>
      </c>
      <c r="AB154" s="295">
        <f>IF(AB$6=$C154,IF(INDEX('Surface DEET'!$Q$9:$W$38,COLUMN(AB147)-COLUMN($E$5),4)&gt;0,INDEX('Surface DEET'!$Q$9:$W$38,COLUMN(AB147)-COLUMN($E$5),4),$E154),0)</f>
        <v>0</v>
      </c>
      <c r="AC154" s="295">
        <f>IF(AC$6=$C154,IF(INDEX('Surface DEET'!$Q$9:$W$38,COLUMN(AC147)-COLUMN($E$5),4)&gt;0,INDEX('Surface DEET'!$Q$9:$W$38,COLUMN(AC147)-COLUMN($E$5),4),$E154),0)</f>
        <v>0</v>
      </c>
      <c r="AD154" s="295">
        <f>IF(AD$6=$C154,IF(INDEX('Surface DEET'!$Q$9:$W$38,COLUMN(AD147)-COLUMN($E$5),4)&gt;0,INDEX('Surface DEET'!$Q$9:$W$38,COLUMN(AD147)-COLUMN($E$5),4),$E154),0)</f>
        <v>0</v>
      </c>
      <c r="AE154" s="295">
        <f>IF(AE$6=$C154,IF(INDEX('Surface DEET'!$Q$9:$W$38,COLUMN(AE147)-COLUMN($E$5),4)&gt;0,INDEX('Surface DEET'!$Q$9:$W$38,COLUMN(AE147)-COLUMN($E$5),4),$E154),0)</f>
        <v>0</v>
      </c>
      <c r="AF154" s="295">
        <f>IF(AF$6=$C154,IF(INDEX('Surface DEET'!$Q$9:$W$38,COLUMN(AF147)-COLUMN($E$5),4)&gt;0,INDEX('Surface DEET'!$Q$9:$W$38,COLUMN(AF147)-COLUMN($E$5),4),$E154),0)</f>
        <v>0</v>
      </c>
      <c r="AG154" s="295">
        <f>IF(AG$6=$C154,IF(INDEX('Surface DEET'!$Q$9:$W$38,COLUMN(AG147)-COLUMN($E$5),4)&gt;0,INDEX('Surface DEET'!$Q$9:$W$38,COLUMN(AG147)-COLUMN($E$5),4),$E154),0)</f>
        <v>0</v>
      </c>
      <c r="AH154" s="295">
        <f>IF(AH$6=$C154,IF(INDEX('Surface DEET'!$Q$9:$W$38,COLUMN(AH147)-COLUMN($E$5),4)&gt;0,INDEX('Surface DEET'!$Q$9:$W$38,COLUMN(AH147)-COLUMN($E$5),4),$E154),0)</f>
        <v>0</v>
      </c>
      <c r="AI154" s="295">
        <f>IF(AI$6=$C154,IF(INDEX('Surface DEET'!$Q$9:$W$38,COLUMN(AI147)-COLUMN($E$5),4)&gt;0,INDEX('Surface DEET'!$Q$9:$W$38,COLUMN(AI147)-COLUMN($E$5),4),$E154),0)</f>
        <v>0</v>
      </c>
    </row>
    <row r="155" spans="1:35">
      <c r="A155" s="520"/>
      <c r="B155" s="295" t="s">
        <v>552</v>
      </c>
      <c r="C155" s="32" t="s">
        <v>634</v>
      </c>
      <c r="D155" s="295" t="s">
        <v>636</v>
      </c>
      <c r="F155" s="295">
        <f>IF(F$6=$C155,IF(INDEX('Surface DEET'!$F$9:$W$38,COLUMN(F148)-COLUMN($E$5),7)&gt;0,INDEX('Surface DEET'!$F$9:$W$38,COLUMN(F148)-COLUMN($E$5),1),$E155),0)</f>
        <v>0</v>
      </c>
      <c r="G155" s="295">
        <f>IF(G$6=$C155,IF(INDEX('Surface DEET'!$F$9:$W$38,COLUMN(G148)-COLUMN($E$5),7)&gt;0,INDEX('Surface DEET'!$F$9:$W$38,COLUMN(G148)-COLUMN($E$5),1),$E155),0)</f>
        <v>0</v>
      </c>
      <c r="H155" s="295">
        <f>IF(H$6=$C155,IF(INDEX('Surface DEET'!$F$9:$W$38,COLUMN(H148)-COLUMN($E$5),7)&gt;0,INDEX('Surface DEET'!$F$9:$W$38,COLUMN(H148)-COLUMN($E$5),1),$E155),0)</f>
        <v>0</v>
      </c>
      <c r="I155" s="295">
        <f>IF(I$6=$C155,IF(INDEX('Surface DEET'!$F$9:$W$38,COLUMN(I148)-COLUMN($E$5),7)&gt;0,INDEX('Surface DEET'!$F$9:$W$38,COLUMN(I148)-COLUMN($E$5),1),$E155),0)</f>
        <v>0</v>
      </c>
      <c r="J155" s="295">
        <f>IF(J$6=$C155,IF(INDEX('Surface DEET'!$F$9:$W$38,COLUMN(J148)-COLUMN($E$5),7)&gt;0,INDEX('Surface DEET'!$F$9:$W$38,COLUMN(J148)-COLUMN($E$5),1),$E155),0)</f>
        <v>0</v>
      </c>
      <c r="K155" s="295">
        <f>IF(K$6=$C155,IF(INDEX('Surface DEET'!$F$9:$W$38,COLUMN(K148)-COLUMN($E$5),7)&gt;0,INDEX('Surface DEET'!$F$9:$W$38,COLUMN(K148)-COLUMN($E$5),1),$E155),0)</f>
        <v>0</v>
      </c>
      <c r="L155" s="295">
        <f>IF(L$6=$C155,IF(INDEX('Surface DEET'!$F$9:$W$38,COLUMN(L148)-COLUMN($E$5),7)&gt;0,INDEX('Surface DEET'!$F$9:$W$38,COLUMN(L148)-COLUMN($E$5),1),$E155),0)</f>
        <v>0</v>
      </c>
      <c r="M155" s="295">
        <f>IF(M$6=$C155,IF(INDEX('Surface DEET'!$F$9:$W$38,COLUMN(M148)-COLUMN($E$5),7)&gt;0,INDEX('Surface DEET'!$F$9:$W$38,COLUMN(M148)-COLUMN($E$5),1),$E155),0)</f>
        <v>0</v>
      </c>
      <c r="N155" s="295">
        <f>IF(N$6=$C155,IF(INDEX('Surface DEET'!$F$9:$W$38,COLUMN(N148)-COLUMN($E$5),7)&gt;0,INDEX('Surface DEET'!$F$9:$W$38,COLUMN(N148)-COLUMN($E$5),1),$E155),0)</f>
        <v>0</v>
      </c>
      <c r="O155" s="295">
        <f>IF(O$6=$C155,IF(INDEX('Surface DEET'!$F$9:$W$38,COLUMN(O148)-COLUMN($E$5),7)&gt;0,INDEX('Surface DEET'!$F$9:$W$38,COLUMN(O148)-COLUMN($E$5),1),$E155),0)</f>
        <v>0</v>
      </c>
      <c r="P155" s="295">
        <f>IF(P$6=$C155,IF(INDEX('Surface DEET'!$F$9:$W$38,COLUMN(P148)-COLUMN($E$5),7)&gt;0,INDEX('Surface DEET'!$F$9:$W$38,COLUMN(P148)-COLUMN($E$5),1),$E155),0)</f>
        <v>0</v>
      </c>
      <c r="Q155" s="295">
        <f>IF(Q$6=$C155,IF(INDEX('Surface DEET'!$F$9:$W$38,COLUMN(Q148)-COLUMN($E$5),7)&gt;0,INDEX('Surface DEET'!$F$9:$W$38,COLUMN(Q148)-COLUMN($E$5),1),$E155),0)</f>
        <v>0</v>
      </c>
      <c r="R155" s="295">
        <f>IF(R$6=$C155,IF(INDEX('Surface DEET'!$F$9:$W$38,COLUMN(R148)-COLUMN($E$5),7)&gt;0,INDEX('Surface DEET'!$F$9:$W$38,COLUMN(R148)-COLUMN($E$5),1),$E155),0)</f>
        <v>0</v>
      </c>
      <c r="S155" s="295">
        <f>IF(S$6=$C155,IF(INDEX('Surface DEET'!$F$9:$W$38,COLUMN(S148)-COLUMN($E$5),7)&gt;0,INDEX('Surface DEET'!$F$9:$W$38,COLUMN(S148)-COLUMN($E$5),1),$E155),0)</f>
        <v>0</v>
      </c>
      <c r="T155" s="295">
        <f>IF(T$6=$C155,IF(INDEX('Surface DEET'!$F$9:$W$38,COLUMN(T148)-COLUMN($E$5),7)&gt;0,INDEX('Surface DEET'!$F$9:$W$38,COLUMN(T148)-COLUMN($E$5),1),$E155),0)</f>
        <v>0</v>
      </c>
      <c r="U155" s="295">
        <f>IF(U$6=$C155,IF(INDEX('Surface DEET'!$F$9:$W$38,COLUMN(U148)-COLUMN($E$5),7)&gt;0,INDEX('Surface DEET'!$F$9:$W$38,COLUMN(U148)-COLUMN($E$5),1),$E155),0)</f>
        <v>0</v>
      </c>
      <c r="V155" s="295">
        <f>IF(V$6=$C155,IF(INDEX('Surface DEET'!$F$9:$W$38,COLUMN(V148)-COLUMN($E$5),7)&gt;0,INDEX('Surface DEET'!$F$9:$W$38,COLUMN(V148)-COLUMN($E$5),1),$E155),0)</f>
        <v>0</v>
      </c>
      <c r="W155" s="295">
        <f>IF(W$6=$C155,IF(INDEX('Surface DEET'!$F$9:$W$38,COLUMN(W148)-COLUMN($E$5),7)&gt;0,INDEX('Surface DEET'!$F$9:$W$38,COLUMN(W148)-COLUMN($E$5),1),$E155),0)</f>
        <v>0</v>
      </c>
      <c r="X155" s="295">
        <f>IF(X$6=$C155,IF(INDEX('Surface DEET'!$F$9:$W$38,COLUMN(X148)-COLUMN($E$5),7)&gt;0,INDEX('Surface DEET'!$F$9:$W$38,COLUMN(X148)-COLUMN($E$5),1),$E155),0)</f>
        <v>0</v>
      </c>
      <c r="Y155" s="295">
        <f>IF(Y$6=$C155,IF(INDEX('Surface DEET'!$F$9:$W$38,COLUMN(Y148)-COLUMN($E$5),7)&gt;0,INDEX('Surface DEET'!$F$9:$W$38,COLUMN(Y148)-COLUMN($E$5),1),$E155),0)</f>
        <v>0</v>
      </c>
      <c r="Z155" s="295">
        <f>IF(Z$6=$C155,IF(INDEX('Surface DEET'!$F$9:$W$38,COLUMN(Z148)-COLUMN($E$5),7)&gt;0,INDEX('Surface DEET'!$F$9:$W$38,COLUMN(Z148)-COLUMN($E$5),1),$E155),0)</f>
        <v>0</v>
      </c>
      <c r="AA155" s="295">
        <f>IF(AA$6=$C155,IF(INDEX('Surface DEET'!$F$9:$W$38,COLUMN(AA148)-COLUMN($E$5),7)&gt;0,INDEX('Surface DEET'!$F$9:$W$38,COLUMN(AA148)-COLUMN($E$5),1),$E155),0)</f>
        <v>0</v>
      </c>
      <c r="AB155" s="295">
        <f>IF(AB$6=$C155,IF(INDEX('Surface DEET'!$F$9:$W$38,COLUMN(AB148)-COLUMN($E$5),7)&gt;0,INDEX('Surface DEET'!$F$9:$W$38,COLUMN(AB148)-COLUMN($E$5),1),$E155),0)</f>
        <v>0</v>
      </c>
      <c r="AC155" s="295">
        <f>IF(AC$6=$C155,IF(INDEX('Surface DEET'!$F$9:$W$38,COLUMN(AC148)-COLUMN($E$5),7)&gt;0,INDEX('Surface DEET'!$F$9:$W$38,COLUMN(AC148)-COLUMN($E$5),1),$E155),0)</f>
        <v>0</v>
      </c>
      <c r="AD155" s="295">
        <f>IF(AD$6=$C155,IF(INDEX('Surface DEET'!$F$9:$W$38,COLUMN(AD148)-COLUMN($E$5),7)&gt;0,INDEX('Surface DEET'!$F$9:$W$38,COLUMN(AD148)-COLUMN($E$5),1),$E155),0)</f>
        <v>0</v>
      </c>
      <c r="AE155" s="295">
        <f>IF(AE$6=$C155,IF(INDEX('Surface DEET'!$F$9:$W$38,COLUMN(AE148)-COLUMN($E$5),7)&gt;0,INDEX('Surface DEET'!$F$9:$W$38,COLUMN(AE148)-COLUMN($E$5),1),$E155),0)</f>
        <v>0</v>
      </c>
      <c r="AF155" s="295">
        <f>IF(AF$6=$C155,IF(INDEX('Surface DEET'!$F$9:$W$38,COLUMN(AF148)-COLUMN($E$5),7)&gt;0,INDEX('Surface DEET'!$F$9:$W$38,COLUMN(AF148)-COLUMN($E$5),1),$E155),0)</f>
        <v>0</v>
      </c>
      <c r="AG155" s="295">
        <f>IF(AG$6=$C155,IF(INDEX('Surface DEET'!$F$9:$W$38,COLUMN(AG148)-COLUMN($E$5),7)&gt;0,INDEX('Surface DEET'!$F$9:$W$38,COLUMN(AG148)-COLUMN($E$5),1),$E155),0)</f>
        <v>0</v>
      </c>
      <c r="AH155" s="295">
        <f>IF(AH$6=$C155,IF(INDEX('Surface DEET'!$F$9:$W$38,COLUMN(AH148)-COLUMN($E$5),7)&gt;0,INDEX('Surface DEET'!$F$9:$W$38,COLUMN(AH148)-COLUMN($E$5),1),$E155),0)</f>
        <v>0</v>
      </c>
      <c r="AI155" s="295">
        <f>IF(AI$6=$C155,IF(INDEX('Surface DEET'!$F$9:$W$38,COLUMN(AI148)-COLUMN($E$5),7)&gt;0,INDEX('Surface DEET'!$F$9:$W$38,COLUMN(AI148)-COLUMN($E$5),1),$E155),0)</f>
        <v>0</v>
      </c>
    </row>
    <row r="156" spans="1:35">
      <c r="A156" s="520"/>
      <c r="B156" s="295" t="s">
        <v>542</v>
      </c>
      <c r="C156" s="32" t="s">
        <v>634</v>
      </c>
      <c r="D156" s="295" t="s">
        <v>542</v>
      </c>
      <c r="F156" s="295">
        <f>IFERROR(1127*F154/F155+(1-$E$152)*$E$150*(F153/$E$153)+0.25*$E$149*(F153-$E$153)/$E$153,0)</f>
        <v>0</v>
      </c>
      <c r="G156" s="295">
        <f>IFERROR(1127*G154/G155+(1-$E$152)*$E$150*(G153/$E$153)+0.25*$E$149*(G153-$E$153)/$E$153,0)</f>
        <v>0</v>
      </c>
      <c r="H156" s="295">
        <f t="shared" ref="H156:AI156" si="18">IFERROR(1127*H154/H155+(1-$E$152)*$E$150*(H153/$E$153)+0.25*$E$149*(H153-$E$153)/$E$153,0)</f>
        <v>0</v>
      </c>
      <c r="I156" s="295">
        <f t="shared" si="18"/>
        <v>0</v>
      </c>
      <c r="J156" s="295">
        <f t="shared" si="18"/>
        <v>0</v>
      </c>
      <c r="K156" s="295">
        <f t="shared" si="18"/>
        <v>0</v>
      </c>
      <c r="L156" s="295">
        <f t="shared" si="18"/>
        <v>0</v>
      </c>
      <c r="M156" s="295">
        <f t="shared" si="18"/>
        <v>0</v>
      </c>
      <c r="N156" s="295">
        <f t="shared" si="18"/>
        <v>0</v>
      </c>
      <c r="O156" s="295">
        <f t="shared" si="18"/>
        <v>0</v>
      </c>
      <c r="P156" s="295">
        <f t="shared" si="18"/>
        <v>0</v>
      </c>
      <c r="Q156" s="295">
        <f t="shared" si="18"/>
        <v>0</v>
      </c>
      <c r="R156" s="295">
        <f t="shared" si="18"/>
        <v>0</v>
      </c>
      <c r="S156" s="295">
        <f t="shared" si="18"/>
        <v>0</v>
      </c>
      <c r="T156" s="295">
        <f t="shared" si="18"/>
        <v>0</v>
      </c>
      <c r="U156" s="295">
        <f t="shared" si="18"/>
        <v>0</v>
      </c>
      <c r="V156" s="295">
        <f t="shared" si="18"/>
        <v>0</v>
      </c>
      <c r="W156" s="295">
        <f t="shared" si="18"/>
        <v>0</v>
      </c>
      <c r="X156" s="295">
        <f t="shared" si="18"/>
        <v>0</v>
      </c>
      <c r="Y156" s="295">
        <f t="shared" si="18"/>
        <v>0</v>
      </c>
      <c r="Z156" s="295">
        <f t="shared" si="18"/>
        <v>0</v>
      </c>
      <c r="AA156" s="295">
        <f t="shared" si="18"/>
        <v>0</v>
      </c>
      <c r="AB156" s="295">
        <f t="shared" si="18"/>
        <v>0</v>
      </c>
      <c r="AC156" s="295">
        <f t="shared" si="18"/>
        <v>0</v>
      </c>
      <c r="AD156" s="295">
        <f t="shared" si="18"/>
        <v>0</v>
      </c>
      <c r="AE156" s="295">
        <f t="shared" si="18"/>
        <v>0</v>
      </c>
      <c r="AF156" s="295">
        <f t="shared" si="18"/>
        <v>0</v>
      </c>
      <c r="AG156" s="295">
        <f t="shared" si="18"/>
        <v>0</v>
      </c>
      <c r="AH156" s="295">
        <f t="shared" si="18"/>
        <v>0</v>
      </c>
      <c r="AI156" s="295">
        <f t="shared" si="18"/>
        <v>0</v>
      </c>
    </row>
    <row r="157" spans="1:35">
      <c r="A157" s="521" t="s">
        <v>637</v>
      </c>
      <c r="B157" s="93" t="s">
        <v>301</v>
      </c>
      <c r="C157" s="32" t="s">
        <v>637</v>
      </c>
      <c r="D157" s="93" t="s">
        <v>301</v>
      </c>
      <c r="E157" s="295">
        <f t="array" ref="E157">INDEX(CABS_CVC!$C$3:$O$894,MATCH(1, (CABS_CVC!$A$3:$A$894=Calculs_CABS!C157)*(CABS_CVC!$B$3:$B$894=Calculs_CABS!$D$2),0),MATCH(Calculs_CABS!$D$1,Liste_CABS!$B$3:$B$15,0))</f>
        <v>91</v>
      </c>
    </row>
    <row r="158" spans="1:35">
      <c r="A158" s="521"/>
      <c r="B158" s="295" t="s">
        <v>543</v>
      </c>
      <c r="C158" s="32" t="s">
        <v>637</v>
      </c>
      <c r="D158" s="295" t="s">
        <v>543</v>
      </c>
      <c r="E158" s="295">
        <v>276</v>
      </c>
    </row>
    <row r="159" spans="1:35">
      <c r="A159" s="521"/>
      <c r="B159" s="295" t="s">
        <v>544</v>
      </c>
      <c r="C159" s="32" t="s">
        <v>637</v>
      </c>
      <c r="D159" s="295" t="s">
        <v>544</v>
      </c>
      <c r="E159" s="295">
        <f>E157+E158</f>
        <v>367</v>
      </c>
    </row>
    <row r="160" spans="1:35">
      <c r="A160" s="521"/>
      <c r="B160" s="295" t="s">
        <v>545</v>
      </c>
      <c r="C160" s="32" t="s">
        <v>637</v>
      </c>
      <c r="D160" s="295" t="s">
        <v>545</v>
      </c>
      <c r="E160" s="295">
        <v>0.89</v>
      </c>
    </row>
    <row r="161" spans="1:35">
      <c r="A161" s="521"/>
      <c r="B161" s="295" t="s">
        <v>546</v>
      </c>
      <c r="C161" s="32" t="s">
        <v>637</v>
      </c>
      <c r="D161" s="295" t="s">
        <v>638</v>
      </c>
      <c r="E161" s="295">
        <v>8760</v>
      </c>
      <c r="F161" s="295">
        <f>IF(F$6=$C161,IF(INDEX('Surface DEET'!$Q$9:$W$38,COLUMN(F154)-COLUMN($E$5),1)&gt;0,INDEX('Surface DEET'!$Q$9:$W$38,COLUMN(F154)-COLUMN($E$5),1),$E161),0)</f>
        <v>0</v>
      </c>
      <c r="G161" s="295">
        <f>IF(G$6=$C161,IF(INDEX('Surface DEET'!$Q$9:$W$38,COLUMN(G154)-COLUMN($E$5),1)&gt;0,INDEX('Surface DEET'!$Q$9:$W$38,COLUMN(G154)-COLUMN($E$5),1),$E161),0)</f>
        <v>0</v>
      </c>
      <c r="H161" s="295">
        <f>IF(H$6=$C161,IF(INDEX('Surface DEET'!$Q$9:$W$38,COLUMN(H154)-COLUMN($E$5),1)&gt;0,INDEX('Surface DEET'!$Q$9:$W$38,COLUMN(H154)-COLUMN($E$5),1),$E161),0)</f>
        <v>0</v>
      </c>
      <c r="I161" s="295">
        <f>IF(I$6=$C161,IF(INDEX('Surface DEET'!$Q$9:$W$38,COLUMN(I154)-COLUMN($E$5),1)&gt;0,INDEX('Surface DEET'!$Q$9:$W$38,COLUMN(I154)-COLUMN($E$5),1),$E161),0)</f>
        <v>0</v>
      </c>
      <c r="J161" s="295">
        <f>IF(J$6=$C161,IF(INDEX('Surface DEET'!$Q$9:$W$38,COLUMN(J154)-COLUMN($E$5),1)&gt;0,INDEX('Surface DEET'!$Q$9:$W$38,COLUMN(J154)-COLUMN($E$5),1),$E161),0)</f>
        <v>0</v>
      </c>
      <c r="K161" s="295">
        <f>IF(K$6=$C161,IF(INDEX('Surface DEET'!$Q$9:$W$38,COLUMN(K154)-COLUMN($E$5),1)&gt;0,INDEX('Surface DEET'!$Q$9:$W$38,COLUMN(K154)-COLUMN($E$5),1),$E161),0)</f>
        <v>0</v>
      </c>
      <c r="L161" s="295">
        <f>IF(L$6=$C161,IF(INDEX('Surface DEET'!$Q$9:$W$38,COLUMN(L154)-COLUMN($E$5),1)&gt;0,INDEX('Surface DEET'!$Q$9:$W$38,COLUMN(L154)-COLUMN($E$5),1),$E161),0)</f>
        <v>0</v>
      </c>
      <c r="M161" s="295">
        <f>IF(M$6=$C161,IF(INDEX('Surface DEET'!$Q$9:$W$38,COLUMN(M154)-COLUMN($E$5),1)&gt;0,INDEX('Surface DEET'!$Q$9:$W$38,COLUMN(M154)-COLUMN($E$5),1),$E161),0)</f>
        <v>0</v>
      </c>
      <c r="N161" s="295">
        <f>IF(N$6=$C161,IF(INDEX('Surface DEET'!$Q$9:$W$38,COLUMN(N154)-COLUMN($E$5),1)&gt;0,INDEX('Surface DEET'!$Q$9:$W$38,COLUMN(N154)-COLUMN($E$5),1),$E161),0)</f>
        <v>0</v>
      </c>
      <c r="O161" s="295">
        <f>IF(O$6=$C161,IF(INDEX('Surface DEET'!$Q$9:$W$38,COLUMN(O154)-COLUMN($E$5),1)&gt;0,INDEX('Surface DEET'!$Q$9:$W$38,COLUMN(O154)-COLUMN($E$5),1),$E161),0)</f>
        <v>0</v>
      </c>
      <c r="P161" s="295">
        <f>IF(P$6=$C161,IF(INDEX('Surface DEET'!$Q$9:$W$38,COLUMN(P154)-COLUMN($E$5),1)&gt;0,INDEX('Surface DEET'!$Q$9:$W$38,COLUMN(P154)-COLUMN($E$5),1),$E161),0)</f>
        <v>0</v>
      </c>
      <c r="Q161" s="295">
        <f>IF(Q$6=$C161,IF(INDEX('Surface DEET'!$Q$9:$W$38,COLUMN(Q154)-COLUMN($E$5),1)&gt;0,INDEX('Surface DEET'!$Q$9:$W$38,COLUMN(Q154)-COLUMN($E$5),1),$E161),0)</f>
        <v>0</v>
      </c>
      <c r="R161" s="295">
        <f>IF(R$6=$C161,IF(INDEX('Surface DEET'!$Q$9:$W$38,COLUMN(R154)-COLUMN($E$5),1)&gt;0,INDEX('Surface DEET'!$Q$9:$W$38,COLUMN(R154)-COLUMN($E$5),1),$E161),0)</f>
        <v>0</v>
      </c>
      <c r="S161" s="295">
        <f>IF(S$6=$C161,IF(INDEX('Surface DEET'!$Q$9:$W$38,COLUMN(S154)-COLUMN($E$5),1)&gt;0,INDEX('Surface DEET'!$Q$9:$W$38,COLUMN(S154)-COLUMN($E$5),1),$E161),0)</f>
        <v>0</v>
      </c>
      <c r="T161" s="295">
        <f>IF(T$6=$C161,IF(INDEX('Surface DEET'!$Q$9:$W$38,COLUMN(T154)-COLUMN($E$5),1)&gt;0,INDEX('Surface DEET'!$Q$9:$W$38,COLUMN(T154)-COLUMN($E$5),1),$E161),0)</f>
        <v>0</v>
      </c>
      <c r="U161" s="295">
        <f>IF(U$6=$C161,IF(INDEX('Surface DEET'!$Q$9:$W$38,COLUMN(U154)-COLUMN($E$5),1)&gt;0,INDEX('Surface DEET'!$Q$9:$W$38,COLUMN(U154)-COLUMN($E$5),1),$E161),0)</f>
        <v>0</v>
      </c>
      <c r="V161" s="295">
        <f>IF(V$6=$C161,IF(INDEX('Surface DEET'!$Q$9:$W$38,COLUMN(V154)-COLUMN($E$5),1)&gt;0,INDEX('Surface DEET'!$Q$9:$W$38,COLUMN(V154)-COLUMN($E$5),1),$E161),0)</f>
        <v>0</v>
      </c>
      <c r="W161" s="295">
        <f>IF(W$6=$C161,IF(INDEX('Surface DEET'!$Q$9:$W$38,COLUMN(W154)-COLUMN($E$5),1)&gt;0,INDEX('Surface DEET'!$Q$9:$W$38,COLUMN(W154)-COLUMN($E$5),1),$E161),0)</f>
        <v>0</v>
      </c>
      <c r="X161" s="295">
        <f>IF(X$6=$C161,IF(INDEX('Surface DEET'!$Q$9:$W$38,COLUMN(X154)-COLUMN($E$5),1)&gt;0,INDEX('Surface DEET'!$Q$9:$W$38,COLUMN(X154)-COLUMN($E$5),1),$E161),0)</f>
        <v>0</v>
      </c>
      <c r="Y161" s="295">
        <f>IF(Y$6=$C161,IF(INDEX('Surface DEET'!$Q$9:$W$38,COLUMN(Y154)-COLUMN($E$5),1)&gt;0,INDEX('Surface DEET'!$Q$9:$W$38,COLUMN(Y154)-COLUMN($E$5),1),$E161),0)</f>
        <v>0</v>
      </c>
      <c r="Z161" s="295">
        <f>IF(Z$6=$C161,IF(INDEX('Surface DEET'!$Q$9:$W$38,COLUMN(Z154)-COLUMN($E$5),1)&gt;0,INDEX('Surface DEET'!$Q$9:$W$38,COLUMN(Z154)-COLUMN($E$5),1),$E161),0)</f>
        <v>0</v>
      </c>
      <c r="AA161" s="295">
        <f>IF(AA$6=$C161,IF(INDEX('Surface DEET'!$Q$9:$W$38,COLUMN(AA154)-COLUMN($E$5),1)&gt;0,INDEX('Surface DEET'!$Q$9:$W$38,COLUMN(AA154)-COLUMN($E$5),1),$E161),0)</f>
        <v>0</v>
      </c>
      <c r="AB161" s="295">
        <f>IF(AB$6=$C161,IF(INDEX('Surface DEET'!$Q$9:$W$38,COLUMN(AB154)-COLUMN($E$5),1)&gt;0,INDEX('Surface DEET'!$Q$9:$W$38,COLUMN(AB154)-COLUMN($E$5),1),$E161),0)</f>
        <v>0</v>
      </c>
      <c r="AC161" s="295">
        <f>IF(AC$6=$C161,IF(INDEX('Surface DEET'!$Q$9:$W$38,COLUMN(AC154)-COLUMN($E$5),1)&gt;0,INDEX('Surface DEET'!$Q$9:$W$38,COLUMN(AC154)-COLUMN($E$5),1),$E161),0)</f>
        <v>0</v>
      </c>
      <c r="AD161" s="295">
        <f>IF(AD$6=$C161,IF(INDEX('Surface DEET'!$Q$9:$W$38,COLUMN(AD154)-COLUMN($E$5),1)&gt;0,INDEX('Surface DEET'!$Q$9:$W$38,COLUMN(AD154)-COLUMN($E$5),1),$E161),0)</f>
        <v>0</v>
      </c>
      <c r="AE161" s="295">
        <f>IF(AE$6=$C161,IF(INDEX('Surface DEET'!$Q$9:$W$38,COLUMN(AE154)-COLUMN($E$5),1)&gt;0,INDEX('Surface DEET'!$Q$9:$W$38,COLUMN(AE154)-COLUMN($E$5),1),$E161),0)</f>
        <v>0</v>
      </c>
      <c r="AF161" s="295">
        <f>IF(AF$6=$C161,IF(INDEX('Surface DEET'!$Q$9:$W$38,COLUMN(AF154)-COLUMN($E$5),1)&gt;0,INDEX('Surface DEET'!$Q$9:$W$38,COLUMN(AF154)-COLUMN($E$5),1),$E161),0)</f>
        <v>0</v>
      </c>
      <c r="AG161" s="295">
        <f>IF(AG$6=$C161,IF(INDEX('Surface DEET'!$Q$9:$W$38,COLUMN(AG154)-COLUMN($E$5),1)&gt;0,INDEX('Surface DEET'!$Q$9:$W$38,COLUMN(AG154)-COLUMN($E$5),1),$E161),0)</f>
        <v>0</v>
      </c>
      <c r="AH161" s="295">
        <f>IF(AH$6=$C161,IF(INDEX('Surface DEET'!$Q$9:$W$38,COLUMN(AH154)-COLUMN($E$5),1)&gt;0,INDEX('Surface DEET'!$Q$9:$W$38,COLUMN(AH154)-COLUMN($E$5),1),$E161),0)</f>
        <v>0</v>
      </c>
      <c r="AI161" s="295">
        <f>IF(AI$6=$C161,IF(INDEX('Surface DEET'!$Q$9:$W$38,COLUMN(AI154)-COLUMN($E$5),1)&gt;0,INDEX('Surface DEET'!$Q$9:$W$38,COLUMN(AI154)-COLUMN($E$5),1),$E161),0)</f>
        <v>0</v>
      </c>
    </row>
    <row r="162" spans="1:35">
      <c r="A162" s="521"/>
      <c r="B162" s="295" t="s">
        <v>549</v>
      </c>
      <c r="C162" s="32" t="s">
        <v>637</v>
      </c>
      <c r="D162" s="295" t="s">
        <v>639</v>
      </c>
      <c r="E162" s="295">
        <v>30</v>
      </c>
      <c r="F162" s="295">
        <f>IF(F$6=$C162,IF(INDEX('Surface DEET'!$Q$9:$W$38,COLUMN(F155)-COLUMN($E$5),4)&gt;0,INDEX('Surface DEET'!$Q$9:$W$38,COLUMN(F155)-COLUMN($E$5),4),$E162),0)</f>
        <v>0</v>
      </c>
      <c r="G162" s="295">
        <f>IF(G$6=$C162,IF(INDEX('Surface DEET'!$Q$9:$W$38,COLUMN(G155)-COLUMN($E$5),4)&gt;0,INDEX('Surface DEET'!$Q$9:$W$38,COLUMN(G155)-COLUMN($E$5),4),$E162),0)</f>
        <v>0</v>
      </c>
      <c r="H162" s="295">
        <f>IF(H$6=$C162,IF(INDEX('Surface DEET'!$Q$9:$W$38,COLUMN(H155)-COLUMN($E$5),4)&gt;0,INDEX('Surface DEET'!$Q$9:$W$38,COLUMN(H155)-COLUMN($E$5),4),$E162),0)</f>
        <v>0</v>
      </c>
      <c r="I162" s="295">
        <f>IF(I$6=$C162,IF(INDEX('Surface DEET'!$Q$9:$W$38,COLUMN(I155)-COLUMN($E$5),4)&gt;0,INDEX('Surface DEET'!$Q$9:$W$38,COLUMN(I155)-COLUMN($E$5),4),$E162),0)</f>
        <v>0</v>
      </c>
      <c r="J162" s="295">
        <f>IF(J$6=$C162,IF(INDEX('Surface DEET'!$Q$9:$W$38,COLUMN(J155)-COLUMN($E$5),4)&gt;0,INDEX('Surface DEET'!$Q$9:$W$38,COLUMN(J155)-COLUMN($E$5),4),$E162),0)</f>
        <v>0</v>
      </c>
      <c r="K162" s="295">
        <f>IF(K$6=$C162,IF(INDEX('Surface DEET'!$Q$9:$W$38,COLUMN(K155)-COLUMN($E$5),4)&gt;0,INDEX('Surface DEET'!$Q$9:$W$38,COLUMN(K155)-COLUMN($E$5),4),$E162),0)</f>
        <v>0</v>
      </c>
      <c r="L162" s="295">
        <f>IF(L$6=$C162,IF(INDEX('Surface DEET'!$Q$9:$W$38,COLUMN(L155)-COLUMN($E$5),4)&gt;0,INDEX('Surface DEET'!$Q$9:$W$38,COLUMN(L155)-COLUMN($E$5),4),$E162),0)</f>
        <v>0</v>
      </c>
      <c r="M162" s="295">
        <f>IF(M$6=$C162,IF(INDEX('Surface DEET'!$Q$9:$W$38,COLUMN(M155)-COLUMN($E$5),4)&gt;0,INDEX('Surface DEET'!$Q$9:$W$38,COLUMN(M155)-COLUMN($E$5),4),$E162),0)</f>
        <v>0</v>
      </c>
      <c r="N162" s="295">
        <f>IF(N$6=$C162,IF(INDEX('Surface DEET'!$Q$9:$W$38,COLUMN(N155)-COLUMN($E$5),4)&gt;0,INDEX('Surface DEET'!$Q$9:$W$38,COLUMN(N155)-COLUMN($E$5),4),$E162),0)</f>
        <v>0</v>
      </c>
      <c r="O162" s="295">
        <f>IF(O$6=$C162,IF(INDEX('Surface DEET'!$Q$9:$W$38,COLUMN(O155)-COLUMN($E$5),4)&gt;0,INDEX('Surface DEET'!$Q$9:$W$38,COLUMN(O155)-COLUMN($E$5),4),$E162),0)</f>
        <v>0</v>
      </c>
      <c r="P162" s="295">
        <f>IF(P$6=$C162,IF(INDEX('Surface DEET'!$Q$9:$W$38,COLUMN(P155)-COLUMN($E$5),4)&gt;0,INDEX('Surface DEET'!$Q$9:$W$38,COLUMN(P155)-COLUMN($E$5),4),$E162),0)</f>
        <v>0</v>
      </c>
      <c r="Q162" s="295">
        <f>IF(Q$6=$C162,IF(INDEX('Surface DEET'!$Q$9:$W$38,COLUMN(Q155)-COLUMN($E$5),4)&gt;0,INDEX('Surface DEET'!$Q$9:$W$38,COLUMN(Q155)-COLUMN($E$5),4),$E162),0)</f>
        <v>0</v>
      </c>
      <c r="R162" s="295">
        <f>IF(R$6=$C162,IF(INDEX('Surface DEET'!$Q$9:$W$38,COLUMN(R155)-COLUMN($E$5),4)&gt;0,INDEX('Surface DEET'!$Q$9:$W$38,COLUMN(R155)-COLUMN($E$5),4),$E162),0)</f>
        <v>0</v>
      </c>
      <c r="S162" s="295">
        <f>IF(S$6=$C162,IF(INDEX('Surface DEET'!$Q$9:$W$38,COLUMN(S155)-COLUMN($E$5),4)&gt;0,INDEX('Surface DEET'!$Q$9:$W$38,COLUMN(S155)-COLUMN($E$5),4),$E162),0)</f>
        <v>0</v>
      </c>
      <c r="T162" s="295">
        <f>IF(T$6=$C162,IF(INDEX('Surface DEET'!$Q$9:$W$38,COLUMN(T155)-COLUMN($E$5),4)&gt;0,INDEX('Surface DEET'!$Q$9:$W$38,COLUMN(T155)-COLUMN($E$5),4),$E162),0)</f>
        <v>0</v>
      </c>
      <c r="U162" s="295">
        <f>IF(U$6=$C162,IF(INDEX('Surface DEET'!$Q$9:$W$38,COLUMN(U155)-COLUMN($E$5),4)&gt;0,INDEX('Surface DEET'!$Q$9:$W$38,COLUMN(U155)-COLUMN($E$5),4),$E162),0)</f>
        <v>0</v>
      </c>
      <c r="V162" s="295">
        <f>IF(V$6=$C162,IF(INDEX('Surface DEET'!$Q$9:$W$38,COLUMN(V155)-COLUMN($E$5),4)&gt;0,INDEX('Surface DEET'!$Q$9:$W$38,COLUMN(V155)-COLUMN($E$5),4),$E162),0)</f>
        <v>0</v>
      </c>
      <c r="W162" s="295">
        <f>IF(W$6=$C162,IF(INDEX('Surface DEET'!$Q$9:$W$38,COLUMN(W155)-COLUMN($E$5),4)&gt;0,INDEX('Surface DEET'!$Q$9:$W$38,COLUMN(W155)-COLUMN($E$5),4),$E162),0)</f>
        <v>0</v>
      </c>
      <c r="X162" s="295">
        <f>IF(X$6=$C162,IF(INDEX('Surface DEET'!$Q$9:$W$38,COLUMN(X155)-COLUMN($E$5),4)&gt;0,INDEX('Surface DEET'!$Q$9:$W$38,COLUMN(X155)-COLUMN($E$5),4),$E162),0)</f>
        <v>0</v>
      </c>
      <c r="Y162" s="295">
        <f>IF(Y$6=$C162,IF(INDEX('Surface DEET'!$Q$9:$W$38,COLUMN(Y155)-COLUMN($E$5),4)&gt;0,INDEX('Surface DEET'!$Q$9:$W$38,COLUMN(Y155)-COLUMN($E$5),4),$E162),0)</f>
        <v>0</v>
      </c>
      <c r="Z162" s="295">
        <f>IF(Z$6=$C162,IF(INDEX('Surface DEET'!$Q$9:$W$38,COLUMN(Z155)-COLUMN($E$5),4)&gt;0,INDEX('Surface DEET'!$Q$9:$W$38,COLUMN(Z155)-COLUMN($E$5),4),$E162),0)</f>
        <v>0</v>
      </c>
      <c r="AA162" s="295">
        <f>IF(AA$6=$C162,IF(INDEX('Surface DEET'!$Q$9:$W$38,COLUMN(AA155)-COLUMN($E$5),4)&gt;0,INDEX('Surface DEET'!$Q$9:$W$38,COLUMN(AA155)-COLUMN($E$5),4),$E162),0)</f>
        <v>0</v>
      </c>
      <c r="AB162" s="295">
        <f>IF(AB$6=$C162,IF(INDEX('Surface DEET'!$Q$9:$W$38,COLUMN(AB155)-COLUMN($E$5),4)&gt;0,INDEX('Surface DEET'!$Q$9:$W$38,COLUMN(AB155)-COLUMN($E$5),4),$E162),0)</f>
        <v>0</v>
      </c>
      <c r="AC162" s="295">
        <f>IF(AC$6=$C162,IF(INDEX('Surface DEET'!$Q$9:$W$38,COLUMN(AC155)-COLUMN($E$5),4)&gt;0,INDEX('Surface DEET'!$Q$9:$W$38,COLUMN(AC155)-COLUMN($E$5),4),$E162),0)</f>
        <v>0</v>
      </c>
      <c r="AD162" s="295">
        <f>IF(AD$6=$C162,IF(INDEX('Surface DEET'!$Q$9:$W$38,COLUMN(AD155)-COLUMN($E$5),4)&gt;0,INDEX('Surface DEET'!$Q$9:$W$38,COLUMN(AD155)-COLUMN($E$5),4),$E162),0)</f>
        <v>0</v>
      </c>
      <c r="AE162" s="295">
        <f>IF(AE$6=$C162,IF(INDEX('Surface DEET'!$Q$9:$W$38,COLUMN(AE155)-COLUMN($E$5),4)&gt;0,INDEX('Surface DEET'!$Q$9:$W$38,COLUMN(AE155)-COLUMN($E$5),4),$E162),0)</f>
        <v>0</v>
      </c>
      <c r="AF162" s="295">
        <f>IF(AF$6=$C162,IF(INDEX('Surface DEET'!$Q$9:$W$38,COLUMN(AF155)-COLUMN($E$5),4)&gt;0,INDEX('Surface DEET'!$Q$9:$W$38,COLUMN(AF155)-COLUMN($E$5),4),$E162),0)</f>
        <v>0</v>
      </c>
      <c r="AG162" s="295">
        <f>IF(AG$6=$C162,IF(INDEX('Surface DEET'!$Q$9:$W$38,COLUMN(AG155)-COLUMN($E$5),4)&gt;0,INDEX('Surface DEET'!$Q$9:$W$38,COLUMN(AG155)-COLUMN($E$5),4),$E162),0)</f>
        <v>0</v>
      </c>
      <c r="AH162" s="295">
        <f>IF(AH$6=$C162,IF(INDEX('Surface DEET'!$Q$9:$W$38,COLUMN(AH155)-COLUMN($E$5),4)&gt;0,INDEX('Surface DEET'!$Q$9:$W$38,COLUMN(AH155)-COLUMN($E$5),4),$E162),0)</f>
        <v>0</v>
      </c>
      <c r="AI162" s="295">
        <f>IF(AI$6=$C162,IF(INDEX('Surface DEET'!$Q$9:$W$38,COLUMN(AI155)-COLUMN($E$5),4)&gt;0,INDEX('Surface DEET'!$Q$9:$W$38,COLUMN(AI155)-COLUMN($E$5),4),$E162),0)</f>
        <v>0</v>
      </c>
    </row>
    <row r="163" spans="1:35">
      <c r="A163" s="521"/>
      <c r="B163" s="295" t="s">
        <v>552</v>
      </c>
      <c r="C163" s="32" t="s">
        <v>637</v>
      </c>
      <c r="D163" s="295" t="s">
        <v>640</v>
      </c>
      <c r="E163" s="295">
        <v>40</v>
      </c>
      <c r="F163" s="295">
        <f>IF(F$6=$C163,IF(INDEX('Surface DEET'!$Q$9:$W$38,COLUMN(F156)-COLUMN($E$5),7)&gt;0,INDEX('Surface DEET'!$Q$9:$W$38,COLUMN(F156)-COLUMN($E$5),7),$E163),0)</f>
        <v>0</v>
      </c>
      <c r="G163" s="295">
        <f>IF(G$6=$C163,IF(INDEX('Surface DEET'!$Q$9:$W$38,COLUMN(G156)-COLUMN($E$5),7)&gt;0,INDEX('Surface DEET'!$Q$9:$W$38,COLUMN(G156)-COLUMN($E$5),7),$E163),0)</f>
        <v>0</v>
      </c>
      <c r="H163" s="295">
        <f>IF(H$6=$C163,IF(INDEX('Surface DEET'!$Q$9:$W$38,COLUMN(H156)-COLUMN($E$5),7)&gt;0,INDEX('Surface DEET'!$Q$9:$W$38,COLUMN(H156)-COLUMN($E$5),7),$E163),0)</f>
        <v>0</v>
      </c>
      <c r="I163" s="295">
        <f>IF(I$6=$C163,IF(INDEX('Surface DEET'!$Q$9:$W$38,COLUMN(I156)-COLUMN($E$5),7)&gt;0,INDEX('Surface DEET'!$Q$9:$W$38,COLUMN(I156)-COLUMN($E$5),7),$E163),0)</f>
        <v>0</v>
      </c>
      <c r="J163" s="295">
        <f>IF(J$6=$C163,IF(INDEX('Surface DEET'!$Q$9:$W$38,COLUMN(J156)-COLUMN($E$5),7)&gt;0,INDEX('Surface DEET'!$Q$9:$W$38,COLUMN(J156)-COLUMN($E$5),7),$E163),0)</f>
        <v>0</v>
      </c>
      <c r="K163" s="295">
        <f>IF(K$6=$C163,IF(INDEX('Surface DEET'!$Q$9:$W$38,COLUMN(K156)-COLUMN($E$5),7)&gt;0,INDEX('Surface DEET'!$Q$9:$W$38,COLUMN(K156)-COLUMN($E$5),7),$E163),0)</f>
        <v>0</v>
      </c>
      <c r="L163" s="295">
        <f>IF(L$6=$C163,IF(INDEX('Surface DEET'!$Q$9:$W$38,COLUMN(L156)-COLUMN($E$5),7)&gt;0,INDEX('Surface DEET'!$Q$9:$W$38,COLUMN(L156)-COLUMN($E$5),7),$E163),0)</f>
        <v>0</v>
      </c>
      <c r="M163" s="295">
        <f>IF(M$6=$C163,IF(INDEX('Surface DEET'!$Q$9:$W$38,COLUMN(M156)-COLUMN($E$5),7)&gt;0,INDEX('Surface DEET'!$Q$9:$W$38,COLUMN(M156)-COLUMN($E$5),7),$E163),0)</f>
        <v>0</v>
      </c>
      <c r="N163" s="295">
        <f>IF(N$6=$C163,IF(INDEX('Surface DEET'!$Q$9:$W$38,COLUMN(N156)-COLUMN($E$5),7)&gt;0,INDEX('Surface DEET'!$Q$9:$W$38,COLUMN(N156)-COLUMN($E$5),7),$E163),0)</f>
        <v>0</v>
      </c>
      <c r="O163" s="295">
        <f>IF(O$6=$C163,IF(INDEX('Surface DEET'!$Q$9:$W$38,COLUMN(O156)-COLUMN($E$5),7)&gt;0,INDEX('Surface DEET'!$Q$9:$W$38,COLUMN(O156)-COLUMN($E$5),7),$E163),0)</f>
        <v>0</v>
      </c>
      <c r="P163" s="295">
        <f>IF(P$6=$C163,IF(INDEX('Surface DEET'!$Q$9:$W$38,COLUMN(P156)-COLUMN($E$5),7)&gt;0,INDEX('Surface DEET'!$Q$9:$W$38,COLUMN(P156)-COLUMN($E$5),7),$E163),0)</f>
        <v>0</v>
      </c>
      <c r="Q163" s="295">
        <f>IF(Q$6=$C163,IF(INDEX('Surface DEET'!$Q$9:$W$38,COLUMN(Q156)-COLUMN($E$5),7)&gt;0,INDEX('Surface DEET'!$Q$9:$W$38,COLUMN(Q156)-COLUMN($E$5),7),$E163),0)</f>
        <v>0</v>
      </c>
      <c r="R163" s="295">
        <f>IF(R$6=$C163,IF(INDEX('Surface DEET'!$Q$9:$W$38,COLUMN(R156)-COLUMN($E$5),7)&gt;0,INDEX('Surface DEET'!$Q$9:$W$38,COLUMN(R156)-COLUMN($E$5),7),$E163),0)</f>
        <v>0</v>
      </c>
      <c r="S163" s="295">
        <f>IF(S$6=$C163,IF(INDEX('Surface DEET'!$Q$9:$W$38,COLUMN(S156)-COLUMN($E$5),7)&gt;0,INDEX('Surface DEET'!$Q$9:$W$38,COLUMN(S156)-COLUMN($E$5),7),$E163),0)</f>
        <v>0</v>
      </c>
      <c r="T163" s="295">
        <f>IF(T$6=$C163,IF(INDEX('Surface DEET'!$Q$9:$W$38,COLUMN(T156)-COLUMN($E$5),7)&gt;0,INDEX('Surface DEET'!$Q$9:$W$38,COLUMN(T156)-COLUMN($E$5),7),$E163),0)</f>
        <v>0</v>
      </c>
      <c r="U163" s="295">
        <f>IF(U$6=$C163,IF(INDEX('Surface DEET'!$Q$9:$W$38,COLUMN(U156)-COLUMN($E$5),7)&gt;0,INDEX('Surface DEET'!$Q$9:$W$38,COLUMN(U156)-COLUMN($E$5),7),$E163),0)</f>
        <v>0</v>
      </c>
      <c r="V163" s="295">
        <f>IF(V$6=$C163,IF(INDEX('Surface DEET'!$Q$9:$W$38,COLUMN(V156)-COLUMN($E$5),7)&gt;0,INDEX('Surface DEET'!$Q$9:$W$38,COLUMN(V156)-COLUMN($E$5),7),$E163),0)</f>
        <v>0</v>
      </c>
      <c r="W163" s="295">
        <f>IF(W$6=$C163,IF(INDEX('Surface DEET'!$Q$9:$W$38,COLUMN(W156)-COLUMN($E$5),7)&gt;0,INDEX('Surface DEET'!$Q$9:$W$38,COLUMN(W156)-COLUMN($E$5),7),$E163),0)</f>
        <v>0</v>
      </c>
      <c r="X163" s="295">
        <f>IF(X$6=$C163,IF(INDEX('Surface DEET'!$Q$9:$W$38,COLUMN(X156)-COLUMN($E$5),7)&gt;0,INDEX('Surface DEET'!$Q$9:$W$38,COLUMN(X156)-COLUMN($E$5),7),$E163),0)</f>
        <v>0</v>
      </c>
      <c r="Y163" s="295">
        <f>IF(Y$6=$C163,IF(INDEX('Surface DEET'!$Q$9:$W$38,COLUMN(Y156)-COLUMN($E$5),7)&gt;0,INDEX('Surface DEET'!$Q$9:$W$38,COLUMN(Y156)-COLUMN($E$5),7),$E163),0)</f>
        <v>0</v>
      </c>
      <c r="Z163" s="295">
        <f>IF(Z$6=$C163,IF(INDEX('Surface DEET'!$Q$9:$W$38,COLUMN(Z156)-COLUMN($E$5),7)&gt;0,INDEX('Surface DEET'!$Q$9:$W$38,COLUMN(Z156)-COLUMN($E$5),7),$E163),0)</f>
        <v>0</v>
      </c>
      <c r="AA163" s="295">
        <f>IF(AA$6=$C163,IF(INDEX('Surface DEET'!$Q$9:$W$38,COLUMN(AA156)-COLUMN($E$5),7)&gt;0,INDEX('Surface DEET'!$Q$9:$W$38,COLUMN(AA156)-COLUMN($E$5),7),$E163),0)</f>
        <v>0</v>
      </c>
      <c r="AB163" s="295">
        <f>IF(AB$6=$C163,IF(INDEX('Surface DEET'!$Q$9:$W$38,COLUMN(AB156)-COLUMN($E$5),7)&gt;0,INDEX('Surface DEET'!$Q$9:$W$38,COLUMN(AB156)-COLUMN($E$5),7),$E163),0)</f>
        <v>0</v>
      </c>
      <c r="AC163" s="295">
        <f>IF(AC$6=$C163,IF(INDEX('Surface DEET'!$Q$9:$W$38,COLUMN(AC156)-COLUMN($E$5),7)&gt;0,INDEX('Surface DEET'!$Q$9:$W$38,COLUMN(AC156)-COLUMN($E$5),7),$E163),0)</f>
        <v>0</v>
      </c>
      <c r="AD163" s="295">
        <f>IF(AD$6=$C163,IF(INDEX('Surface DEET'!$Q$9:$W$38,COLUMN(AD156)-COLUMN($E$5),7)&gt;0,INDEX('Surface DEET'!$Q$9:$W$38,COLUMN(AD156)-COLUMN($E$5),7),$E163),0)</f>
        <v>0</v>
      </c>
      <c r="AE163" s="295">
        <f>IF(AE$6=$C163,IF(INDEX('Surface DEET'!$Q$9:$W$38,COLUMN(AE156)-COLUMN($E$5),7)&gt;0,INDEX('Surface DEET'!$Q$9:$W$38,COLUMN(AE156)-COLUMN($E$5),7),$E163),0)</f>
        <v>0</v>
      </c>
      <c r="AF163" s="295">
        <f>IF(AF$6=$C163,IF(INDEX('Surface DEET'!$Q$9:$W$38,COLUMN(AF156)-COLUMN($E$5),7)&gt;0,INDEX('Surface DEET'!$Q$9:$W$38,COLUMN(AF156)-COLUMN($E$5),7),$E163),0)</f>
        <v>0</v>
      </c>
      <c r="AG163" s="295">
        <f>IF(AG$6=$C163,IF(INDEX('Surface DEET'!$Q$9:$W$38,COLUMN(AG156)-COLUMN($E$5),7)&gt;0,INDEX('Surface DEET'!$Q$9:$W$38,COLUMN(AG156)-COLUMN($E$5),7),$E163),0)</f>
        <v>0</v>
      </c>
      <c r="AH163" s="295">
        <f>IF(AH$6=$C163,IF(INDEX('Surface DEET'!$Q$9:$W$38,COLUMN(AH156)-COLUMN($E$5),7)&gt;0,INDEX('Surface DEET'!$Q$9:$W$38,COLUMN(AH156)-COLUMN($E$5),7),$E163),0)</f>
        <v>0</v>
      </c>
      <c r="AI163" s="295">
        <f>IF(AI$6=$C163,IF(INDEX('Surface DEET'!$Q$9:$W$38,COLUMN(AI156)-COLUMN($E$5),7)&gt;0,INDEX('Surface DEET'!$Q$9:$W$38,COLUMN(AI156)-COLUMN($E$5),7),$E163),0)</f>
        <v>0</v>
      </c>
    </row>
    <row r="164" spans="1:35">
      <c r="A164" s="521"/>
      <c r="B164" s="295" t="s">
        <v>542</v>
      </c>
      <c r="C164" s="32" t="s">
        <v>637</v>
      </c>
      <c r="D164" s="295" t="s">
        <v>542</v>
      </c>
      <c r="F164" s="295">
        <f>IFERROR($E$158*(F161/$E$161+$E$160*(F163/$E$163)*($E$162/F162)+(1-$E$160))+0.28*$E$157*(F161-$E$161)/$E$161,0)</f>
        <v>0</v>
      </c>
      <c r="G164" s="295">
        <f t="shared" ref="G164:AI164" si="19">IFERROR($E$158*(G161/$E$161+$E$160*(G163/$E$163)*($E$162/G162)+1-$E$160)+0.28*$E$157*(G161-$E$161)/$E$161,0)</f>
        <v>0</v>
      </c>
      <c r="H164" s="295">
        <f t="shared" si="19"/>
        <v>0</v>
      </c>
      <c r="I164" s="295">
        <f t="shared" si="19"/>
        <v>0</v>
      </c>
      <c r="J164" s="295">
        <f t="shared" si="19"/>
        <v>0</v>
      </c>
      <c r="K164" s="295">
        <f t="shared" si="19"/>
        <v>0</v>
      </c>
      <c r="L164" s="295">
        <f t="shared" si="19"/>
        <v>0</v>
      </c>
      <c r="M164" s="295">
        <f t="shared" si="19"/>
        <v>0</v>
      </c>
      <c r="N164" s="295">
        <f t="shared" si="19"/>
        <v>0</v>
      </c>
      <c r="O164" s="295">
        <f t="shared" si="19"/>
        <v>0</v>
      </c>
      <c r="P164" s="295">
        <f t="shared" si="19"/>
        <v>0</v>
      </c>
      <c r="Q164" s="295">
        <f t="shared" si="19"/>
        <v>0</v>
      </c>
      <c r="R164" s="295">
        <f t="shared" si="19"/>
        <v>0</v>
      </c>
      <c r="S164" s="295">
        <f t="shared" si="19"/>
        <v>0</v>
      </c>
      <c r="T164" s="295">
        <f t="shared" si="19"/>
        <v>0</v>
      </c>
      <c r="U164" s="295">
        <f t="shared" si="19"/>
        <v>0</v>
      </c>
      <c r="V164" s="295">
        <f t="shared" si="19"/>
        <v>0</v>
      </c>
      <c r="W164" s="295">
        <f t="shared" si="19"/>
        <v>0</v>
      </c>
      <c r="X164" s="295">
        <f t="shared" si="19"/>
        <v>0</v>
      </c>
      <c r="Y164" s="295">
        <f t="shared" si="19"/>
        <v>0</v>
      </c>
      <c r="Z164" s="295">
        <f t="shared" si="19"/>
        <v>0</v>
      </c>
      <c r="AA164" s="295">
        <f t="shared" si="19"/>
        <v>0</v>
      </c>
      <c r="AB164" s="295">
        <f t="shared" si="19"/>
        <v>0</v>
      </c>
      <c r="AC164" s="295">
        <f t="shared" si="19"/>
        <v>0</v>
      </c>
      <c r="AD164" s="295">
        <f t="shared" si="19"/>
        <v>0</v>
      </c>
      <c r="AE164" s="295">
        <f t="shared" si="19"/>
        <v>0</v>
      </c>
      <c r="AF164" s="295">
        <f t="shared" si="19"/>
        <v>0</v>
      </c>
      <c r="AG164" s="295">
        <f t="shared" si="19"/>
        <v>0</v>
      </c>
      <c r="AH164" s="295">
        <f t="shared" si="19"/>
        <v>0</v>
      </c>
      <c r="AI164" s="295">
        <f t="shared" si="19"/>
        <v>0</v>
      </c>
    </row>
    <row r="165" spans="1:35">
      <c r="B165" s="93" t="s">
        <v>301</v>
      </c>
      <c r="C165" s="295" t="s">
        <v>641</v>
      </c>
      <c r="D165" s="93" t="s">
        <v>301</v>
      </c>
      <c r="E165" s="295">
        <f t="array" ref="E165">INDEX(CABS_CVC!$C$3:$O$894,MATCH(1, (CABS_CVC!$A$3:$A$894=Calculs_CABS!C165)*(CABS_CVC!$B$3:$B$894=Calculs_CABS!$D$2),0),MATCH(Calculs_CABS!$D$1,Liste_CABS!$B$3:$B$15,0))</f>
        <v>95</v>
      </c>
    </row>
    <row r="166" spans="1:35">
      <c r="B166" s="295" t="s">
        <v>543</v>
      </c>
      <c r="C166" s="295" t="s">
        <v>641</v>
      </c>
      <c r="D166" s="295" t="s">
        <v>543</v>
      </c>
      <c r="E166" s="295">
        <v>289</v>
      </c>
    </row>
    <row r="167" spans="1:35">
      <c r="B167" s="295" t="s">
        <v>544</v>
      </c>
      <c r="C167" s="295" t="s">
        <v>641</v>
      </c>
      <c r="D167" s="295" t="s">
        <v>544</v>
      </c>
      <c r="E167" s="295">
        <f>E165+E166</f>
        <v>384</v>
      </c>
    </row>
    <row r="168" spans="1:35">
      <c r="B168" s="295" t="s">
        <v>545</v>
      </c>
      <c r="C168" s="295" t="s">
        <v>641</v>
      </c>
      <c r="D168" s="295" t="s">
        <v>545</v>
      </c>
      <c r="E168" s="295">
        <v>0.87</v>
      </c>
    </row>
    <row r="169" spans="1:35">
      <c r="B169" s="295" t="s">
        <v>546</v>
      </c>
      <c r="C169" s="295" t="s">
        <v>641</v>
      </c>
      <c r="D169" s="295" t="s">
        <v>642</v>
      </c>
      <c r="E169" s="295">
        <v>8760</v>
      </c>
      <c r="F169" s="295">
        <f>IF(F$6=$C169,IF(INDEX('Surface DEET'!$Q$9:$W$38,COLUMN(F162)-COLUMN($E$5),1)&gt;0,INDEX('Surface DEET'!$Q$9:$W$38,COLUMN(F162)-COLUMN($E$5),1),$E169),0)</f>
        <v>0</v>
      </c>
      <c r="G169" s="295">
        <f>IF(G$6=$C169,IF(INDEX('Surface DEET'!$Q$9:$W$38,COLUMN(G162)-COLUMN($E$5),1)&gt;0,INDEX('Surface DEET'!$Q$9:$W$38,COLUMN(G162)-COLUMN($E$5),1),$E169),0)</f>
        <v>0</v>
      </c>
      <c r="H169" s="295">
        <f>IF(H$6=$C169,IF(INDEX('Surface DEET'!$Q$9:$W$38,COLUMN(H162)-COLUMN($E$5),1)&gt;0,INDEX('Surface DEET'!$Q$9:$W$38,COLUMN(H162)-COLUMN($E$5),1),$E169),0)</f>
        <v>0</v>
      </c>
      <c r="I169" s="295">
        <f>IF(I$6=$C169,IF(INDEX('Surface DEET'!$Q$9:$W$38,COLUMN(I162)-COLUMN($E$5),1)&gt;0,INDEX('Surface DEET'!$Q$9:$W$38,COLUMN(I162)-COLUMN($E$5),1),$E169),0)</f>
        <v>0</v>
      </c>
      <c r="J169" s="295">
        <f>IF(J$6=$C169,IF(INDEX('Surface DEET'!$Q$9:$W$38,COLUMN(J162)-COLUMN($E$5),1)&gt;0,INDEX('Surface DEET'!$Q$9:$W$38,COLUMN(J162)-COLUMN($E$5),1),$E169),0)</f>
        <v>0</v>
      </c>
      <c r="K169" s="295">
        <f>IF(K$6=$C169,IF(INDEX('Surface DEET'!$Q$9:$W$38,COLUMN(K162)-COLUMN($E$5),1)&gt;0,INDEX('Surface DEET'!$Q$9:$W$38,COLUMN(K162)-COLUMN($E$5),1),$E169),0)</f>
        <v>0</v>
      </c>
      <c r="L169" s="295">
        <f>IF(L$6=$C169,IF(INDEX('Surface DEET'!$Q$9:$W$38,COLUMN(L162)-COLUMN($E$5),1)&gt;0,INDEX('Surface DEET'!$Q$9:$W$38,COLUMN(L162)-COLUMN($E$5),1),$E169),0)</f>
        <v>0</v>
      </c>
      <c r="M169" s="295">
        <f>IF(M$6=$C169,IF(INDEX('Surface DEET'!$Q$9:$W$38,COLUMN(M162)-COLUMN($E$5),1)&gt;0,INDEX('Surface DEET'!$Q$9:$W$38,COLUMN(M162)-COLUMN($E$5),1),$E169),0)</f>
        <v>0</v>
      </c>
      <c r="N169" s="295">
        <f>IF(N$6=$C169,IF(INDEX('Surface DEET'!$Q$9:$W$38,COLUMN(N162)-COLUMN($E$5),1)&gt;0,INDEX('Surface DEET'!$Q$9:$W$38,COLUMN(N162)-COLUMN($E$5),1),$E169),0)</f>
        <v>0</v>
      </c>
      <c r="O169" s="295">
        <f>IF(O$6=$C169,IF(INDEX('Surface DEET'!$Q$9:$W$38,COLUMN(O162)-COLUMN($E$5),1)&gt;0,INDEX('Surface DEET'!$Q$9:$W$38,COLUMN(O162)-COLUMN($E$5),1),$E169),0)</f>
        <v>0</v>
      </c>
      <c r="P169" s="295">
        <f>IF(P$6=$C169,IF(INDEX('Surface DEET'!$Q$9:$W$38,COLUMN(P162)-COLUMN($E$5),1)&gt;0,INDEX('Surface DEET'!$Q$9:$W$38,COLUMN(P162)-COLUMN($E$5),1),$E169),0)</f>
        <v>0</v>
      </c>
      <c r="Q169" s="295">
        <f>IF(Q$6=$C169,IF(INDEX('Surface DEET'!$Q$9:$W$38,COLUMN(Q162)-COLUMN($E$5),1)&gt;0,INDEX('Surface DEET'!$Q$9:$W$38,COLUMN(Q162)-COLUMN($E$5),1),$E169),0)</f>
        <v>0</v>
      </c>
      <c r="R169" s="295">
        <f>IF(R$6=$C169,IF(INDEX('Surface DEET'!$Q$9:$W$38,COLUMN(R162)-COLUMN($E$5),1)&gt;0,INDEX('Surface DEET'!$Q$9:$W$38,COLUMN(R162)-COLUMN($E$5),1),$E169),0)</f>
        <v>0</v>
      </c>
      <c r="S169" s="295">
        <f>IF(S$6=$C169,IF(INDEX('Surface DEET'!$Q$9:$W$38,COLUMN(S162)-COLUMN($E$5),1)&gt;0,INDEX('Surface DEET'!$Q$9:$W$38,COLUMN(S162)-COLUMN($E$5),1),$E169),0)</f>
        <v>0</v>
      </c>
      <c r="T169" s="295">
        <f>IF(T$6=$C169,IF(INDEX('Surface DEET'!$Q$9:$W$38,COLUMN(T162)-COLUMN($E$5),1)&gt;0,INDEX('Surface DEET'!$Q$9:$W$38,COLUMN(T162)-COLUMN($E$5),1),$E169),0)</f>
        <v>0</v>
      </c>
      <c r="U169" s="295">
        <f>IF(U$6=$C169,IF(INDEX('Surface DEET'!$Q$9:$W$38,COLUMN(U162)-COLUMN($E$5),1)&gt;0,INDEX('Surface DEET'!$Q$9:$W$38,COLUMN(U162)-COLUMN($E$5),1),$E169),0)</f>
        <v>0</v>
      </c>
      <c r="V169" s="295">
        <f>IF(V$6=$C169,IF(INDEX('Surface DEET'!$Q$9:$W$38,COLUMN(V162)-COLUMN($E$5),1)&gt;0,INDEX('Surface DEET'!$Q$9:$W$38,COLUMN(V162)-COLUMN($E$5),1),$E169),0)</f>
        <v>0</v>
      </c>
      <c r="W169" s="295">
        <f>IF(W$6=$C169,IF(INDEX('Surface DEET'!$Q$9:$W$38,COLUMN(W162)-COLUMN($E$5),1)&gt;0,INDEX('Surface DEET'!$Q$9:$W$38,COLUMN(W162)-COLUMN($E$5),1),$E169),0)</f>
        <v>0</v>
      </c>
      <c r="X169" s="295">
        <f>IF(X$6=$C169,IF(INDEX('Surface DEET'!$Q$9:$W$38,COLUMN(X162)-COLUMN($E$5),1)&gt;0,INDEX('Surface DEET'!$Q$9:$W$38,COLUMN(X162)-COLUMN($E$5),1),$E169),0)</f>
        <v>0</v>
      </c>
      <c r="Y169" s="295">
        <f>IF(Y$6=$C169,IF(INDEX('Surface DEET'!$Q$9:$W$38,COLUMN(Y162)-COLUMN($E$5),1)&gt;0,INDEX('Surface DEET'!$Q$9:$W$38,COLUMN(Y162)-COLUMN($E$5),1),$E169),0)</f>
        <v>0</v>
      </c>
      <c r="Z169" s="295">
        <f>IF(Z$6=$C169,IF(INDEX('Surface DEET'!$Q$9:$W$38,COLUMN(Z162)-COLUMN($E$5),1)&gt;0,INDEX('Surface DEET'!$Q$9:$W$38,COLUMN(Z162)-COLUMN($E$5),1),$E169),0)</f>
        <v>0</v>
      </c>
      <c r="AA169" s="295">
        <f>IF(AA$6=$C169,IF(INDEX('Surface DEET'!$Q$9:$W$38,COLUMN(AA162)-COLUMN($E$5),1)&gt;0,INDEX('Surface DEET'!$Q$9:$W$38,COLUMN(AA162)-COLUMN($E$5),1),$E169),0)</f>
        <v>0</v>
      </c>
      <c r="AB169" s="295">
        <f>IF(AB$6=$C169,IF(INDEX('Surface DEET'!$Q$9:$W$38,COLUMN(AB162)-COLUMN($E$5),1)&gt;0,INDEX('Surface DEET'!$Q$9:$W$38,COLUMN(AB162)-COLUMN($E$5),1),$E169),0)</f>
        <v>0</v>
      </c>
      <c r="AC169" s="295">
        <f>IF(AC$6=$C169,IF(INDEX('Surface DEET'!$Q$9:$W$38,COLUMN(AC162)-COLUMN($E$5),1)&gt;0,INDEX('Surface DEET'!$Q$9:$W$38,COLUMN(AC162)-COLUMN($E$5),1),$E169),0)</f>
        <v>0</v>
      </c>
      <c r="AD169" s="295">
        <f>IF(AD$6=$C169,IF(INDEX('Surface DEET'!$Q$9:$W$38,COLUMN(AD162)-COLUMN($E$5),1)&gt;0,INDEX('Surface DEET'!$Q$9:$W$38,COLUMN(AD162)-COLUMN($E$5),1),$E169),0)</f>
        <v>0</v>
      </c>
      <c r="AE169" s="295">
        <f>IF(AE$6=$C169,IF(INDEX('Surface DEET'!$Q$9:$W$38,COLUMN(AE162)-COLUMN($E$5),1)&gt;0,INDEX('Surface DEET'!$Q$9:$W$38,COLUMN(AE162)-COLUMN($E$5),1),$E169),0)</f>
        <v>0</v>
      </c>
      <c r="AF169" s="295">
        <f>IF(AF$6=$C169,IF(INDEX('Surface DEET'!$Q$9:$W$38,COLUMN(AF162)-COLUMN($E$5),1)&gt;0,INDEX('Surface DEET'!$Q$9:$W$38,COLUMN(AF162)-COLUMN($E$5),1),$E169),0)</f>
        <v>0</v>
      </c>
      <c r="AG169" s="295">
        <f>IF(AG$6=$C169,IF(INDEX('Surface DEET'!$Q$9:$W$38,COLUMN(AG162)-COLUMN($E$5),1)&gt;0,INDEX('Surface DEET'!$Q$9:$W$38,COLUMN(AG162)-COLUMN($E$5),1),$E169),0)</f>
        <v>0</v>
      </c>
      <c r="AH169" s="295">
        <f>IF(AH$6=$C169,IF(INDEX('Surface DEET'!$Q$9:$W$38,COLUMN(AH162)-COLUMN($E$5),1)&gt;0,INDEX('Surface DEET'!$Q$9:$W$38,COLUMN(AH162)-COLUMN($E$5),1),$E169),0)</f>
        <v>0</v>
      </c>
      <c r="AI169" s="295">
        <f>IF(AI$6=$C169,IF(INDEX('Surface DEET'!$Q$9:$W$38,COLUMN(AI162)-COLUMN($E$5),1)&gt;0,INDEX('Surface DEET'!$Q$9:$W$38,COLUMN(AI162)-COLUMN($E$5),1),$E169),0)</f>
        <v>0</v>
      </c>
    </row>
    <row r="170" spans="1:35">
      <c r="B170" s="295" t="s">
        <v>549</v>
      </c>
      <c r="C170" s="295" t="s">
        <v>641</v>
      </c>
      <c r="D170" s="295" t="s">
        <v>643</v>
      </c>
      <c r="E170" s="295">
        <v>15</v>
      </c>
      <c r="F170" s="295">
        <f>IF(F$6=$C170,IF(INDEX('Surface DEET'!$Q$9:$W$38,COLUMN(F163)-COLUMN($E$5),4)&gt;0,INDEX('Surface DEET'!$Q$9:$W$38,COLUMN(F163)-COLUMN($E$5),4),$E170),0)</f>
        <v>0</v>
      </c>
      <c r="G170" s="295">
        <f>IF(G$6=$C170,IF(INDEX('Surface DEET'!$Q$9:$W$38,COLUMN(G163)-COLUMN($E$5),4)&gt;0,INDEX('Surface DEET'!$Q$9:$W$38,COLUMN(G163)-COLUMN($E$5),4),$E170),0)</f>
        <v>0</v>
      </c>
      <c r="H170" s="295">
        <f>IF(H$6=$C170,IF(INDEX('Surface DEET'!$Q$9:$W$38,COLUMN(H163)-COLUMN($E$5),4)&gt;0,INDEX('Surface DEET'!$Q$9:$W$38,COLUMN(H163)-COLUMN($E$5),4),$E170),0)</f>
        <v>0</v>
      </c>
      <c r="I170" s="295">
        <f>IF(I$6=$C170,IF(INDEX('Surface DEET'!$Q$9:$W$38,COLUMN(I163)-COLUMN($E$5),4)&gt;0,INDEX('Surface DEET'!$Q$9:$W$38,COLUMN(I163)-COLUMN($E$5),4),$E170),0)</f>
        <v>0</v>
      </c>
      <c r="J170" s="295">
        <f>IF(J$6=$C170,IF(INDEX('Surface DEET'!$Q$9:$W$38,COLUMN(J163)-COLUMN($E$5),4)&gt;0,INDEX('Surface DEET'!$Q$9:$W$38,COLUMN(J163)-COLUMN($E$5),4),$E170),0)</f>
        <v>0</v>
      </c>
      <c r="K170" s="295">
        <f>IF(K$6=$C170,IF(INDEX('Surface DEET'!$Q$9:$W$38,COLUMN(K163)-COLUMN($E$5),4)&gt;0,INDEX('Surface DEET'!$Q$9:$W$38,COLUMN(K163)-COLUMN($E$5),4),$E170),0)</f>
        <v>0</v>
      </c>
      <c r="L170" s="295">
        <f>IF(L$6=$C170,IF(INDEX('Surface DEET'!$Q$9:$W$38,COLUMN(L163)-COLUMN($E$5),4)&gt;0,INDEX('Surface DEET'!$Q$9:$W$38,COLUMN(L163)-COLUMN($E$5),4),$E170),0)</f>
        <v>0</v>
      </c>
      <c r="M170" s="295">
        <f>IF(M$6=$C170,IF(INDEX('Surface DEET'!$Q$9:$W$38,COLUMN(M163)-COLUMN($E$5),4)&gt;0,INDEX('Surface DEET'!$Q$9:$W$38,COLUMN(M163)-COLUMN($E$5),4),$E170),0)</f>
        <v>0</v>
      </c>
      <c r="N170" s="295">
        <f>IF(N$6=$C170,IF(INDEX('Surface DEET'!$Q$9:$W$38,COLUMN(N163)-COLUMN($E$5),4)&gt;0,INDEX('Surface DEET'!$Q$9:$W$38,COLUMN(N163)-COLUMN($E$5),4),$E170),0)</f>
        <v>0</v>
      </c>
      <c r="O170" s="295">
        <f>IF(O$6=$C170,IF(INDEX('Surface DEET'!$Q$9:$W$38,COLUMN(O163)-COLUMN($E$5),4)&gt;0,INDEX('Surface DEET'!$Q$9:$W$38,COLUMN(O163)-COLUMN($E$5),4),$E170),0)</f>
        <v>0</v>
      </c>
      <c r="P170" s="295">
        <f>IF(P$6=$C170,IF(INDEX('Surface DEET'!$Q$9:$W$38,COLUMN(P163)-COLUMN($E$5),4)&gt;0,INDEX('Surface DEET'!$Q$9:$W$38,COLUMN(P163)-COLUMN($E$5),4),$E170),0)</f>
        <v>0</v>
      </c>
      <c r="Q170" s="295">
        <f>IF(Q$6=$C170,IF(INDEX('Surface DEET'!$Q$9:$W$38,COLUMN(Q163)-COLUMN($E$5),4)&gt;0,INDEX('Surface DEET'!$Q$9:$W$38,COLUMN(Q163)-COLUMN($E$5),4),$E170),0)</f>
        <v>0</v>
      </c>
      <c r="R170" s="295">
        <f>IF(R$6=$C170,IF(INDEX('Surface DEET'!$Q$9:$W$38,COLUMN(R163)-COLUMN($E$5),4)&gt;0,INDEX('Surface DEET'!$Q$9:$W$38,COLUMN(R163)-COLUMN($E$5),4),$E170),0)</f>
        <v>0</v>
      </c>
      <c r="S170" s="295">
        <f>IF(S$6=$C170,IF(INDEX('Surface DEET'!$Q$9:$W$38,COLUMN(S163)-COLUMN($E$5),4)&gt;0,INDEX('Surface DEET'!$Q$9:$W$38,COLUMN(S163)-COLUMN($E$5),4),$E170),0)</f>
        <v>0</v>
      </c>
      <c r="T170" s="295">
        <f>IF(T$6=$C170,IF(INDEX('Surface DEET'!$Q$9:$W$38,COLUMN(T163)-COLUMN($E$5),4)&gt;0,INDEX('Surface DEET'!$Q$9:$W$38,COLUMN(T163)-COLUMN($E$5),4),$E170),0)</f>
        <v>0</v>
      </c>
      <c r="U170" s="295">
        <f>IF(U$6=$C170,IF(INDEX('Surface DEET'!$Q$9:$W$38,COLUMN(U163)-COLUMN($E$5),4)&gt;0,INDEX('Surface DEET'!$Q$9:$W$38,COLUMN(U163)-COLUMN($E$5),4),$E170),0)</f>
        <v>0</v>
      </c>
      <c r="V170" s="295">
        <f>IF(V$6=$C170,IF(INDEX('Surface DEET'!$Q$9:$W$38,COLUMN(V163)-COLUMN($E$5),4)&gt;0,INDEX('Surface DEET'!$Q$9:$W$38,COLUMN(V163)-COLUMN($E$5),4),$E170),0)</f>
        <v>0</v>
      </c>
      <c r="W170" s="295">
        <f>IF(W$6=$C170,IF(INDEX('Surface DEET'!$Q$9:$W$38,COLUMN(W163)-COLUMN($E$5),4)&gt;0,INDEX('Surface DEET'!$Q$9:$W$38,COLUMN(W163)-COLUMN($E$5),4),$E170),0)</f>
        <v>0</v>
      </c>
      <c r="X170" s="295">
        <f>IF(X$6=$C170,IF(INDEX('Surface DEET'!$Q$9:$W$38,COLUMN(X163)-COLUMN($E$5),4)&gt;0,INDEX('Surface DEET'!$Q$9:$W$38,COLUMN(X163)-COLUMN($E$5),4),$E170),0)</f>
        <v>0</v>
      </c>
      <c r="Y170" s="295">
        <f>IF(Y$6=$C170,IF(INDEX('Surface DEET'!$Q$9:$W$38,COLUMN(Y163)-COLUMN($E$5),4)&gt;0,INDEX('Surface DEET'!$Q$9:$W$38,COLUMN(Y163)-COLUMN($E$5),4),$E170),0)</f>
        <v>0</v>
      </c>
      <c r="Z170" s="295">
        <f>IF(Z$6=$C170,IF(INDEX('Surface DEET'!$Q$9:$W$38,COLUMN(Z163)-COLUMN($E$5),4)&gt;0,INDEX('Surface DEET'!$Q$9:$W$38,COLUMN(Z163)-COLUMN($E$5),4),$E170),0)</f>
        <v>0</v>
      </c>
      <c r="AA170" s="295">
        <f>IF(AA$6=$C170,IF(INDEX('Surface DEET'!$Q$9:$W$38,COLUMN(AA163)-COLUMN($E$5),4)&gt;0,INDEX('Surface DEET'!$Q$9:$W$38,COLUMN(AA163)-COLUMN($E$5),4),$E170),0)</f>
        <v>0</v>
      </c>
      <c r="AB170" s="295">
        <f>IF(AB$6=$C170,IF(INDEX('Surface DEET'!$Q$9:$W$38,COLUMN(AB163)-COLUMN($E$5),4)&gt;0,INDEX('Surface DEET'!$Q$9:$W$38,COLUMN(AB163)-COLUMN($E$5),4),$E170),0)</f>
        <v>0</v>
      </c>
      <c r="AC170" s="295">
        <f>IF(AC$6=$C170,IF(INDEX('Surface DEET'!$Q$9:$W$38,COLUMN(AC163)-COLUMN($E$5),4)&gt;0,INDEX('Surface DEET'!$Q$9:$W$38,COLUMN(AC163)-COLUMN($E$5),4),$E170),0)</f>
        <v>0</v>
      </c>
      <c r="AD170" s="295">
        <f>IF(AD$6=$C170,IF(INDEX('Surface DEET'!$Q$9:$W$38,COLUMN(AD163)-COLUMN($E$5),4)&gt;0,INDEX('Surface DEET'!$Q$9:$W$38,COLUMN(AD163)-COLUMN($E$5),4),$E170),0)</f>
        <v>0</v>
      </c>
      <c r="AE170" s="295">
        <f>IF(AE$6=$C170,IF(INDEX('Surface DEET'!$Q$9:$W$38,COLUMN(AE163)-COLUMN($E$5),4)&gt;0,INDEX('Surface DEET'!$Q$9:$W$38,COLUMN(AE163)-COLUMN($E$5),4),$E170),0)</f>
        <v>0</v>
      </c>
      <c r="AF170" s="295">
        <f>IF(AF$6=$C170,IF(INDEX('Surface DEET'!$Q$9:$W$38,COLUMN(AF163)-COLUMN($E$5),4)&gt;0,INDEX('Surface DEET'!$Q$9:$W$38,COLUMN(AF163)-COLUMN($E$5),4),$E170),0)</f>
        <v>0</v>
      </c>
      <c r="AG170" s="295">
        <f>IF(AG$6=$C170,IF(INDEX('Surface DEET'!$Q$9:$W$38,COLUMN(AG163)-COLUMN($E$5),4)&gt;0,INDEX('Surface DEET'!$Q$9:$W$38,COLUMN(AG163)-COLUMN($E$5),4),$E170),0)</f>
        <v>0</v>
      </c>
      <c r="AH170" s="295">
        <f>IF(AH$6=$C170,IF(INDEX('Surface DEET'!$Q$9:$W$38,COLUMN(AH163)-COLUMN($E$5),4)&gt;0,INDEX('Surface DEET'!$Q$9:$W$38,COLUMN(AH163)-COLUMN($E$5),4),$E170),0)</f>
        <v>0</v>
      </c>
      <c r="AI170" s="295">
        <f>IF(AI$6=$C170,IF(INDEX('Surface DEET'!$Q$9:$W$38,COLUMN(AI163)-COLUMN($E$5),4)&gt;0,INDEX('Surface DEET'!$Q$9:$W$38,COLUMN(AI163)-COLUMN($E$5),4),$E170),0)</f>
        <v>0</v>
      </c>
    </row>
    <row r="171" spans="1:35">
      <c r="B171" s="295" t="s">
        <v>552</v>
      </c>
      <c r="C171" s="295" t="s">
        <v>641</v>
      </c>
      <c r="D171" s="295" t="s">
        <v>640</v>
      </c>
      <c r="E171" s="295">
        <v>90</v>
      </c>
      <c r="F171" s="295">
        <f>IF(F$6=$C171,IF(INDEX('Surface DEET'!$Q$9:$W$38,COLUMN(F164)-COLUMN($E$5),7)&gt;0,INDEX('Surface DEET'!$Q$9:$W$38,COLUMN(F164)-COLUMN($E$5),7),$E171),0)</f>
        <v>0</v>
      </c>
      <c r="G171" s="295">
        <f>IF(G$6=$C171,IF(INDEX('Surface DEET'!$Q$9:$W$38,COLUMN(G164)-COLUMN($E$5),7)&gt;0,INDEX('Surface DEET'!$Q$9:$W$38,COLUMN(G164)-COLUMN($E$5),7),$E171),0)</f>
        <v>0</v>
      </c>
      <c r="H171" s="295">
        <f>IF(H$6=$C171,IF(INDEX('Surface DEET'!$Q$9:$W$38,COLUMN(H164)-COLUMN($E$5),7)&gt;0,INDEX('Surface DEET'!$Q$9:$W$38,COLUMN(H164)-COLUMN($E$5),7),$E171),0)</f>
        <v>0</v>
      </c>
      <c r="I171" s="295">
        <f>IF(I$6=$C171,IF(INDEX('Surface DEET'!$Q$9:$W$38,COLUMN(I164)-COLUMN($E$5),7)&gt;0,INDEX('Surface DEET'!$Q$9:$W$38,COLUMN(I164)-COLUMN($E$5),7),$E171),0)</f>
        <v>0</v>
      </c>
      <c r="J171" s="295">
        <f>IF(J$6=$C171,IF(INDEX('Surface DEET'!$Q$9:$W$38,COLUMN(J164)-COLUMN($E$5),7)&gt;0,INDEX('Surface DEET'!$Q$9:$W$38,COLUMN(J164)-COLUMN($E$5),7),$E171),0)</f>
        <v>0</v>
      </c>
      <c r="K171" s="295">
        <f>IF(K$6=$C171,IF(INDEX('Surface DEET'!$Q$9:$W$38,COLUMN(K164)-COLUMN($E$5),7)&gt;0,INDEX('Surface DEET'!$Q$9:$W$38,COLUMN(K164)-COLUMN($E$5),7),$E171),0)</f>
        <v>0</v>
      </c>
      <c r="L171" s="295">
        <f>IF(L$6=$C171,IF(INDEX('Surface DEET'!$Q$9:$W$38,COLUMN(L164)-COLUMN($E$5),7)&gt;0,INDEX('Surface DEET'!$Q$9:$W$38,COLUMN(L164)-COLUMN($E$5),7),$E171),0)</f>
        <v>0</v>
      </c>
      <c r="M171" s="295">
        <f>IF(M$6=$C171,IF(INDEX('Surface DEET'!$Q$9:$W$38,COLUMN(M164)-COLUMN($E$5),7)&gt;0,INDEX('Surface DEET'!$Q$9:$W$38,COLUMN(M164)-COLUMN($E$5),7),$E171),0)</f>
        <v>0</v>
      </c>
      <c r="N171" s="295">
        <f>IF(N$6=$C171,IF(INDEX('Surface DEET'!$Q$9:$W$38,COLUMN(N164)-COLUMN($E$5),7)&gt;0,INDEX('Surface DEET'!$Q$9:$W$38,COLUMN(N164)-COLUMN($E$5),7),$E171),0)</f>
        <v>0</v>
      </c>
      <c r="O171" s="295">
        <f>IF(O$6=$C171,IF(INDEX('Surface DEET'!$Q$9:$W$38,COLUMN(O164)-COLUMN($E$5),7)&gt;0,INDEX('Surface DEET'!$Q$9:$W$38,COLUMN(O164)-COLUMN($E$5),7),$E171),0)</f>
        <v>0</v>
      </c>
      <c r="P171" s="295">
        <f>IF(P$6=$C171,IF(INDEX('Surface DEET'!$Q$9:$W$38,COLUMN(P164)-COLUMN($E$5),7)&gt;0,INDEX('Surface DEET'!$Q$9:$W$38,COLUMN(P164)-COLUMN($E$5),7),$E171),0)</f>
        <v>0</v>
      </c>
      <c r="Q171" s="295">
        <f>IF(Q$6=$C171,IF(INDEX('Surface DEET'!$Q$9:$W$38,COLUMN(Q164)-COLUMN($E$5),7)&gt;0,INDEX('Surface DEET'!$Q$9:$W$38,COLUMN(Q164)-COLUMN($E$5),7),$E171),0)</f>
        <v>0</v>
      </c>
      <c r="R171" s="295">
        <f>IF(R$6=$C171,IF(INDEX('Surface DEET'!$Q$9:$W$38,COLUMN(R164)-COLUMN($E$5),7)&gt;0,INDEX('Surface DEET'!$Q$9:$W$38,COLUMN(R164)-COLUMN($E$5),7),$E171),0)</f>
        <v>0</v>
      </c>
      <c r="S171" s="295">
        <f>IF(S$6=$C171,IF(INDEX('Surface DEET'!$Q$9:$W$38,COLUMN(S164)-COLUMN($E$5),7)&gt;0,INDEX('Surface DEET'!$Q$9:$W$38,COLUMN(S164)-COLUMN($E$5),7),$E171),0)</f>
        <v>0</v>
      </c>
      <c r="T171" s="295">
        <f>IF(T$6=$C171,IF(INDEX('Surface DEET'!$Q$9:$W$38,COLUMN(T164)-COLUMN($E$5),7)&gt;0,INDEX('Surface DEET'!$Q$9:$W$38,COLUMN(T164)-COLUMN($E$5),7),$E171),0)</f>
        <v>0</v>
      </c>
      <c r="U171" s="295">
        <f>IF(U$6=$C171,IF(INDEX('Surface DEET'!$Q$9:$W$38,COLUMN(U164)-COLUMN($E$5),7)&gt;0,INDEX('Surface DEET'!$Q$9:$W$38,COLUMN(U164)-COLUMN($E$5),7),$E171),0)</f>
        <v>0</v>
      </c>
      <c r="V171" s="295">
        <f>IF(V$6=$C171,IF(INDEX('Surface DEET'!$Q$9:$W$38,COLUMN(V164)-COLUMN($E$5),7)&gt;0,INDEX('Surface DEET'!$Q$9:$W$38,COLUMN(V164)-COLUMN($E$5),7),$E171),0)</f>
        <v>0</v>
      </c>
      <c r="W171" s="295">
        <f>IF(W$6=$C171,IF(INDEX('Surface DEET'!$Q$9:$W$38,COLUMN(W164)-COLUMN($E$5),7)&gt;0,INDEX('Surface DEET'!$Q$9:$W$38,COLUMN(W164)-COLUMN($E$5),7),$E171),0)</f>
        <v>0</v>
      </c>
      <c r="X171" s="295">
        <f>IF(X$6=$C171,IF(INDEX('Surface DEET'!$Q$9:$W$38,COLUMN(X164)-COLUMN($E$5),7)&gt;0,INDEX('Surface DEET'!$Q$9:$W$38,COLUMN(X164)-COLUMN($E$5),7),$E171),0)</f>
        <v>0</v>
      </c>
      <c r="Y171" s="295">
        <f>IF(Y$6=$C171,IF(INDEX('Surface DEET'!$Q$9:$W$38,COLUMN(Y164)-COLUMN($E$5),7)&gt;0,INDEX('Surface DEET'!$Q$9:$W$38,COLUMN(Y164)-COLUMN($E$5),7),$E171),0)</f>
        <v>0</v>
      </c>
      <c r="Z171" s="295">
        <f>IF(Z$6=$C171,IF(INDEX('Surface DEET'!$Q$9:$W$38,COLUMN(Z164)-COLUMN($E$5),7)&gt;0,INDEX('Surface DEET'!$Q$9:$W$38,COLUMN(Z164)-COLUMN($E$5),7),$E171),0)</f>
        <v>0</v>
      </c>
      <c r="AA171" s="295">
        <f>IF(AA$6=$C171,IF(INDEX('Surface DEET'!$Q$9:$W$38,COLUMN(AA164)-COLUMN($E$5),7)&gt;0,INDEX('Surface DEET'!$Q$9:$W$38,COLUMN(AA164)-COLUMN($E$5),7),$E171),0)</f>
        <v>0</v>
      </c>
      <c r="AB171" s="295">
        <f>IF(AB$6=$C171,IF(INDEX('Surface DEET'!$Q$9:$W$38,COLUMN(AB164)-COLUMN($E$5),7)&gt;0,INDEX('Surface DEET'!$Q$9:$W$38,COLUMN(AB164)-COLUMN($E$5),7),$E171),0)</f>
        <v>0</v>
      </c>
      <c r="AC171" s="295">
        <f>IF(AC$6=$C171,IF(INDEX('Surface DEET'!$Q$9:$W$38,COLUMN(AC164)-COLUMN($E$5),7)&gt;0,INDEX('Surface DEET'!$Q$9:$W$38,COLUMN(AC164)-COLUMN($E$5),7),$E171),0)</f>
        <v>0</v>
      </c>
      <c r="AD171" s="295">
        <f>IF(AD$6=$C171,IF(INDEX('Surface DEET'!$Q$9:$W$38,COLUMN(AD164)-COLUMN($E$5),7)&gt;0,INDEX('Surface DEET'!$Q$9:$W$38,COLUMN(AD164)-COLUMN($E$5),7),$E171),0)</f>
        <v>0</v>
      </c>
      <c r="AE171" s="295">
        <f>IF(AE$6=$C171,IF(INDEX('Surface DEET'!$Q$9:$W$38,COLUMN(AE164)-COLUMN($E$5),7)&gt;0,INDEX('Surface DEET'!$Q$9:$W$38,COLUMN(AE164)-COLUMN($E$5),7),$E171),0)</f>
        <v>0</v>
      </c>
      <c r="AF171" s="295">
        <f>IF(AF$6=$C171,IF(INDEX('Surface DEET'!$Q$9:$W$38,COLUMN(AF164)-COLUMN($E$5),7)&gt;0,INDEX('Surface DEET'!$Q$9:$W$38,COLUMN(AF164)-COLUMN($E$5),7),$E171),0)</f>
        <v>0</v>
      </c>
      <c r="AG171" s="295">
        <f>IF(AG$6=$C171,IF(INDEX('Surface DEET'!$Q$9:$W$38,COLUMN(AG164)-COLUMN($E$5),7)&gt;0,INDEX('Surface DEET'!$Q$9:$W$38,COLUMN(AG164)-COLUMN($E$5),7),$E171),0)</f>
        <v>0</v>
      </c>
      <c r="AH171" s="295">
        <f>IF(AH$6=$C171,IF(INDEX('Surface DEET'!$Q$9:$W$38,COLUMN(AH164)-COLUMN($E$5),7)&gt;0,INDEX('Surface DEET'!$Q$9:$W$38,COLUMN(AH164)-COLUMN($E$5),7),$E171),0)</f>
        <v>0</v>
      </c>
      <c r="AI171" s="295">
        <f>IF(AI$6=$C171,IF(INDEX('Surface DEET'!$Q$9:$W$38,COLUMN(AI164)-COLUMN($E$5),7)&gt;0,INDEX('Surface DEET'!$Q$9:$W$38,COLUMN(AI164)-COLUMN($E$5),7),$E171),0)</f>
        <v>0</v>
      </c>
    </row>
    <row r="172" spans="1:35">
      <c r="B172" s="295" t="s">
        <v>542</v>
      </c>
      <c r="C172" s="295" t="s">
        <v>641</v>
      </c>
      <c r="D172" s="295" t="s">
        <v>542</v>
      </c>
      <c r="F172" s="295">
        <f>IFERROR($E$166*(F169/$E$169+$E$168*(F171/$E$171)*($E$170/F170)+(1-$E$168))+0.28*$E$165*(F169-$E$169)/$E$169,0)</f>
        <v>0</v>
      </c>
      <c r="G172" s="295">
        <f t="shared" ref="G172:AI172" si="20">IFERROR($E$166*(G169/$E$169+$E$168*(G171/$E$171)*($E$170/G170)+(1-$E$168))+0.28*$E$165*(G169-$E$169)/$E$169,0)</f>
        <v>0</v>
      </c>
      <c r="H172" s="295">
        <f t="shared" si="20"/>
        <v>0</v>
      </c>
      <c r="I172" s="295">
        <f t="shared" si="20"/>
        <v>0</v>
      </c>
      <c r="J172" s="295">
        <f t="shared" si="20"/>
        <v>0</v>
      </c>
      <c r="K172" s="295">
        <f t="shared" si="20"/>
        <v>0</v>
      </c>
      <c r="L172" s="295">
        <f t="shared" si="20"/>
        <v>0</v>
      </c>
      <c r="M172" s="295">
        <f t="shared" si="20"/>
        <v>0</v>
      </c>
      <c r="N172" s="295">
        <f t="shared" si="20"/>
        <v>0</v>
      </c>
      <c r="O172" s="295">
        <f t="shared" si="20"/>
        <v>0</v>
      </c>
      <c r="P172" s="295">
        <f t="shared" si="20"/>
        <v>0</v>
      </c>
      <c r="Q172" s="295">
        <f t="shared" si="20"/>
        <v>0</v>
      </c>
      <c r="R172" s="295">
        <f t="shared" si="20"/>
        <v>0</v>
      </c>
      <c r="S172" s="295">
        <f t="shared" si="20"/>
        <v>0</v>
      </c>
      <c r="T172" s="295">
        <f t="shared" si="20"/>
        <v>0</v>
      </c>
      <c r="U172" s="295">
        <f t="shared" si="20"/>
        <v>0</v>
      </c>
      <c r="V172" s="295">
        <f t="shared" si="20"/>
        <v>0</v>
      </c>
      <c r="W172" s="295">
        <f t="shared" si="20"/>
        <v>0</v>
      </c>
      <c r="X172" s="295">
        <f t="shared" si="20"/>
        <v>0</v>
      </c>
      <c r="Y172" s="295">
        <f t="shared" si="20"/>
        <v>0</v>
      </c>
      <c r="Z172" s="295">
        <f t="shared" si="20"/>
        <v>0</v>
      </c>
      <c r="AA172" s="295">
        <f t="shared" si="20"/>
        <v>0</v>
      </c>
      <c r="AB172" s="295">
        <f t="shared" si="20"/>
        <v>0</v>
      </c>
      <c r="AC172" s="295">
        <f t="shared" si="20"/>
        <v>0</v>
      </c>
      <c r="AD172" s="295">
        <f t="shared" si="20"/>
        <v>0</v>
      </c>
      <c r="AE172" s="295">
        <f t="shared" si="20"/>
        <v>0</v>
      </c>
      <c r="AF172" s="295">
        <f t="shared" si="20"/>
        <v>0</v>
      </c>
      <c r="AG172" s="295">
        <f t="shared" si="20"/>
        <v>0</v>
      </c>
      <c r="AH172" s="295">
        <f t="shared" si="20"/>
        <v>0</v>
      </c>
      <c r="AI172" s="295">
        <f t="shared" si="20"/>
        <v>0</v>
      </c>
    </row>
    <row r="173" spans="1:35">
      <c r="B173" s="93" t="s">
        <v>301</v>
      </c>
      <c r="C173" s="295" t="s">
        <v>644</v>
      </c>
      <c r="D173" s="93" t="s">
        <v>301</v>
      </c>
      <c r="E173" s="295">
        <f t="array" ref="E173">INDEX(CABS_CVC!$C$3:$O$894,MATCH(1, (CABS_CVC!$A$3:$A$894=Calculs_CABS!C173)*(CABS_CVC!$B$3:$B$894=Calculs_CABS!$D$2),0),MATCH(Calculs_CABS!$D$1,Liste_CABS!$B$3:$B$15,0))</f>
        <v>99</v>
      </c>
    </row>
    <row r="174" spans="1:35">
      <c r="B174" s="295" t="s">
        <v>543</v>
      </c>
      <c r="C174" s="295" t="s">
        <v>644</v>
      </c>
      <c r="D174" s="295" t="s">
        <v>543</v>
      </c>
      <c r="E174" s="295">
        <v>501</v>
      </c>
    </row>
    <row r="175" spans="1:35">
      <c r="B175" s="295" t="s">
        <v>544</v>
      </c>
      <c r="C175" s="295" t="s">
        <v>644</v>
      </c>
      <c r="D175" s="295" t="s">
        <v>544</v>
      </c>
      <c r="E175" s="295">
        <f>E173+E174</f>
        <v>600</v>
      </c>
    </row>
    <row r="176" spans="1:35">
      <c r="B176" s="295" t="s">
        <v>545</v>
      </c>
      <c r="C176" s="295" t="s">
        <v>644</v>
      </c>
      <c r="D176" s="295" t="s">
        <v>545</v>
      </c>
      <c r="E176" s="295">
        <v>0.94</v>
      </c>
    </row>
    <row r="177" spans="2:35">
      <c r="B177" s="295" t="s">
        <v>546</v>
      </c>
      <c r="C177" s="295" t="s">
        <v>644</v>
      </c>
      <c r="D177" s="295" t="s">
        <v>645</v>
      </c>
      <c r="E177" s="295">
        <v>3510</v>
      </c>
      <c r="F177" s="295">
        <f>IF(F$6=$C177,IF(INDEX('Surface DEET'!$Q$9:$W$38,COLUMN(F170)-COLUMN($E$5),1)&gt;0,INDEX('Surface DEET'!$Q$9:$W$38,COLUMN(F170)-COLUMN($E$5),1),$E177),0)</f>
        <v>0</v>
      </c>
      <c r="G177" s="295">
        <f>IF(G$6=$C177,IF(INDEX('Surface DEET'!$Q$9:$W$38,COLUMN(G170)-COLUMN($E$5),1)&gt;0,INDEX('Surface DEET'!$Q$9:$W$38,COLUMN(G170)-COLUMN($E$5),1),$E177),0)</f>
        <v>0</v>
      </c>
      <c r="H177" s="295">
        <f>IF(H$6=$C177,IF(INDEX('Surface DEET'!$Q$9:$W$38,COLUMN(H170)-COLUMN($E$5),1)&gt;0,INDEX('Surface DEET'!$Q$9:$W$38,COLUMN(H170)-COLUMN($E$5),1),$E177),0)</f>
        <v>0</v>
      </c>
      <c r="I177" s="295">
        <f>IF(I$6=$C177,IF(INDEX('Surface DEET'!$Q$9:$W$38,COLUMN(I170)-COLUMN($E$5),1)&gt;0,INDEX('Surface DEET'!$Q$9:$W$38,COLUMN(I170)-COLUMN($E$5),1),$E177),0)</f>
        <v>0</v>
      </c>
      <c r="J177" s="295">
        <f>IF(J$6=$C177,IF(INDEX('Surface DEET'!$Q$9:$W$38,COLUMN(J170)-COLUMN($E$5),1)&gt;0,INDEX('Surface DEET'!$Q$9:$W$38,COLUMN(J170)-COLUMN($E$5),1),$E177),0)</f>
        <v>0</v>
      </c>
      <c r="K177" s="295">
        <f>IF(K$6=$C177,IF(INDEX('Surface DEET'!$Q$9:$W$38,COLUMN(K170)-COLUMN($E$5),1)&gt;0,INDEX('Surface DEET'!$Q$9:$W$38,COLUMN(K170)-COLUMN($E$5),1),$E177),0)</f>
        <v>0</v>
      </c>
      <c r="L177" s="295">
        <f>IF(L$6=$C177,IF(INDEX('Surface DEET'!$Q$9:$W$38,COLUMN(L170)-COLUMN($E$5),1)&gt;0,INDEX('Surface DEET'!$Q$9:$W$38,COLUMN(L170)-COLUMN($E$5),1),$E177),0)</f>
        <v>0</v>
      </c>
      <c r="M177" s="295">
        <f>IF(M$6=$C177,IF(INDEX('Surface DEET'!$Q$9:$W$38,COLUMN(M170)-COLUMN($E$5),1)&gt;0,INDEX('Surface DEET'!$Q$9:$W$38,COLUMN(M170)-COLUMN($E$5),1),$E177),0)</f>
        <v>0</v>
      </c>
      <c r="N177" s="295">
        <f>IF(N$6=$C177,IF(INDEX('Surface DEET'!$Q$9:$W$38,COLUMN(N170)-COLUMN($E$5),1)&gt;0,INDEX('Surface DEET'!$Q$9:$W$38,COLUMN(N170)-COLUMN($E$5),1),$E177),0)</f>
        <v>0</v>
      </c>
      <c r="O177" s="295">
        <f>IF(O$6=$C177,IF(INDEX('Surface DEET'!$Q$9:$W$38,COLUMN(O170)-COLUMN($E$5),1)&gt;0,INDEX('Surface DEET'!$Q$9:$W$38,COLUMN(O170)-COLUMN($E$5),1),$E177),0)</f>
        <v>0</v>
      </c>
      <c r="P177" s="295">
        <f>IF(P$6=$C177,IF(INDEX('Surface DEET'!$Q$9:$W$38,COLUMN(P170)-COLUMN($E$5),1)&gt;0,INDEX('Surface DEET'!$Q$9:$W$38,COLUMN(P170)-COLUMN($E$5),1),$E177),0)</f>
        <v>0</v>
      </c>
      <c r="Q177" s="295">
        <f>IF(Q$6=$C177,IF(INDEX('Surface DEET'!$Q$9:$W$38,COLUMN(Q170)-COLUMN($E$5),1)&gt;0,INDEX('Surface DEET'!$Q$9:$W$38,COLUMN(Q170)-COLUMN($E$5),1),$E177),0)</f>
        <v>0</v>
      </c>
      <c r="R177" s="295">
        <f>IF(R$6=$C177,IF(INDEX('Surface DEET'!$Q$9:$W$38,COLUMN(R170)-COLUMN($E$5),1)&gt;0,INDEX('Surface DEET'!$Q$9:$W$38,COLUMN(R170)-COLUMN($E$5),1),$E177),0)</f>
        <v>0</v>
      </c>
      <c r="S177" s="295">
        <f>IF(S$6=$C177,IF(INDEX('Surface DEET'!$Q$9:$W$38,COLUMN(S170)-COLUMN($E$5),1)&gt;0,INDEX('Surface DEET'!$Q$9:$W$38,COLUMN(S170)-COLUMN($E$5),1),$E177),0)</f>
        <v>0</v>
      </c>
      <c r="T177" s="295">
        <f>IF(T$6=$C177,IF(INDEX('Surface DEET'!$Q$9:$W$38,COLUMN(T170)-COLUMN($E$5),1)&gt;0,INDEX('Surface DEET'!$Q$9:$W$38,COLUMN(T170)-COLUMN($E$5),1),$E177),0)</f>
        <v>0</v>
      </c>
      <c r="U177" s="295">
        <f>IF(U$6=$C177,IF(INDEX('Surface DEET'!$Q$9:$W$38,COLUMN(U170)-COLUMN($E$5),1)&gt;0,INDEX('Surface DEET'!$Q$9:$W$38,COLUMN(U170)-COLUMN($E$5),1),$E177),0)</f>
        <v>0</v>
      </c>
      <c r="V177" s="295">
        <f>IF(V$6=$C177,IF(INDEX('Surface DEET'!$Q$9:$W$38,COLUMN(V170)-COLUMN($E$5),1)&gt;0,INDEX('Surface DEET'!$Q$9:$W$38,COLUMN(V170)-COLUMN($E$5),1),$E177),0)</f>
        <v>0</v>
      </c>
      <c r="W177" s="295">
        <f>IF(W$6=$C177,IF(INDEX('Surface DEET'!$Q$9:$W$38,COLUMN(W170)-COLUMN($E$5),1)&gt;0,INDEX('Surface DEET'!$Q$9:$W$38,COLUMN(W170)-COLUMN($E$5),1),$E177),0)</f>
        <v>0</v>
      </c>
      <c r="X177" s="295">
        <f>IF(X$6=$C177,IF(INDEX('Surface DEET'!$Q$9:$W$38,COLUMN(X170)-COLUMN($E$5),1)&gt;0,INDEX('Surface DEET'!$Q$9:$W$38,COLUMN(X170)-COLUMN($E$5),1),$E177),0)</f>
        <v>0</v>
      </c>
      <c r="Y177" s="295">
        <f>IF(Y$6=$C177,IF(INDEX('Surface DEET'!$Q$9:$W$38,COLUMN(Y170)-COLUMN($E$5),1)&gt;0,INDEX('Surface DEET'!$Q$9:$W$38,COLUMN(Y170)-COLUMN($E$5),1),$E177),0)</f>
        <v>0</v>
      </c>
      <c r="Z177" s="295">
        <f>IF(Z$6=$C177,IF(INDEX('Surface DEET'!$Q$9:$W$38,COLUMN(Z170)-COLUMN($E$5),1)&gt;0,INDEX('Surface DEET'!$Q$9:$W$38,COLUMN(Z170)-COLUMN($E$5),1),$E177),0)</f>
        <v>0</v>
      </c>
      <c r="AA177" s="295">
        <f>IF(AA$6=$C177,IF(INDEX('Surface DEET'!$Q$9:$W$38,COLUMN(AA170)-COLUMN($E$5),1)&gt;0,INDEX('Surface DEET'!$Q$9:$W$38,COLUMN(AA170)-COLUMN($E$5),1),$E177),0)</f>
        <v>0</v>
      </c>
      <c r="AB177" s="295">
        <f>IF(AB$6=$C177,IF(INDEX('Surface DEET'!$Q$9:$W$38,COLUMN(AB170)-COLUMN($E$5),1)&gt;0,INDEX('Surface DEET'!$Q$9:$W$38,COLUMN(AB170)-COLUMN($E$5),1),$E177),0)</f>
        <v>0</v>
      </c>
      <c r="AC177" s="295">
        <f>IF(AC$6=$C177,IF(INDEX('Surface DEET'!$Q$9:$W$38,COLUMN(AC170)-COLUMN($E$5),1)&gt;0,INDEX('Surface DEET'!$Q$9:$W$38,COLUMN(AC170)-COLUMN($E$5),1),$E177),0)</f>
        <v>0</v>
      </c>
      <c r="AD177" s="295">
        <f>IF(AD$6=$C177,IF(INDEX('Surface DEET'!$Q$9:$W$38,COLUMN(AD170)-COLUMN($E$5),1)&gt;0,INDEX('Surface DEET'!$Q$9:$W$38,COLUMN(AD170)-COLUMN($E$5),1),$E177),0)</f>
        <v>0</v>
      </c>
      <c r="AE177" s="295">
        <f>IF(AE$6=$C177,IF(INDEX('Surface DEET'!$Q$9:$W$38,COLUMN(AE170)-COLUMN($E$5),1)&gt;0,INDEX('Surface DEET'!$Q$9:$W$38,COLUMN(AE170)-COLUMN($E$5),1),$E177),0)</f>
        <v>0</v>
      </c>
      <c r="AF177" s="295">
        <f>IF(AF$6=$C177,IF(INDEX('Surface DEET'!$Q$9:$W$38,COLUMN(AF170)-COLUMN($E$5),1)&gt;0,INDEX('Surface DEET'!$Q$9:$W$38,COLUMN(AF170)-COLUMN($E$5),1),$E177),0)</f>
        <v>0</v>
      </c>
      <c r="AG177" s="295">
        <f>IF(AG$6=$C177,IF(INDEX('Surface DEET'!$Q$9:$W$38,COLUMN(AG170)-COLUMN($E$5),1)&gt;0,INDEX('Surface DEET'!$Q$9:$W$38,COLUMN(AG170)-COLUMN($E$5),1),$E177),0)</f>
        <v>0</v>
      </c>
      <c r="AH177" s="295">
        <f>IF(AH$6=$C177,IF(INDEX('Surface DEET'!$Q$9:$W$38,COLUMN(AH170)-COLUMN($E$5),1)&gt;0,INDEX('Surface DEET'!$Q$9:$W$38,COLUMN(AH170)-COLUMN($E$5),1),$E177),0)</f>
        <v>0</v>
      </c>
      <c r="AI177" s="295">
        <f>IF(AI$6=$C177,IF(INDEX('Surface DEET'!$Q$9:$W$38,COLUMN(AI170)-COLUMN($E$5),1)&gt;0,INDEX('Surface DEET'!$Q$9:$W$38,COLUMN(AI170)-COLUMN($E$5),1),$E177),0)</f>
        <v>0</v>
      </c>
    </row>
    <row r="178" spans="2:35">
      <c r="B178" s="295" t="s">
        <v>549</v>
      </c>
      <c r="C178" s="295" t="s">
        <v>644</v>
      </c>
      <c r="D178" s="295" t="s">
        <v>646</v>
      </c>
      <c r="E178" s="295">
        <v>409</v>
      </c>
      <c r="F178" s="295">
        <f>IF(F$6=$C178,IF(INDEX('Surface DEET'!$Q$9:$W$38,COLUMN(F171)-COLUMN($E$5),4)&gt;0,INDEX('Surface DEET'!$Q$9:$W$38,COLUMN(F171)-COLUMN($E$5),4),$E178),0)</f>
        <v>0</v>
      </c>
      <c r="G178" s="295">
        <f>IF(G$6=$C178,IF(INDEX('Surface DEET'!$Q$9:$W$38,COLUMN(G171)-COLUMN($E$5),4)&gt;0,INDEX('Surface DEET'!$Q$9:$W$38,COLUMN(G171)-COLUMN($E$5),4),$E178),0)</f>
        <v>0</v>
      </c>
      <c r="H178" s="295">
        <f>IF(H$6=$C178,IF(INDEX('Surface DEET'!$Q$9:$W$38,COLUMN(H171)-COLUMN($E$5),4)&gt;0,INDEX('Surface DEET'!$Q$9:$W$38,COLUMN(H171)-COLUMN($E$5),4),$E178),0)</f>
        <v>0</v>
      </c>
      <c r="I178" s="295">
        <f>IF(I$6=$C178,IF(INDEX('Surface DEET'!$Q$9:$W$38,COLUMN(I171)-COLUMN($E$5),4)&gt;0,INDEX('Surface DEET'!$Q$9:$W$38,COLUMN(I171)-COLUMN($E$5),4),$E178),0)</f>
        <v>0</v>
      </c>
      <c r="J178" s="295">
        <f>IF(J$6=$C178,IF(INDEX('Surface DEET'!$Q$9:$W$38,COLUMN(J171)-COLUMN($E$5),4)&gt;0,INDEX('Surface DEET'!$Q$9:$W$38,COLUMN(J171)-COLUMN($E$5),4),$E178),0)</f>
        <v>0</v>
      </c>
      <c r="K178" s="295">
        <f>IF(K$6=$C178,IF(INDEX('Surface DEET'!$Q$9:$W$38,COLUMN(K171)-COLUMN($E$5),4)&gt;0,INDEX('Surface DEET'!$Q$9:$W$38,COLUMN(K171)-COLUMN($E$5),4),$E178),0)</f>
        <v>0</v>
      </c>
      <c r="L178" s="295">
        <f>IF(L$6=$C178,IF(INDEX('Surface DEET'!$Q$9:$W$38,COLUMN(L171)-COLUMN($E$5),4)&gt;0,INDEX('Surface DEET'!$Q$9:$W$38,COLUMN(L171)-COLUMN($E$5),4),$E178),0)</f>
        <v>0</v>
      </c>
      <c r="M178" s="295">
        <f>IF(M$6=$C178,IF(INDEX('Surface DEET'!$Q$9:$W$38,COLUMN(M171)-COLUMN($E$5),4)&gt;0,INDEX('Surface DEET'!$Q$9:$W$38,COLUMN(M171)-COLUMN($E$5),4),$E178),0)</f>
        <v>0</v>
      </c>
      <c r="N178" s="295">
        <f>IF(N$6=$C178,IF(INDEX('Surface DEET'!$Q$9:$W$38,COLUMN(N171)-COLUMN($E$5),4)&gt;0,INDEX('Surface DEET'!$Q$9:$W$38,COLUMN(N171)-COLUMN($E$5),4),$E178),0)</f>
        <v>0</v>
      </c>
      <c r="O178" s="295">
        <f>IF(O$6=$C178,IF(INDEX('Surface DEET'!$Q$9:$W$38,COLUMN(O171)-COLUMN($E$5),4)&gt;0,INDEX('Surface DEET'!$Q$9:$W$38,COLUMN(O171)-COLUMN($E$5),4),$E178),0)</f>
        <v>0</v>
      </c>
      <c r="P178" s="295">
        <f>IF(P$6=$C178,IF(INDEX('Surface DEET'!$Q$9:$W$38,COLUMN(P171)-COLUMN($E$5),4)&gt;0,INDEX('Surface DEET'!$Q$9:$W$38,COLUMN(P171)-COLUMN($E$5),4),$E178),0)</f>
        <v>0</v>
      </c>
      <c r="Q178" s="295">
        <f>IF(Q$6=$C178,IF(INDEX('Surface DEET'!$Q$9:$W$38,COLUMN(Q171)-COLUMN($E$5),4)&gt;0,INDEX('Surface DEET'!$Q$9:$W$38,COLUMN(Q171)-COLUMN($E$5),4),$E178),0)</f>
        <v>0</v>
      </c>
      <c r="R178" s="295">
        <f>IF(R$6=$C178,IF(INDEX('Surface DEET'!$Q$9:$W$38,COLUMN(R171)-COLUMN($E$5),4)&gt;0,INDEX('Surface DEET'!$Q$9:$W$38,COLUMN(R171)-COLUMN($E$5),4),$E178),0)</f>
        <v>0</v>
      </c>
      <c r="S178" s="295">
        <f>IF(S$6=$C178,IF(INDEX('Surface DEET'!$Q$9:$W$38,COLUMN(S171)-COLUMN($E$5),4)&gt;0,INDEX('Surface DEET'!$Q$9:$W$38,COLUMN(S171)-COLUMN($E$5),4),$E178),0)</f>
        <v>0</v>
      </c>
      <c r="T178" s="295">
        <f>IF(T$6=$C178,IF(INDEX('Surface DEET'!$Q$9:$W$38,COLUMN(T171)-COLUMN($E$5),4)&gt;0,INDEX('Surface DEET'!$Q$9:$W$38,COLUMN(T171)-COLUMN($E$5),4),$E178),0)</f>
        <v>0</v>
      </c>
      <c r="U178" s="295">
        <f>IF(U$6=$C178,IF(INDEX('Surface DEET'!$Q$9:$W$38,COLUMN(U171)-COLUMN($E$5),4)&gt;0,INDEX('Surface DEET'!$Q$9:$W$38,COLUMN(U171)-COLUMN($E$5),4),$E178),0)</f>
        <v>0</v>
      </c>
      <c r="V178" s="295">
        <f>IF(V$6=$C178,IF(INDEX('Surface DEET'!$Q$9:$W$38,COLUMN(V171)-COLUMN($E$5),4)&gt;0,INDEX('Surface DEET'!$Q$9:$W$38,COLUMN(V171)-COLUMN($E$5),4),$E178),0)</f>
        <v>0</v>
      </c>
      <c r="W178" s="295">
        <f>IF(W$6=$C178,IF(INDEX('Surface DEET'!$Q$9:$W$38,COLUMN(W171)-COLUMN($E$5),4)&gt;0,INDEX('Surface DEET'!$Q$9:$W$38,COLUMN(W171)-COLUMN($E$5),4),$E178),0)</f>
        <v>0</v>
      </c>
      <c r="X178" s="295">
        <f>IF(X$6=$C178,IF(INDEX('Surface DEET'!$Q$9:$W$38,COLUMN(X171)-COLUMN($E$5),4)&gt;0,INDEX('Surface DEET'!$Q$9:$W$38,COLUMN(X171)-COLUMN($E$5),4),$E178),0)</f>
        <v>0</v>
      </c>
      <c r="Y178" s="295">
        <f>IF(Y$6=$C178,IF(INDEX('Surface DEET'!$Q$9:$W$38,COLUMN(Y171)-COLUMN($E$5),4)&gt;0,INDEX('Surface DEET'!$Q$9:$W$38,COLUMN(Y171)-COLUMN($E$5),4),$E178),0)</f>
        <v>0</v>
      </c>
      <c r="Z178" s="295">
        <f>IF(Z$6=$C178,IF(INDEX('Surface DEET'!$Q$9:$W$38,COLUMN(Z171)-COLUMN($E$5),4)&gt;0,INDEX('Surface DEET'!$Q$9:$W$38,COLUMN(Z171)-COLUMN($E$5),4),$E178),0)</f>
        <v>0</v>
      </c>
      <c r="AA178" s="295">
        <f>IF(AA$6=$C178,IF(INDEX('Surface DEET'!$Q$9:$W$38,COLUMN(AA171)-COLUMN($E$5),4)&gt;0,INDEX('Surface DEET'!$Q$9:$W$38,COLUMN(AA171)-COLUMN($E$5),4),$E178),0)</f>
        <v>0</v>
      </c>
      <c r="AB178" s="295">
        <f>IF(AB$6=$C178,IF(INDEX('Surface DEET'!$Q$9:$W$38,COLUMN(AB171)-COLUMN($E$5),4)&gt;0,INDEX('Surface DEET'!$Q$9:$W$38,COLUMN(AB171)-COLUMN($E$5),4),$E178),0)</f>
        <v>0</v>
      </c>
      <c r="AC178" s="295">
        <f>IF(AC$6=$C178,IF(INDEX('Surface DEET'!$Q$9:$W$38,COLUMN(AC171)-COLUMN($E$5),4)&gt;0,INDEX('Surface DEET'!$Q$9:$W$38,COLUMN(AC171)-COLUMN($E$5),4),$E178),0)</f>
        <v>0</v>
      </c>
      <c r="AD178" s="295">
        <f>IF(AD$6=$C178,IF(INDEX('Surface DEET'!$Q$9:$W$38,COLUMN(AD171)-COLUMN($E$5),4)&gt;0,INDEX('Surface DEET'!$Q$9:$W$38,COLUMN(AD171)-COLUMN($E$5),4),$E178),0)</f>
        <v>0</v>
      </c>
      <c r="AE178" s="295">
        <f>IF(AE$6=$C178,IF(INDEX('Surface DEET'!$Q$9:$W$38,COLUMN(AE171)-COLUMN($E$5),4)&gt;0,INDEX('Surface DEET'!$Q$9:$W$38,COLUMN(AE171)-COLUMN($E$5),4),$E178),0)</f>
        <v>0</v>
      </c>
      <c r="AF178" s="295">
        <f>IF(AF$6=$C178,IF(INDEX('Surface DEET'!$Q$9:$W$38,COLUMN(AF171)-COLUMN($E$5),4)&gt;0,INDEX('Surface DEET'!$Q$9:$W$38,COLUMN(AF171)-COLUMN($E$5),4),$E178),0)</f>
        <v>0</v>
      </c>
      <c r="AG178" s="295">
        <f>IF(AG$6=$C178,IF(INDEX('Surface DEET'!$Q$9:$W$38,COLUMN(AG171)-COLUMN($E$5),4)&gt;0,INDEX('Surface DEET'!$Q$9:$W$38,COLUMN(AG171)-COLUMN($E$5),4),$E178),0)</f>
        <v>0</v>
      </c>
      <c r="AH178" s="295">
        <f>IF(AH$6=$C178,IF(INDEX('Surface DEET'!$Q$9:$W$38,COLUMN(AH171)-COLUMN($E$5),4)&gt;0,INDEX('Surface DEET'!$Q$9:$W$38,COLUMN(AH171)-COLUMN($E$5),4),$E178),0)</f>
        <v>0</v>
      </c>
      <c r="AI178" s="295">
        <f>IF(AI$6=$C178,IF(INDEX('Surface DEET'!$Q$9:$W$38,COLUMN(AI171)-COLUMN($E$5),4)&gt;0,INDEX('Surface DEET'!$Q$9:$W$38,COLUMN(AI171)-COLUMN($E$5),4),$E178),0)</f>
        <v>0</v>
      </c>
    </row>
    <row r="179" spans="2:35">
      <c r="B179" s="295" t="s">
        <v>552</v>
      </c>
      <c r="C179" s="295" t="s">
        <v>644</v>
      </c>
    </row>
    <row r="180" spans="2:35">
      <c r="B180" s="295" t="s">
        <v>542</v>
      </c>
      <c r="C180" s="295" t="s">
        <v>644</v>
      </c>
      <c r="D180" s="295" t="s">
        <v>542</v>
      </c>
      <c r="F180" s="295">
        <f>IFERROR($E$174*($E$176*(F178/$E$178)+(1-$E$176)*(F177/$E$177))+0.28*$E$173*((F177-$E$177)/$E$177),0)</f>
        <v>-27.720000000000002</v>
      </c>
      <c r="G180" s="295">
        <f t="shared" ref="G180:AI180" si="21">IFERROR($E$174*($E$176*(G178/$E$178)+(1-$E$176)*(G177/$E$177))+0.28*$E$173*((G177-$E$177)/$E$177),0)</f>
        <v>-27.720000000000002</v>
      </c>
      <c r="H180" s="295">
        <f t="shared" si="21"/>
        <v>-27.720000000000002</v>
      </c>
      <c r="I180" s="295">
        <f t="shared" si="21"/>
        <v>-27.720000000000002</v>
      </c>
      <c r="J180" s="295">
        <f t="shared" si="21"/>
        <v>-27.720000000000002</v>
      </c>
      <c r="K180" s="295">
        <f t="shared" si="21"/>
        <v>-27.720000000000002</v>
      </c>
      <c r="L180" s="295">
        <f t="shared" si="21"/>
        <v>-27.720000000000002</v>
      </c>
      <c r="M180" s="295">
        <f t="shared" si="21"/>
        <v>-27.720000000000002</v>
      </c>
      <c r="N180" s="295">
        <f t="shared" si="21"/>
        <v>-27.720000000000002</v>
      </c>
      <c r="O180" s="295">
        <f t="shared" si="21"/>
        <v>-27.720000000000002</v>
      </c>
      <c r="P180" s="295">
        <f t="shared" si="21"/>
        <v>-27.720000000000002</v>
      </c>
      <c r="Q180" s="295">
        <f t="shared" si="21"/>
        <v>-27.720000000000002</v>
      </c>
      <c r="R180" s="295">
        <f t="shared" si="21"/>
        <v>-27.720000000000002</v>
      </c>
      <c r="S180" s="295">
        <f t="shared" si="21"/>
        <v>-27.720000000000002</v>
      </c>
      <c r="T180" s="295">
        <f t="shared" si="21"/>
        <v>-27.720000000000002</v>
      </c>
      <c r="U180" s="295">
        <f t="shared" si="21"/>
        <v>-27.720000000000002</v>
      </c>
      <c r="V180" s="295">
        <f t="shared" si="21"/>
        <v>-27.720000000000002</v>
      </c>
      <c r="W180" s="295">
        <f t="shared" si="21"/>
        <v>-27.720000000000002</v>
      </c>
      <c r="X180" s="295">
        <f t="shared" si="21"/>
        <v>-27.720000000000002</v>
      </c>
      <c r="Y180" s="295">
        <f t="shared" si="21"/>
        <v>-27.720000000000002</v>
      </c>
      <c r="Z180" s="295">
        <f t="shared" si="21"/>
        <v>-27.720000000000002</v>
      </c>
      <c r="AA180" s="295">
        <f t="shared" si="21"/>
        <v>-27.720000000000002</v>
      </c>
      <c r="AB180" s="295">
        <f t="shared" si="21"/>
        <v>-27.720000000000002</v>
      </c>
      <c r="AC180" s="295">
        <f t="shared" si="21"/>
        <v>-27.720000000000002</v>
      </c>
      <c r="AD180" s="295">
        <f t="shared" si="21"/>
        <v>-27.720000000000002</v>
      </c>
      <c r="AE180" s="295">
        <f t="shared" si="21"/>
        <v>-27.720000000000002</v>
      </c>
      <c r="AF180" s="295">
        <f t="shared" si="21"/>
        <v>-27.720000000000002</v>
      </c>
      <c r="AG180" s="295">
        <f t="shared" si="21"/>
        <v>-27.720000000000002</v>
      </c>
      <c r="AH180" s="295">
        <f t="shared" si="21"/>
        <v>-27.720000000000002</v>
      </c>
      <c r="AI180" s="295">
        <f t="shared" si="21"/>
        <v>-27.720000000000002</v>
      </c>
    </row>
    <row r="181" spans="2:35">
      <c r="B181" s="93" t="s">
        <v>301</v>
      </c>
      <c r="C181" s="295" t="s">
        <v>647</v>
      </c>
      <c r="D181" s="93" t="s">
        <v>301</v>
      </c>
      <c r="E181" s="295">
        <v>0</v>
      </c>
    </row>
    <row r="182" spans="2:35">
      <c r="B182" s="295" t="s">
        <v>543</v>
      </c>
      <c r="C182" s="295" t="s">
        <v>647</v>
      </c>
      <c r="D182" s="295" t="s">
        <v>543</v>
      </c>
      <c r="E182" s="295">
        <v>380</v>
      </c>
    </row>
    <row r="183" spans="2:35">
      <c r="B183" s="295" t="s">
        <v>544</v>
      </c>
      <c r="C183" s="295" t="s">
        <v>647</v>
      </c>
      <c r="D183" s="295" t="s">
        <v>544</v>
      </c>
      <c r="E183" s="295">
        <f>E181+E182</f>
        <v>380</v>
      </c>
    </row>
    <row r="184" spans="2:35">
      <c r="B184" s="295" t="s">
        <v>545</v>
      </c>
      <c r="C184" s="295" t="s">
        <v>647</v>
      </c>
      <c r="D184" s="295" t="s">
        <v>545</v>
      </c>
      <c r="E184" s="295">
        <v>0</v>
      </c>
    </row>
    <row r="185" spans="2:35">
      <c r="B185" s="295" t="s">
        <v>546</v>
      </c>
      <c r="C185" s="295" t="s">
        <v>647</v>
      </c>
      <c r="D185" s="295" t="s">
        <v>606</v>
      </c>
      <c r="E185" s="295">
        <v>8760</v>
      </c>
      <c r="F185" s="295">
        <f>IF(F$6=$C185,IF(INDEX('Surface DEET'!$Q$9:$W$38,COLUMN(F178)-COLUMN($E$5),1)&gt;0,INDEX('Surface DEET'!$Q$9:$W$38,COLUMN(F178)-COLUMN($E$5),1),$E185),0)</f>
        <v>0</v>
      </c>
      <c r="G185" s="295">
        <f>IF(G$6=$C185,IF(INDEX('Surface DEET'!$Q$9:$W$38,COLUMN(G178)-COLUMN($E$5),1)&gt;0,INDEX('Surface DEET'!$Q$9:$W$38,COLUMN(G178)-COLUMN($E$5),1),$E185),0)</f>
        <v>0</v>
      </c>
      <c r="H185" s="295">
        <f>IF(H$6=$C185,IF(INDEX('Surface DEET'!$Q$9:$W$38,COLUMN(H178)-COLUMN($E$5),1)&gt;0,INDEX('Surface DEET'!$Q$9:$W$38,COLUMN(H178)-COLUMN($E$5),1),$E185),0)</f>
        <v>0</v>
      </c>
      <c r="I185" s="295">
        <f>IF(I$6=$C185,IF(INDEX('Surface DEET'!$Q$9:$W$38,COLUMN(I178)-COLUMN($E$5),1)&gt;0,INDEX('Surface DEET'!$Q$9:$W$38,COLUMN(I178)-COLUMN($E$5),1),$E185),0)</f>
        <v>0</v>
      </c>
      <c r="J185" s="295">
        <f>IF(J$6=$C185,IF(INDEX('Surface DEET'!$Q$9:$W$38,COLUMN(J178)-COLUMN($E$5),1)&gt;0,INDEX('Surface DEET'!$Q$9:$W$38,COLUMN(J178)-COLUMN($E$5),1),$E185),0)</f>
        <v>0</v>
      </c>
      <c r="K185" s="295">
        <f>IF(K$6=$C185,IF(INDEX('Surface DEET'!$Q$9:$W$38,COLUMN(K178)-COLUMN($E$5),1)&gt;0,INDEX('Surface DEET'!$Q$9:$W$38,COLUMN(K178)-COLUMN($E$5),1),$E185),0)</f>
        <v>0</v>
      </c>
      <c r="L185" s="295">
        <f>IF(L$6=$C185,IF(INDEX('Surface DEET'!$Q$9:$W$38,COLUMN(L178)-COLUMN($E$5),1)&gt;0,INDEX('Surface DEET'!$Q$9:$W$38,COLUMN(L178)-COLUMN($E$5),1),$E185),0)</f>
        <v>0</v>
      </c>
      <c r="M185" s="295">
        <f>IF(M$6=$C185,IF(INDEX('Surface DEET'!$Q$9:$W$38,COLUMN(M178)-COLUMN($E$5),1)&gt;0,INDEX('Surface DEET'!$Q$9:$W$38,COLUMN(M178)-COLUMN($E$5),1),$E185),0)</f>
        <v>0</v>
      </c>
      <c r="N185" s="295">
        <f>IF(N$6=$C185,IF(INDEX('Surface DEET'!$Q$9:$W$38,COLUMN(N178)-COLUMN($E$5),1)&gt;0,INDEX('Surface DEET'!$Q$9:$W$38,COLUMN(N178)-COLUMN($E$5),1),$E185),0)</f>
        <v>0</v>
      </c>
      <c r="O185" s="295">
        <f>IF(O$6=$C185,IF(INDEX('Surface DEET'!$Q$9:$W$38,COLUMN(O178)-COLUMN($E$5),1)&gt;0,INDEX('Surface DEET'!$Q$9:$W$38,COLUMN(O178)-COLUMN($E$5),1),$E185),0)</f>
        <v>0</v>
      </c>
      <c r="P185" s="295">
        <f>IF(P$6=$C185,IF(INDEX('Surface DEET'!$Q$9:$W$38,COLUMN(P178)-COLUMN($E$5),1)&gt;0,INDEX('Surface DEET'!$Q$9:$W$38,COLUMN(P178)-COLUMN($E$5),1),$E185),0)</f>
        <v>0</v>
      </c>
      <c r="Q185" s="295">
        <f>IF(Q$6=$C185,IF(INDEX('Surface DEET'!$Q$9:$W$38,COLUMN(Q178)-COLUMN($E$5),1)&gt;0,INDEX('Surface DEET'!$Q$9:$W$38,COLUMN(Q178)-COLUMN($E$5),1),$E185),0)</f>
        <v>0</v>
      </c>
      <c r="R185" s="295">
        <f>IF(R$6=$C185,IF(INDEX('Surface DEET'!$Q$9:$W$38,COLUMN(R178)-COLUMN($E$5),1)&gt;0,INDEX('Surface DEET'!$Q$9:$W$38,COLUMN(R178)-COLUMN($E$5),1),$E185),0)</f>
        <v>0</v>
      </c>
      <c r="S185" s="295">
        <f>IF(S$6=$C185,IF(INDEX('Surface DEET'!$Q$9:$W$38,COLUMN(S178)-COLUMN($E$5),1)&gt;0,INDEX('Surface DEET'!$Q$9:$W$38,COLUMN(S178)-COLUMN($E$5),1),$E185),0)</f>
        <v>0</v>
      </c>
      <c r="T185" s="295">
        <f>IF(T$6=$C185,IF(INDEX('Surface DEET'!$Q$9:$W$38,COLUMN(T178)-COLUMN($E$5),1)&gt;0,INDEX('Surface DEET'!$Q$9:$W$38,COLUMN(T178)-COLUMN($E$5),1),$E185),0)</f>
        <v>0</v>
      </c>
      <c r="U185" s="295">
        <f>IF(U$6=$C185,IF(INDEX('Surface DEET'!$Q$9:$W$38,COLUMN(U178)-COLUMN($E$5),1)&gt;0,INDEX('Surface DEET'!$Q$9:$W$38,COLUMN(U178)-COLUMN($E$5),1),$E185),0)</f>
        <v>0</v>
      </c>
      <c r="V185" s="295">
        <f>IF(V$6=$C185,IF(INDEX('Surface DEET'!$Q$9:$W$38,COLUMN(V178)-COLUMN($E$5),1)&gt;0,INDEX('Surface DEET'!$Q$9:$W$38,COLUMN(V178)-COLUMN($E$5),1),$E185),0)</f>
        <v>0</v>
      </c>
      <c r="W185" s="295">
        <f>IF(W$6=$C185,IF(INDEX('Surface DEET'!$Q$9:$W$38,COLUMN(W178)-COLUMN($E$5),1)&gt;0,INDEX('Surface DEET'!$Q$9:$W$38,COLUMN(W178)-COLUMN($E$5),1),$E185),0)</f>
        <v>0</v>
      </c>
      <c r="X185" s="295">
        <f>IF(X$6=$C185,IF(INDEX('Surface DEET'!$Q$9:$W$38,COLUMN(X178)-COLUMN($E$5),1)&gt;0,INDEX('Surface DEET'!$Q$9:$W$38,COLUMN(X178)-COLUMN($E$5),1),$E185),0)</f>
        <v>0</v>
      </c>
      <c r="Y185" s="295">
        <f>IF(Y$6=$C185,IF(INDEX('Surface DEET'!$Q$9:$W$38,COLUMN(Y178)-COLUMN($E$5),1)&gt;0,INDEX('Surface DEET'!$Q$9:$W$38,COLUMN(Y178)-COLUMN($E$5),1),$E185),0)</f>
        <v>0</v>
      </c>
      <c r="Z185" s="295">
        <f>IF(Z$6=$C185,IF(INDEX('Surface DEET'!$Q$9:$W$38,COLUMN(Z178)-COLUMN($E$5),1)&gt;0,INDEX('Surface DEET'!$Q$9:$W$38,COLUMN(Z178)-COLUMN($E$5),1),$E185),0)</f>
        <v>0</v>
      </c>
      <c r="AA185" s="295">
        <f>IF(AA$6=$C185,IF(INDEX('Surface DEET'!$Q$9:$W$38,COLUMN(AA178)-COLUMN($E$5),1)&gt;0,INDEX('Surface DEET'!$Q$9:$W$38,COLUMN(AA178)-COLUMN($E$5),1),$E185),0)</f>
        <v>0</v>
      </c>
      <c r="AB185" s="295">
        <f>IF(AB$6=$C185,IF(INDEX('Surface DEET'!$Q$9:$W$38,COLUMN(AB178)-COLUMN($E$5),1)&gt;0,INDEX('Surface DEET'!$Q$9:$W$38,COLUMN(AB178)-COLUMN($E$5),1),$E185),0)</f>
        <v>0</v>
      </c>
      <c r="AC185" s="295">
        <f>IF(AC$6=$C185,IF(INDEX('Surface DEET'!$Q$9:$W$38,COLUMN(AC178)-COLUMN($E$5),1)&gt;0,INDEX('Surface DEET'!$Q$9:$W$38,COLUMN(AC178)-COLUMN($E$5),1),$E185),0)</f>
        <v>0</v>
      </c>
      <c r="AD185" s="295">
        <f>IF(AD$6=$C185,IF(INDEX('Surface DEET'!$Q$9:$W$38,COLUMN(AD178)-COLUMN($E$5),1)&gt;0,INDEX('Surface DEET'!$Q$9:$W$38,COLUMN(AD178)-COLUMN($E$5),1),$E185),0)</f>
        <v>0</v>
      </c>
      <c r="AE185" s="295">
        <f>IF(AE$6=$C185,IF(INDEX('Surface DEET'!$Q$9:$W$38,COLUMN(AE178)-COLUMN($E$5),1)&gt;0,INDEX('Surface DEET'!$Q$9:$W$38,COLUMN(AE178)-COLUMN($E$5),1),$E185),0)</f>
        <v>0</v>
      </c>
      <c r="AF185" s="295">
        <f>IF(AF$6=$C185,IF(INDEX('Surface DEET'!$Q$9:$W$38,COLUMN(AF178)-COLUMN($E$5),1)&gt;0,INDEX('Surface DEET'!$Q$9:$W$38,COLUMN(AF178)-COLUMN($E$5),1),$E185),0)</f>
        <v>0</v>
      </c>
      <c r="AG185" s="295">
        <f>IF(AG$6=$C185,IF(INDEX('Surface DEET'!$Q$9:$W$38,COLUMN(AG178)-COLUMN($E$5),1)&gt;0,INDEX('Surface DEET'!$Q$9:$W$38,COLUMN(AG178)-COLUMN($E$5),1),$E185),0)</f>
        <v>0</v>
      </c>
      <c r="AH185" s="295">
        <f>IF(AH$6=$C185,IF(INDEX('Surface DEET'!$Q$9:$W$38,COLUMN(AH178)-COLUMN($E$5),1)&gt;0,INDEX('Surface DEET'!$Q$9:$W$38,COLUMN(AH178)-COLUMN($E$5),1),$E185),0)</f>
        <v>0</v>
      </c>
      <c r="AI185" s="295">
        <f>IF(AI$6=$C185,IF(INDEX('Surface DEET'!$Q$9:$W$38,COLUMN(AI178)-COLUMN($E$5),1)&gt;0,INDEX('Surface DEET'!$Q$9:$W$38,COLUMN(AI178)-COLUMN($E$5),1),$E185),0)</f>
        <v>0</v>
      </c>
    </row>
    <row r="186" spans="2:35">
      <c r="B186" s="295" t="s">
        <v>549</v>
      </c>
      <c r="C186" s="295" t="s">
        <v>647</v>
      </c>
    </row>
    <row r="187" spans="2:35">
      <c r="B187" s="295" t="s">
        <v>552</v>
      </c>
      <c r="C187" s="295" t="s">
        <v>647</v>
      </c>
    </row>
    <row r="188" spans="2:35">
      <c r="B188" s="295" t="s">
        <v>542</v>
      </c>
      <c r="C188" s="295" t="s">
        <v>647</v>
      </c>
      <c r="D188" s="295" t="s">
        <v>542</v>
      </c>
      <c r="F188" s="295">
        <f>$E$182*F185/$E$185</f>
        <v>0</v>
      </c>
      <c r="G188" s="295">
        <f t="shared" ref="G188:AI188" si="22">$E$182*G185/$E$185</f>
        <v>0</v>
      </c>
      <c r="H188" s="295">
        <f t="shared" si="22"/>
        <v>0</v>
      </c>
      <c r="I188" s="295">
        <f t="shared" si="22"/>
        <v>0</v>
      </c>
      <c r="J188" s="295">
        <f t="shared" si="22"/>
        <v>0</v>
      </c>
      <c r="K188" s="295">
        <f t="shared" si="22"/>
        <v>0</v>
      </c>
      <c r="L188" s="295">
        <f t="shared" si="22"/>
        <v>0</v>
      </c>
      <c r="M188" s="295">
        <f t="shared" si="22"/>
        <v>0</v>
      </c>
      <c r="N188" s="295">
        <f t="shared" si="22"/>
        <v>0</v>
      </c>
      <c r="O188" s="295">
        <f t="shared" si="22"/>
        <v>0</v>
      </c>
      <c r="P188" s="295">
        <f t="shared" si="22"/>
        <v>0</v>
      </c>
      <c r="Q188" s="295">
        <f t="shared" si="22"/>
        <v>0</v>
      </c>
      <c r="R188" s="295">
        <f t="shared" si="22"/>
        <v>0</v>
      </c>
      <c r="S188" s="295">
        <f t="shared" si="22"/>
        <v>0</v>
      </c>
      <c r="T188" s="295">
        <f t="shared" si="22"/>
        <v>0</v>
      </c>
      <c r="U188" s="295">
        <f t="shared" si="22"/>
        <v>0</v>
      </c>
      <c r="V188" s="295">
        <f t="shared" si="22"/>
        <v>0</v>
      </c>
      <c r="W188" s="295">
        <f t="shared" si="22"/>
        <v>0</v>
      </c>
      <c r="X188" s="295">
        <f t="shared" si="22"/>
        <v>0</v>
      </c>
      <c r="Y188" s="295">
        <f t="shared" si="22"/>
        <v>0</v>
      </c>
      <c r="Z188" s="295">
        <f t="shared" si="22"/>
        <v>0</v>
      </c>
      <c r="AA188" s="295">
        <f t="shared" si="22"/>
        <v>0</v>
      </c>
      <c r="AB188" s="295">
        <f t="shared" si="22"/>
        <v>0</v>
      </c>
      <c r="AC188" s="295">
        <f t="shared" si="22"/>
        <v>0</v>
      </c>
      <c r="AD188" s="295">
        <f t="shared" si="22"/>
        <v>0</v>
      </c>
      <c r="AE188" s="295">
        <f t="shared" si="22"/>
        <v>0</v>
      </c>
      <c r="AF188" s="295">
        <f t="shared" si="22"/>
        <v>0</v>
      </c>
      <c r="AG188" s="295">
        <f t="shared" si="22"/>
        <v>0</v>
      </c>
      <c r="AH188" s="295">
        <f t="shared" si="22"/>
        <v>0</v>
      </c>
      <c r="AI188" s="295">
        <f t="shared" si="22"/>
        <v>0</v>
      </c>
    </row>
    <row r="189" spans="2:35">
      <c r="B189" s="93" t="s">
        <v>301</v>
      </c>
      <c r="C189" s="295" t="s">
        <v>648</v>
      </c>
      <c r="D189" s="93" t="s">
        <v>301</v>
      </c>
      <c r="E189" s="295">
        <f t="array" ref="E189">INDEX(CABS_CVC!$C$3:$O$894,MATCH(1, (CABS_CVC!$A$3:$A$894=Calculs_CABS!C189)*(CABS_CVC!$B$3:$B$894=Calculs_CABS!$D$2),0),MATCH(Calculs_CABS!$D$1,Liste_CABS!$B$3:$B$15,0))</f>
        <v>308</v>
      </c>
    </row>
    <row r="190" spans="2:35">
      <c r="B190" s="295" t="s">
        <v>543</v>
      </c>
      <c r="C190" s="295" t="s">
        <v>648</v>
      </c>
      <c r="D190" s="295" t="s">
        <v>543</v>
      </c>
      <c r="E190" s="295">
        <v>258</v>
      </c>
    </row>
    <row r="191" spans="2:35">
      <c r="B191" s="295" t="s">
        <v>544</v>
      </c>
      <c r="C191" s="295" t="s">
        <v>648</v>
      </c>
      <c r="D191" s="295" t="s">
        <v>544</v>
      </c>
      <c r="E191" s="295">
        <f>E189+E190</f>
        <v>566</v>
      </c>
    </row>
    <row r="192" spans="2:35">
      <c r="B192" s="295" t="s">
        <v>545</v>
      </c>
      <c r="C192" s="295" t="s">
        <v>648</v>
      </c>
      <c r="D192" s="295" t="s">
        <v>545</v>
      </c>
      <c r="E192" s="295">
        <v>0.97</v>
      </c>
    </row>
    <row r="193" spans="2:35">
      <c r="B193" s="295" t="s">
        <v>546</v>
      </c>
      <c r="C193" s="295" t="s">
        <v>648</v>
      </c>
      <c r="D193" s="295" t="s">
        <v>645</v>
      </c>
      <c r="E193" s="295">
        <v>2900</v>
      </c>
      <c r="F193" s="295">
        <f>IF(F$6=$C193,IF(INDEX('Surface DEET'!$Q$9:$W$38,COLUMN(F186)-COLUMN($E$5),1)&gt;0,INDEX('Surface DEET'!$Q$9:$W$38,COLUMN(F186)-COLUMN($E$5),1),$E193),0)</f>
        <v>0</v>
      </c>
      <c r="G193" s="295">
        <f>IF(G$6=$C193,IF(INDEX('Surface DEET'!$Q$9:$W$38,COLUMN(G186)-COLUMN($E$5),1)&gt;0,INDEX('Surface DEET'!$Q$9:$W$38,COLUMN(G186)-COLUMN($E$5),1),$E193),0)</f>
        <v>0</v>
      </c>
      <c r="H193" s="295">
        <f>IF(H$6=$C193,IF(INDEX('Surface DEET'!$Q$9:$W$38,COLUMN(H186)-COLUMN($E$5),1)&gt;0,INDEX('Surface DEET'!$Q$9:$W$38,COLUMN(H186)-COLUMN($E$5),1),$E193),0)</f>
        <v>0</v>
      </c>
      <c r="I193" s="295">
        <f>IF(I$6=$C193,IF(INDEX('Surface DEET'!$Q$9:$W$38,COLUMN(I186)-COLUMN($E$5),1)&gt;0,INDEX('Surface DEET'!$Q$9:$W$38,COLUMN(I186)-COLUMN($E$5),1),$E193),0)</f>
        <v>0</v>
      </c>
      <c r="J193" s="295">
        <f>IF(J$6=$C193,IF(INDEX('Surface DEET'!$Q$9:$W$38,COLUMN(J186)-COLUMN($E$5),1)&gt;0,INDEX('Surface DEET'!$Q$9:$W$38,COLUMN(J186)-COLUMN($E$5),1),$E193),0)</f>
        <v>0</v>
      </c>
      <c r="K193" s="295">
        <f>IF(K$6=$C193,IF(INDEX('Surface DEET'!$Q$9:$W$38,COLUMN(K186)-COLUMN($E$5),1)&gt;0,INDEX('Surface DEET'!$Q$9:$W$38,COLUMN(K186)-COLUMN($E$5),1),$E193),0)</f>
        <v>0</v>
      </c>
      <c r="L193" s="295">
        <f>IF(L$6=$C193,IF(INDEX('Surface DEET'!$Q$9:$W$38,COLUMN(L186)-COLUMN($E$5),1)&gt;0,INDEX('Surface DEET'!$Q$9:$W$38,COLUMN(L186)-COLUMN($E$5),1),$E193),0)</f>
        <v>0</v>
      </c>
      <c r="M193" s="295">
        <f>IF(M$6=$C193,IF(INDEX('Surface DEET'!$Q$9:$W$38,COLUMN(M186)-COLUMN($E$5),1)&gt;0,INDEX('Surface DEET'!$Q$9:$W$38,COLUMN(M186)-COLUMN($E$5),1),$E193),0)</f>
        <v>0</v>
      </c>
      <c r="N193" s="295">
        <f>IF(N$6=$C193,IF(INDEX('Surface DEET'!$Q$9:$W$38,COLUMN(N186)-COLUMN($E$5),1)&gt;0,INDEX('Surface DEET'!$Q$9:$W$38,COLUMN(N186)-COLUMN($E$5),1),$E193),0)</f>
        <v>0</v>
      </c>
      <c r="O193" s="295">
        <f>IF(O$6=$C193,IF(INDEX('Surface DEET'!$Q$9:$W$38,COLUMN(O186)-COLUMN($E$5),1)&gt;0,INDEX('Surface DEET'!$Q$9:$W$38,COLUMN(O186)-COLUMN($E$5),1),$E193),0)</f>
        <v>0</v>
      </c>
      <c r="P193" s="295">
        <f>IF(P$6=$C193,IF(INDEX('Surface DEET'!$Q$9:$W$38,COLUMN(P186)-COLUMN($E$5),1)&gt;0,INDEX('Surface DEET'!$Q$9:$W$38,COLUMN(P186)-COLUMN($E$5),1),$E193),0)</f>
        <v>0</v>
      </c>
      <c r="Q193" s="295">
        <f>IF(Q$6=$C193,IF(INDEX('Surface DEET'!$Q$9:$W$38,COLUMN(Q186)-COLUMN($E$5),1)&gt;0,INDEX('Surface DEET'!$Q$9:$W$38,COLUMN(Q186)-COLUMN($E$5),1),$E193),0)</f>
        <v>0</v>
      </c>
      <c r="R193" s="295">
        <f>IF(R$6=$C193,IF(INDEX('Surface DEET'!$Q$9:$W$38,COLUMN(R186)-COLUMN($E$5),1)&gt;0,INDEX('Surface DEET'!$Q$9:$W$38,COLUMN(R186)-COLUMN($E$5),1),$E193),0)</f>
        <v>0</v>
      </c>
      <c r="S193" s="295">
        <f>IF(S$6=$C193,IF(INDEX('Surface DEET'!$Q$9:$W$38,COLUMN(S186)-COLUMN($E$5),1)&gt;0,INDEX('Surface DEET'!$Q$9:$W$38,COLUMN(S186)-COLUMN($E$5),1),$E193),0)</f>
        <v>0</v>
      </c>
      <c r="T193" s="295">
        <f>IF(T$6=$C193,IF(INDEX('Surface DEET'!$Q$9:$W$38,COLUMN(T186)-COLUMN($E$5),1)&gt;0,INDEX('Surface DEET'!$Q$9:$W$38,COLUMN(T186)-COLUMN($E$5),1),$E193),0)</f>
        <v>0</v>
      </c>
      <c r="U193" s="295">
        <f>IF(U$6=$C193,IF(INDEX('Surface DEET'!$Q$9:$W$38,COLUMN(U186)-COLUMN($E$5),1)&gt;0,INDEX('Surface DEET'!$Q$9:$W$38,COLUMN(U186)-COLUMN($E$5),1),$E193),0)</f>
        <v>0</v>
      </c>
      <c r="V193" s="295">
        <f>IF(V$6=$C193,IF(INDEX('Surface DEET'!$Q$9:$W$38,COLUMN(V186)-COLUMN($E$5),1)&gt;0,INDEX('Surface DEET'!$Q$9:$W$38,COLUMN(V186)-COLUMN($E$5),1),$E193),0)</f>
        <v>0</v>
      </c>
      <c r="W193" s="295">
        <f>IF(W$6=$C193,IF(INDEX('Surface DEET'!$Q$9:$W$38,COLUMN(W186)-COLUMN($E$5),1)&gt;0,INDEX('Surface DEET'!$Q$9:$W$38,COLUMN(W186)-COLUMN($E$5),1),$E193),0)</f>
        <v>0</v>
      </c>
      <c r="X193" s="295">
        <f>IF(X$6=$C193,IF(INDEX('Surface DEET'!$Q$9:$W$38,COLUMN(X186)-COLUMN($E$5),1)&gt;0,INDEX('Surface DEET'!$Q$9:$W$38,COLUMN(X186)-COLUMN($E$5),1),$E193),0)</f>
        <v>0</v>
      </c>
      <c r="Y193" s="295">
        <f>IF(Y$6=$C193,IF(INDEX('Surface DEET'!$Q$9:$W$38,COLUMN(Y186)-COLUMN($E$5),1)&gt;0,INDEX('Surface DEET'!$Q$9:$W$38,COLUMN(Y186)-COLUMN($E$5),1),$E193),0)</f>
        <v>0</v>
      </c>
      <c r="Z193" s="295">
        <f>IF(Z$6=$C193,IF(INDEX('Surface DEET'!$Q$9:$W$38,COLUMN(Z186)-COLUMN($E$5),1)&gt;0,INDEX('Surface DEET'!$Q$9:$W$38,COLUMN(Z186)-COLUMN($E$5),1),$E193),0)</f>
        <v>0</v>
      </c>
      <c r="AA193" s="295">
        <f>IF(AA$6=$C193,IF(INDEX('Surface DEET'!$Q$9:$W$38,COLUMN(AA186)-COLUMN($E$5),1)&gt;0,INDEX('Surface DEET'!$Q$9:$W$38,COLUMN(AA186)-COLUMN($E$5),1),$E193),0)</f>
        <v>0</v>
      </c>
      <c r="AB193" s="295">
        <f>IF(AB$6=$C193,IF(INDEX('Surface DEET'!$Q$9:$W$38,COLUMN(AB186)-COLUMN($E$5),1)&gt;0,INDEX('Surface DEET'!$Q$9:$W$38,COLUMN(AB186)-COLUMN($E$5),1),$E193),0)</f>
        <v>0</v>
      </c>
      <c r="AC193" s="295">
        <f>IF(AC$6=$C193,IF(INDEX('Surface DEET'!$Q$9:$W$38,COLUMN(AC186)-COLUMN($E$5),1)&gt;0,INDEX('Surface DEET'!$Q$9:$W$38,COLUMN(AC186)-COLUMN($E$5),1),$E193),0)</f>
        <v>0</v>
      </c>
      <c r="AD193" s="295">
        <f>IF(AD$6=$C193,IF(INDEX('Surface DEET'!$Q$9:$W$38,COLUMN(AD186)-COLUMN($E$5),1)&gt;0,INDEX('Surface DEET'!$Q$9:$W$38,COLUMN(AD186)-COLUMN($E$5),1),$E193),0)</f>
        <v>0</v>
      </c>
      <c r="AE193" s="295">
        <f>IF(AE$6=$C193,IF(INDEX('Surface DEET'!$Q$9:$W$38,COLUMN(AE186)-COLUMN($E$5),1)&gt;0,INDEX('Surface DEET'!$Q$9:$W$38,COLUMN(AE186)-COLUMN($E$5),1),$E193),0)</f>
        <v>0</v>
      </c>
      <c r="AF193" s="295">
        <f>IF(AF$6=$C193,IF(INDEX('Surface DEET'!$Q$9:$W$38,COLUMN(AF186)-COLUMN($E$5),1)&gt;0,INDEX('Surface DEET'!$Q$9:$W$38,COLUMN(AF186)-COLUMN($E$5),1),$E193),0)</f>
        <v>0</v>
      </c>
      <c r="AG193" s="295">
        <f>IF(AG$6=$C193,IF(INDEX('Surface DEET'!$Q$9:$W$38,COLUMN(AG186)-COLUMN($E$5),1)&gt;0,INDEX('Surface DEET'!$Q$9:$W$38,COLUMN(AG186)-COLUMN($E$5),1),$E193),0)</f>
        <v>0</v>
      </c>
      <c r="AH193" s="295">
        <f>IF(AH$6=$C193,IF(INDEX('Surface DEET'!$Q$9:$W$38,COLUMN(AH186)-COLUMN($E$5),1)&gt;0,INDEX('Surface DEET'!$Q$9:$W$38,COLUMN(AH186)-COLUMN($E$5),1),$E193),0)</f>
        <v>0</v>
      </c>
      <c r="AI193" s="295">
        <f>IF(AI$6=$C193,IF(INDEX('Surface DEET'!$Q$9:$W$38,COLUMN(AI186)-COLUMN($E$5),1)&gt;0,INDEX('Surface DEET'!$Q$9:$W$38,COLUMN(AI186)-COLUMN($E$5),1),$E193),0)</f>
        <v>0</v>
      </c>
    </row>
    <row r="194" spans="2:35">
      <c r="B194" s="295" t="s">
        <v>549</v>
      </c>
      <c r="C194" s="295" t="s">
        <v>648</v>
      </c>
      <c r="D194" s="295" t="s">
        <v>649</v>
      </c>
      <c r="E194" s="295">
        <v>48</v>
      </c>
      <c r="F194" s="295">
        <f>IF(F$6=$C194,IF(INDEX('Surface DEET'!$Q$9:$W$38,COLUMN(F187)-COLUMN($E$5),4)&gt;0,INDEX('Surface DEET'!$Q$9:$W$38,COLUMN(F187)-COLUMN($E$5),4),$E194),0)</f>
        <v>0</v>
      </c>
      <c r="G194" s="295">
        <f>IF(G$6=$C194,IF(INDEX('Surface DEET'!$Q$9:$W$38,COLUMN(G187)-COLUMN($E$5),4)&gt;0,INDEX('Surface DEET'!$Q$9:$W$38,COLUMN(G187)-COLUMN($E$5),4),$E194),0)</f>
        <v>0</v>
      </c>
      <c r="H194" s="295">
        <f>IF(H$6=$C194,IF(INDEX('Surface DEET'!$Q$9:$W$38,COLUMN(H187)-COLUMN($E$5),4)&gt;0,INDEX('Surface DEET'!$Q$9:$W$38,COLUMN(H187)-COLUMN($E$5),4),$E194),0)</f>
        <v>0</v>
      </c>
      <c r="I194" s="295">
        <f>IF(I$6=$C194,IF(INDEX('Surface DEET'!$Q$9:$W$38,COLUMN(I187)-COLUMN($E$5),4)&gt;0,INDEX('Surface DEET'!$Q$9:$W$38,COLUMN(I187)-COLUMN($E$5),4),$E194),0)</f>
        <v>0</v>
      </c>
      <c r="J194" s="295">
        <f>IF(J$6=$C194,IF(INDEX('Surface DEET'!$Q$9:$W$38,COLUMN(J187)-COLUMN($E$5),4)&gt;0,INDEX('Surface DEET'!$Q$9:$W$38,COLUMN(J187)-COLUMN($E$5),4),$E194),0)</f>
        <v>0</v>
      </c>
      <c r="K194" s="295">
        <f>IF(K$6=$C194,IF(INDEX('Surface DEET'!$Q$9:$W$38,COLUMN(K187)-COLUMN($E$5),4)&gt;0,INDEX('Surface DEET'!$Q$9:$W$38,COLUMN(K187)-COLUMN($E$5),4),$E194),0)</f>
        <v>0</v>
      </c>
      <c r="L194" s="295">
        <f>IF(L$6=$C194,IF(INDEX('Surface DEET'!$Q$9:$W$38,COLUMN(L187)-COLUMN($E$5),4)&gt;0,INDEX('Surface DEET'!$Q$9:$W$38,COLUMN(L187)-COLUMN($E$5),4),$E194),0)</f>
        <v>0</v>
      </c>
      <c r="M194" s="295">
        <f>IF(M$6=$C194,IF(INDEX('Surface DEET'!$Q$9:$W$38,COLUMN(M187)-COLUMN($E$5),4)&gt;0,INDEX('Surface DEET'!$Q$9:$W$38,COLUMN(M187)-COLUMN($E$5),4),$E194),0)</f>
        <v>0</v>
      </c>
      <c r="N194" s="295">
        <f>IF(N$6=$C194,IF(INDEX('Surface DEET'!$Q$9:$W$38,COLUMN(N187)-COLUMN($E$5),4)&gt;0,INDEX('Surface DEET'!$Q$9:$W$38,COLUMN(N187)-COLUMN($E$5),4),$E194),0)</f>
        <v>0</v>
      </c>
      <c r="O194" s="295">
        <f>IF(O$6=$C194,IF(INDEX('Surface DEET'!$Q$9:$W$38,COLUMN(O187)-COLUMN($E$5),4)&gt;0,INDEX('Surface DEET'!$Q$9:$W$38,COLUMN(O187)-COLUMN($E$5),4),$E194),0)</f>
        <v>0</v>
      </c>
      <c r="P194" s="295">
        <f>IF(P$6=$C194,IF(INDEX('Surface DEET'!$Q$9:$W$38,COLUMN(P187)-COLUMN($E$5),4)&gt;0,INDEX('Surface DEET'!$Q$9:$W$38,COLUMN(P187)-COLUMN($E$5),4),$E194),0)</f>
        <v>0</v>
      </c>
      <c r="Q194" s="295">
        <f>IF(Q$6=$C194,IF(INDEX('Surface DEET'!$Q$9:$W$38,COLUMN(Q187)-COLUMN($E$5),4)&gt;0,INDEX('Surface DEET'!$Q$9:$W$38,COLUMN(Q187)-COLUMN($E$5),4),$E194),0)</f>
        <v>0</v>
      </c>
      <c r="R194" s="295">
        <f>IF(R$6=$C194,IF(INDEX('Surface DEET'!$Q$9:$W$38,COLUMN(R187)-COLUMN($E$5),4)&gt;0,INDEX('Surface DEET'!$Q$9:$W$38,COLUMN(R187)-COLUMN($E$5),4),$E194),0)</f>
        <v>0</v>
      </c>
      <c r="S194" s="295">
        <f>IF(S$6=$C194,IF(INDEX('Surface DEET'!$Q$9:$W$38,COLUMN(S187)-COLUMN($E$5),4)&gt;0,INDEX('Surface DEET'!$Q$9:$W$38,COLUMN(S187)-COLUMN($E$5),4),$E194),0)</f>
        <v>0</v>
      </c>
      <c r="T194" s="295">
        <f>IF(T$6=$C194,IF(INDEX('Surface DEET'!$Q$9:$W$38,COLUMN(T187)-COLUMN($E$5),4)&gt;0,INDEX('Surface DEET'!$Q$9:$W$38,COLUMN(T187)-COLUMN($E$5),4),$E194),0)</f>
        <v>0</v>
      </c>
      <c r="U194" s="295">
        <f>IF(U$6=$C194,IF(INDEX('Surface DEET'!$Q$9:$W$38,COLUMN(U187)-COLUMN($E$5),4)&gt;0,INDEX('Surface DEET'!$Q$9:$W$38,COLUMN(U187)-COLUMN($E$5),4),$E194),0)</f>
        <v>0</v>
      </c>
      <c r="V194" s="295">
        <f>IF(V$6=$C194,IF(INDEX('Surface DEET'!$Q$9:$W$38,COLUMN(V187)-COLUMN($E$5),4)&gt;0,INDEX('Surface DEET'!$Q$9:$W$38,COLUMN(V187)-COLUMN($E$5),4),$E194),0)</f>
        <v>0</v>
      </c>
      <c r="W194" s="295">
        <f>IF(W$6=$C194,IF(INDEX('Surface DEET'!$Q$9:$W$38,COLUMN(W187)-COLUMN($E$5),4)&gt;0,INDEX('Surface DEET'!$Q$9:$W$38,COLUMN(W187)-COLUMN($E$5),4),$E194),0)</f>
        <v>0</v>
      </c>
      <c r="X194" s="295">
        <f>IF(X$6=$C194,IF(INDEX('Surface DEET'!$Q$9:$W$38,COLUMN(X187)-COLUMN($E$5),4)&gt;0,INDEX('Surface DEET'!$Q$9:$W$38,COLUMN(X187)-COLUMN($E$5),4),$E194),0)</f>
        <v>0</v>
      </c>
      <c r="Y194" s="295">
        <f>IF(Y$6=$C194,IF(INDEX('Surface DEET'!$Q$9:$W$38,COLUMN(Y187)-COLUMN($E$5),4)&gt;0,INDEX('Surface DEET'!$Q$9:$W$38,COLUMN(Y187)-COLUMN($E$5),4),$E194),0)</f>
        <v>0</v>
      </c>
      <c r="Z194" s="295">
        <f>IF(Z$6=$C194,IF(INDEX('Surface DEET'!$Q$9:$W$38,COLUMN(Z187)-COLUMN($E$5),4)&gt;0,INDEX('Surface DEET'!$Q$9:$W$38,COLUMN(Z187)-COLUMN($E$5),4),$E194),0)</f>
        <v>0</v>
      </c>
      <c r="AA194" s="295">
        <f>IF(AA$6=$C194,IF(INDEX('Surface DEET'!$Q$9:$W$38,COLUMN(AA187)-COLUMN($E$5),4)&gt;0,INDEX('Surface DEET'!$Q$9:$W$38,COLUMN(AA187)-COLUMN($E$5),4),$E194),0)</f>
        <v>0</v>
      </c>
      <c r="AB194" s="295">
        <f>IF(AB$6=$C194,IF(INDEX('Surface DEET'!$Q$9:$W$38,COLUMN(AB187)-COLUMN($E$5),4)&gt;0,INDEX('Surface DEET'!$Q$9:$W$38,COLUMN(AB187)-COLUMN($E$5),4),$E194),0)</f>
        <v>0</v>
      </c>
      <c r="AC194" s="295">
        <f>IF(AC$6=$C194,IF(INDEX('Surface DEET'!$Q$9:$W$38,COLUMN(AC187)-COLUMN($E$5),4)&gt;0,INDEX('Surface DEET'!$Q$9:$W$38,COLUMN(AC187)-COLUMN($E$5),4),$E194),0)</f>
        <v>0</v>
      </c>
      <c r="AD194" s="295">
        <f>IF(AD$6=$C194,IF(INDEX('Surface DEET'!$Q$9:$W$38,COLUMN(AD187)-COLUMN($E$5),4)&gt;0,INDEX('Surface DEET'!$Q$9:$W$38,COLUMN(AD187)-COLUMN($E$5),4),$E194),0)</f>
        <v>0</v>
      </c>
      <c r="AE194" s="295">
        <f>IF(AE$6=$C194,IF(INDEX('Surface DEET'!$Q$9:$W$38,COLUMN(AE187)-COLUMN($E$5),4)&gt;0,INDEX('Surface DEET'!$Q$9:$W$38,COLUMN(AE187)-COLUMN($E$5),4),$E194),0)</f>
        <v>0</v>
      </c>
      <c r="AF194" s="295">
        <f>IF(AF$6=$C194,IF(INDEX('Surface DEET'!$Q$9:$W$38,COLUMN(AF187)-COLUMN($E$5),4)&gt;0,INDEX('Surface DEET'!$Q$9:$W$38,COLUMN(AF187)-COLUMN($E$5),4),$E194),0)</f>
        <v>0</v>
      </c>
      <c r="AG194" s="295">
        <f>IF(AG$6=$C194,IF(INDEX('Surface DEET'!$Q$9:$W$38,COLUMN(AG187)-COLUMN($E$5),4)&gt;0,INDEX('Surface DEET'!$Q$9:$W$38,COLUMN(AG187)-COLUMN($E$5),4),$E194),0)</f>
        <v>0</v>
      </c>
      <c r="AH194" s="295">
        <f>IF(AH$6=$C194,IF(INDEX('Surface DEET'!$Q$9:$W$38,COLUMN(AH187)-COLUMN($E$5),4)&gt;0,INDEX('Surface DEET'!$Q$9:$W$38,COLUMN(AH187)-COLUMN($E$5),4),$E194),0)</f>
        <v>0</v>
      </c>
      <c r="AI194" s="295">
        <f>IF(AI$6=$C194,IF(INDEX('Surface DEET'!$Q$9:$W$38,COLUMN(AI187)-COLUMN($E$5),4)&gt;0,INDEX('Surface DEET'!$Q$9:$W$38,COLUMN(AI187)-COLUMN($E$5),4),$E194),0)</f>
        <v>0</v>
      </c>
    </row>
    <row r="195" spans="2:35">
      <c r="B195" s="295" t="s">
        <v>552</v>
      </c>
      <c r="C195" s="295" t="s">
        <v>648</v>
      </c>
    </row>
    <row r="196" spans="2:35">
      <c r="B196" s="295" t="s">
        <v>611</v>
      </c>
      <c r="C196" s="295" t="s">
        <v>648</v>
      </c>
      <c r="D196" s="295" t="s">
        <v>650</v>
      </c>
      <c r="E196" s="295">
        <v>1.9E-2</v>
      </c>
    </row>
    <row r="197" spans="2:35">
      <c r="B197" s="295" t="s">
        <v>613</v>
      </c>
      <c r="C197" s="295" t="s">
        <v>648</v>
      </c>
      <c r="D197" s="295" t="s">
        <v>651</v>
      </c>
      <c r="E197" s="295">
        <v>3.8</v>
      </c>
    </row>
    <row r="198" spans="2:35">
      <c r="B198" s="295" t="s">
        <v>542</v>
      </c>
      <c r="C198" s="295" t="s">
        <v>648</v>
      </c>
      <c r="D198" s="295" t="s">
        <v>542</v>
      </c>
      <c r="F198" s="295">
        <f>IFERROR($E$190*(F193/$E$193)*((1-$E$192)+$E$192*F194/$E$194)+(F193-$E$193)*$E$196+(F194-$E$194)*$E$197,0)</f>
        <v>-237.49999999999997</v>
      </c>
      <c r="G198" s="295">
        <f t="shared" ref="G198:AI198" si="23">IFERROR($E$190*(G193/$E$193)*((1-$E$192)+$E$192*G194/$E$194)+(G193-$E$193)*$E$196+(G194-$E$194)*$E$197,0)</f>
        <v>-237.49999999999997</v>
      </c>
      <c r="H198" s="295">
        <f t="shared" si="23"/>
        <v>-237.49999999999997</v>
      </c>
      <c r="I198" s="295">
        <f t="shared" si="23"/>
        <v>-237.49999999999997</v>
      </c>
      <c r="J198" s="295">
        <f t="shared" si="23"/>
        <v>-237.49999999999997</v>
      </c>
      <c r="K198" s="295">
        <f t="shared" si="23"/>
        <v>-237.49999999999997</v>
      </c>
      <c r="L198" s="295">
        <f t="shared" si="23"/>
        <v>-237.49999999999997</v>
      </c>
      <c r="M198" s="295">
        <f t="shared" si="23"/>
        <v>-237.49999999999997</v>
      </c>
      <c r="N198" s="295">
        <f t="shared" si="23"/>
        <v>-237.49999999999997</v>
      </c>
      <c r="O198" s="295">
        <f t="shared" si="23"/>
        <v>-237.49999999999997</v>
      </c>
      <c r="P198" s="295">
        <f t="shared" si="23"/>
        <v>-237.49999999999997</v>
      </c>
      <c r="Q198" s="295">
        <f t="shared" si="23"/>
        <v>-237.49999999999997</v>
      </c>
      <c r="R198" s="295">
        <f t="shared" si="23"/>
        <v>-237.49999999999997</v>
      </c>
      <c r="S198" s="295">
        <f t="shared" si="23"/>
        <v>-237.49999999999997</v>
      </c>
      <c r="T198" s="295">
        <f t="shared" si="23"/>
        <v>-237.49999999999997</v>
      </c>
      <c r="U198" s="295">
        <f t="shared" si="23"/>
        <v>-237.49999999999997</v>
      </c>
      <c r="V198" s="295">
        <f t="shared" si="23"/>
        <v>-237.49999999999997</v>
      </c>
      <c r="W198" s="295">
        <f t="shared" si="23"/>
        <v>-237.49999999999997</v>
      </c>
      <c r="X198" s="295">
        <f t="shared" si="23"/>
        <v>-237.49999999999997</v>
      </c>
      <c r="Y198" s="295">
        <f t="shared" si="23"/>
        <v>-237.49999999999997</v>
      </c>
      <c r="Z198" s="295">
        <f t="shared" si="23"/>
        <v>-237.49999999999997</v>
      </c>
      <c r="AA198" s="295">
        <f t="shared" si="23"/>
        <v>-237.49999999999997</v>
      </c>
      <c r="AB198" s="295">
        <f t="shared" si="23"/>
        <v>-237.49999999999997</v>
      </c>
      <c r="AC198" s="295">
        <f t="shared" si="23"/>
        <v>-237.49999999999997</v>
      </c>
      <c r="AD198" s="295">
        <f t="shared" si="23"/>
        <v>-237.49999999999997</v>
      </c>
      <c r="AE198" s="295">
        <f t="shared" si="23"/>
        <v>-237.49999999999997</v>
      </c>
      <c r="AF198" s="295">
        <f t="shared" si="23"/>
        <v>-237.49999999999997</v>
      </c>
      <c r="AG198" s="295">
        <f t="shared" si="23"/>
        <v>-237.49999999999997</v>
      </c>
      <c r="AH198" s="295">
        <f t="shared" si="23"/>
        <v>-237.49999999999997</v>
      </c>
      <c r="AI198" s="295">
        <f t="shared" si="23"/>
        <v>-237.49999999999997</v>
      </c>
    </row>
    <row r="199" spans="2:35">
      <c r="B199" s="93" t="s">
        <v>301</v>
      </c>
      <c r="C199" s="295" t="s">
        <v>652</v>
      </c>
      <c r="D199" s="93" t="s">
        <v>301</v>
      </c>
      <c r="E199" s="295">
        <f t="array" ref="E199">INDEX(CABS_CVC!$C$3:$O$894,MATCH(1, (CABS_CVC!$A$3:$A$894=Calculs_CABS!C199)*(CABS_CVC!$B$3:$B$894=Calculs_CABS!$D$2),0),MATCH(Calculs_CABS!$D$1,Liste_CABS!$B$3:$B$15,0))</f>
        <v>44</v>
      </c>
    </row>
    <row r="200" spans="2:35">
      <c r="B200" s="295" t="s">
        <v>543</v>
      </c>
      <c r="C200" s="295" t="s">
        <v>652</v>
      </c>
      <c r="D200" s="295" t="s">
        <v>543</v>
      </c>
      <c r="E200" s="295">
        <v>243</v>
      </c>
    </row>
    <row r="201" spans="2:35">
      <c r="B201" s="295" t="s">
        <v>544</v>
      </c>
      <c r="C201" s="295" t="s">
        <v>652</v>
      </c>
      <c r="D201" s="295" t="s">
        <v>544</v>
      </c>
      <c r="E201" s="295">
        <f>E199+E200</f>
        <v>287</v>
      </c>
    </row>
    <row r="202" spans="2:35">
      <c r="B202" s="295" t="s">
        <v>545</v>
      </c>
      <c r="C202" s="295" t="s">
        <v>652</v>
      </c>
      <c r="D202" s="295" t="s">
        <v>545</v>
      </c>
      <c r="E202" s="295">
        <v>0.96</v>
      </c>
    </row>
    <row r="203" spans="2:35">
      <c r="B203" s="295" t="s">
        <v>546</v>
      </c>
      <c r="C203" s="295" t="s">
        <v>652</v>
      </c>
      <c r="D203" s="295" t="s">
        <v>645</v>
      </c>
      <c r="E203" s="295">
        <v>2600</v>
      </c>
      <c r="F203" s="295">
        <f>IF(F$6=$C203,IF(INDEX('Surface DEET'!$Q$9:$W$38,COLUMN(F196)-COLUMN($E$5),1)&gt;0,INDEX('Surface DEET'!$Q$9:$W$38,COLUMN(F196)-COLUMN($E$5),1),$E203),0)</f>
        <v>0</v>
      </c>
      <c r="G203" s="295">
        <f>IF(G$6=$C203,IF(INDEX('Surface DEET'!$Q$9:$W$38,COLUMN(G196)-COLUMN($E$5),1)&gt;0,INDEX('Surface DEET'!$Q$9:$W$38,COLUMN(G196)-COLUMN($E$5),1),$E203),0)</f>
        <v>0</v>
      </c>
      <c r="H203" s="295">
        <f>IF(H$6=$C203,IF(INDEX('Surface DEET'!$Q$9:$W$38,COLUMN(H196)-COLUMN($E$5),1)&gt;0,INDEX('Surface DEET'!$Q$9:$W$38,COLUMN(H196)-COLUMN($E$5),1),$E203),0)</f>
        <v>0</v>
      </c>
      <c r="I203" s="295">
        <f>IF(I$6=$C203,IF(INDEX('Surface DEET'!$Q$9:$W$38,COLUMN(I196)-COLUMN($E$5),1)&gt;0,INDEX('Surface DEET'!$Q$9:$W$38,COLUMN(I196)-COLUMN($E$5),1),$E203),0)</f>
        <v>0</v>
      </c>
      <c r="J203" s="295">
        <f>IF(J$6=$C203,IF(INDEX('Surface DEET'!$Q$9:$W$38,COLUMN(J196)-COLUMN($E$5),1)&gt;0,INDEX('Surface DEET'!$Q$9:$W$38,COLUMN(J196)-COLUMN($E$5),1),$E203),0)</f>
        <v>0</v>
      </c>
      <c r="K203" s="295">
        <f>IF(K$6=$C203,IF(INDEX('Surface DEET'!$Q$9:$W$38,COLUMN(K196)-COLUMN($E$5),1)&gt;0,INDEX('Surface DEET'!$Q$9:$W$38,COLUMN(K196)-COLUMN($E$5),1),$E203),0)</f>
        <v>0</v>
      </c>
      <c r="L203" s="295">
        <f>IF(L$6=$C203,IF(INDEX('Surface DEET'!$Q$9:$W$38,COLUMN(L196)-COLUMN($E$5),1)&gt;0,INDEX('Surface DEET'!$Q$9:$W$38,COLUMN(L196)-COLUMN($E$5),1),$E203),0)</f>
        <v>0</v>
      </c>
      <c r="M203" s="295">
        <f>IF(M$6=$C203,IF(INDEX('Surface DEET'!$Q$9:$W$38,COLUMN(M196)-COLUMN($E$5),1)&gt;0,INDEX('Surface DEET'!$Q$9:$W$38,COLUMN(M196)-COLUMN($E$5),1),$E203),0)</f>
        <v>0</v>
      </c>
      <c r="N203" s="295">
        <f>IF(N$6=$C203,IF(INDEX('Surface DEET'!$Q$9:$W$38,COLUMN(N196)-COLUMN($E$5),1)&gt;0,INDEX('Surface DEET'!$Q$9:$W$38,COLUMN(N196)-COLUMN($E$5),1),$E203),0)</f>
        <v>0</v>
      </c>
      <c r="O203" s="295">
        <f>IF(O$6=$C203,IF(INDEX('Surface DEET'!$Q$9:$W$38,COLUMN(O196)-COLUMN($E$5),1)&gt;0,INDEX('Surface DEET'!$Q$9:$W$38,COLUMN(O196)-COLUMN($E$5),1),$E203),0)</f>
        <v>0</v>
      </c>
      <c r="P203" s="295">
        <f>IF(P$6=$C203,IF(INDEX('Surface DEET'!$Q$9:$W$38,COLUMN(P196)-COLUMN($E$5),1)&gt;0,INDEX('Surface DEET'!$Q$9:$W$38,COLUMN(P196)-COLUMN($E$5),1),$E203),0)</f>
        <v>0</v>
      </c>
      <c r="Q203" s="295">
        <f>IF(Q$6=$C203,IF(INDEX('Surface DEET'!$Q$9:$W$38,COLUMN(Q196)-COLUMN($E$5),1)&gt;0,INDEX('Surface DEET'!$Q$9:$W$38,COLUMN(Q196)-COLUMN($E$5),1),$E203),0)</f>
        <v>0</v>
      </c>
      <c r="R203" s="295">
        <f>IF(R$6=$C203,IF(INDEX('Surface DEET'!$Q$9:$W$38,COLUMN(R196)-COLUMN($E$5),1)&gt;0,INDEX('Surface DEET'!$Q$9:$W$38,COLUMN(R196)-COLUMN($E$5),1),$E203),0)</f>
        <v>0</v>
      </c>
      <c r="S203" s="295">
        <f>IF(S$6=$C203,IF(INDEX('Surface DEET'!$Q$9:$W$38,COLUMN(S196)-COLUMN($E$5),1)&gt;0,INDEX('Surface DEET'!$Q$9:$W$38,COLUMN(S196)-COLUMN($E$5),1),$E203),0)</f>
        <v>0</v>
      </c>
      <c r="T203" s="295">
        <f>IF(T$6=$C203,IF(INDEX('Surface DEET'!$Q$9:$W$38,COLUMN(T196)-COLUMN($E$5),1)&gt;0,INDEX('Surface DEET'!$Q$9:$W$38,COLUMN(T196)-COLUMN($E$5),1),$E203),0)</f>
        <v>0</v>
      </c>
      <c r="U203" s="295">
        <f>IF(U$6=$C203,IF(INDEX('Surface DEET'!$Q$9:$W$38,COLUMN(U196)-COLUMN($E$5),1)&gt;0,INDEX('Surface DEET'!$Q$9:$W$38,COLUMN(U196)-COLUMN($E$5),1),$E203),0)</f>
        <v>0</v>
      </c>
      <c r="V203" s="295">
        <f>IF(V$6=$C203,IF(INDEX('Surface DEET'!$Q$9:$W$38,COLUMN(V196)-COLUMN($E$5),1)&gt;0,INDEX('Surface DEET'!$Q$9:$W$38,COLUMN(V196)-COLUMN($E$5),1),$E203),0)</f>
        <v>0</v>
      </c>
      <c r="W203" s="295">
        <f>IF(W$6=$C203,IF(INDEX('Surface DEET'!$Q$9:$W$38,COLUMN(W196)-COLUMN($E$5),1)&gt;0,INDEX('Surface DEET'!$Q$9:$W$38,COLUMN(W196)-COLUMN($E$5),1),$E203),0)</f>
        <v>0</v>
      </c>
      <c r="X203" s="295">
        <f>IF(X$6=$C203,IF(INDEX('Surface DEET'!$Q$9:$W$38,COLUMN(X196)-COLUMN($E$5),1)&gt;0,INDEX('Surface DEET'!$Q$9:$W$38,COLUMN(X196)-COLUMN($E$5),1),$E203),0)</f>
        <v>0</v>
      </c>
      <c r="Y203" s="295">
        <f>IF(Y$6=$C203,IF(INDEX('Surface DEET'!$Q$9:$W$38,COLUMN(Y196)-COLUMN($E$5),1)&gt;0,INDEX('Surface DEET'!$Q$9:$W$38,COLUMN(Y196)-COLUMN($E$5),1),$E203),0)</f>
        <v>0</v>
      </c>
      <c r="Z203" s="295">
        <f>IF(Z$6=$C203,IF(INDEX('Surface DEET'!$Q$9:$W$38,COLUMN(Z196)-COLUMN($E$5),1)&gt;0,INDEX('Surface DEET'!$Q$9:$W$38,COLUMN(Z196)-COLUMN($E$5),1),$E203),0)</f>
        <v>0</v>
      </c>
      <c r="AA203" s="295">
        <f>IF(AA$6=$C203,IF(INDEX('Surface DEET'!$Q$9:$W$38,COLUMN(AA196)-COLUMN($E$5),1)&gt;0,INDEX('Surface DEET'!$Q$9:$W$38,COLUMN(AA196)-COLUMN($E$5),1),$E203),0)</f>
        <v>0</v>
      </c>
      <c r="AB203" s="295">
        <f>IF(AB$6=$C203,IF(INDEX('Surface DEET'!$Q$9:$W$38,COLUMN(AB196)-COLUMN($E$5),1)&gt;0,INDEX('Surface DEET'!$Q$9:$W$38,COLUMN(AB196)-COLUMN($E$5),1),$E203),0)</f>
        <v>0</v>
      </c>
      <c r="AC203" s="295">
        <f>IF(AC$6=$C203,IF(INDEX('Surface DEET'!$Q$9:$W$38,COLUMN(AC196)-COLUMN($E$5),1)&gt;0,INDEX('Surface DEET'!$Q$9:$W$38,COLUMN(AC196)-COLUMN($E$5),1),$E203),0)</f>
        <v>0</v>
      </c>
      <c r="AD203" s="295">
        <f>IF(AD$6=$C203,IF(INDEX('Surface DEET'!$Q$9:$W$38,COLUMN(AD196)-COLUMN($E$5),1)&gt;0,INDEX('Surface DEET'!$Q$9:$W$38,COLUMN(AD196)-COLUMN($E$5),1),$E203),0)</f>
        <v>0</v>
      </c>
      <c r="AE203" s="295">
        <f>IF(AE$6=$C203,IF(INDEX('Surface DEET'!$Q$9:$W$38,COLUMN(AE196)-COLUMN($E$5),1)&gt;0,INDEX('Surface DEET'!$Q$9:$W$38,COLUMN(AE196)-COLUMN($E$5),1),$E203),0)</f>
        <v>0</v>
      </c>
      <c r="AF203" s="295">
        <f>IF(AF$6=$C203,IF(INDEX('Surface DEET'!$Q$9:$W$38,COLUMN(AF196)-COLUMN($E$5),1)&gt;0,INDEX('Surface DEET'!$Q$9:$W$38,COLUMN(AF196)-COLUMN($E$5),1),$E203),0)</f>
        <v>0</v>
      </c>
      <c r="AG203" s="295">
        <f>IF(AG$6=$C203,IF(INDEX('Surface DEET'!$Q$9:$W$38,COLUMN(AG196)-COLUMN($E$5),1)&gt;0,INDEX('Surface DEET'!$Q$9:$W$38,COLUMN(AG196)-COLUMN($E$5),1),$E203),0)</f>
        <v>0</v>
      </c>
      <c r="AH203" s="295">
        <f>IF(AH$6=$C203,IF(INDEX('Surface DEET'!$Q$9:$W$38,COLUMN(AH196)-COLUMN($E$5),1)&gt;0,INDEX('Surface DEET'!$Q$9:$W$38,COLUMN(AH196)-COLUMN($E$5),1),$E203),0)</f>
        <v>0</v>
      </c>
      <c r="AI203" s="295">
        <f>IF(AI$6=$C203,IF(INDEX('Surface DEET'!$Q$9:$W$38,COLUMN(AI196)-COLUMN($E$5),1)&gt;0,INDEX('Surface DEET'!$Q$9:$W$38,COLUMN(AI196)-COLUMN($E$5),1),$E203),0)</f>
        <v>0</v>
      </c>
    </row>
    <row r="204" spans="2:35">
      <c r="B204" s="295" t="s">
        <v>549</v>
      </c>
      <c r="C204" s="295" t="s">
        <v>652</v>
      </c>
    </row>
    <row r="205" spans="2:35">
      <c r="B205" s="295" t="s">
        <v>552</v>
      </c>
      <c r="C205" s="295" t="s">
        <v>652</v>
      </c>
    </row>
    <row r="206" spans="2:35">
      <c r="B206" s="295" t="s">
        <v>542</v>
      </c>
      <c r="C206" s="295" t="s">
        <v>652</v>
      </c>
      <c r="D206" s="295" t="s">
        <v>542</v>
      </c>
      <c r="F206" s="295">
        <f>$E$200*(F203/$E$203)+0.28*$E$199*(F203-$E$203)/$E$203</f>
        <v>-12.32</v>
      </c>
      <c r="G206" s="295">
        <f t="shared" ref="G206:AI206" si="24">$E$200*(G203/$E$203)+0.28*$E$199*(G203-$E$203)/$E$203</f>
        <v>-12.32</v>
      </c>
      <c r="H206" s="295">
        <f t="shared" si="24"/>
        <v>-12.32</v>
      </c>
      <c r="I206" s="295">
        <f t="shared" si="24"/>
        <v>-12.32</v>
      </c>
      <c r="J206" s="295">
        <f t="shared" si="24"/>
        <v>-12.32</v>
      </c>
      <c r="K206" s="295">
        <f t="shared" si="24"/>
        <v>-12.32</v>
      </c>
      <c r="L206" s="295">
        <f t="shared" si="24"/>
        <v>-12.32</v>
      </c>
      <c r="M206" s="295">
        <f t="shared" si="24"/>
        <v>-12.32</v>
      </c>
      <c r="N206" s="295">
        <f t="shared" si="24"/>
        <v>-12.32</v>
      </c>
      <c r="O206" s="295">
        <f t="shared" si="24"/>
        <v>-12.32</v>
      </c>
      <c r="P206" s="295">
        <f t="shared" si="24"/>
        <v>-12.32</v>
      </c>
      <c r="Q206" s="295">
        <f t="shared" si="24"/>
        <v>-12.32</v>
      </c>
      <c r="R206" s="295">
        <f t="shared" si="24"/>
        <v>-12.32</v>
      </c>
      <c r="S206" s="295">
        <f t="shared" si="24"/>
        <v>-12.32</v>
      </c>
      <c r="T206" s="295">
        <f t="shared" si="24"/>
        <v>-12.32</v>
      </c>
      <c r="U206" s="295">
        <f t="shared" si="24"/>
        <v>-12.32</v>
      </c>
      <c r="V206" s="295">
        <f t="shared" si="24"/>
        <v>-12.32</v>
      </c>
      <c r="W206" s="295">
        <f t="shared" si="24"/>
        <v>-12.32</v>
      </c>
      <c r="X206" s="295">
        <f t="shared" si="24"/>
        <v>-12.32</v>
      </c>
      <c r="Y206" s="295">
        <f t="shared" si="24"/>
        <v>-12.32</v>
      </c>
      <c r="Z206" s="295">
        <f t="shared" si="24"/>
        <v>-12.32</v>
      </c>
      <c r="AA206" s="295">
        <f t="shared" si="24"/>
        <v>-12.32</v>
      </c>
      <c r="AB206" s="295">
        <f t="shared" si="24"/>
        <v>-12.32</v>
      </c>
      <c r="AC206" s="295">
        <f t="shared" si="24"/>
        <v>-12.32</v>
      </c>
      <c r="AD206" s="295">
        <f t="shared" si="24"/>
        <v>-12.32</v>
      </c>
      <c r="AE206" s="295">
        <f t="shared" si="24"/>
        <v>-12.32</v>
      </c>
      <c r="AF206" s="295">
        <f t="shared" si="24"/>
        <v>-12.32</v>
      </c>
      <c r="AG206" s="295">
        <f t="shared" si="24"/>
        <v>-12.32</v>
      </c>
      <c r="AH206" s="295">
        <f t="shared" si="24"/>
        <v>-12.32</v>
      </c>
      <c r="AI206" s="295">
        <f t="shared" si="24"/>
        <v>-12.32</v>
      </c>
    </row>
    <row r="207" spans="2:35">
      <c r="B207" s="93" t="s">
        <v>301</v>
      </c>
      <c r="C207" s="295" t="s">
        <v>618</v>
      </c>
      <c r="D207" s="93" t="s">
        <v>301</v>
      </c>
      <c r="E207" s="295">
        <f t="array" ref="E207">INDEX(CABS_CVC!$C$3:$O$894,MATCH(1, (CABS_CVC!$A$3:$A$894=Calculs_CABS!C207)*(CABS_CVC!$B$3:$B$894=Calculs_CABS!$D$2),0),MATCH(Calculs_CABS!$D$1,Liste_CABS!$B$3:$B$15,0))</f>
        <v>68</v>
      </c>
    </row>
    <row r="208" spans="2:35">
      <c r="B208" s="295" t="s">
        <v>543</v>
      </c>
      <c r="C208" s="295" t="s">
        <v>618</v>
      </c>
      <c r="D208" s="295" t="s">
        <v>543</v>
      </c>
      <c r="E208" s="295">
        <v>73</v>
      </c>
    </row>
    <row r="209" spans="2:35">
      <c r="B209" s="295" t="s">
        <v>544</v>
      </c>
      <c r="C209" s="295" t="s">
        <v>618</v>
      </c>
      <c r="D209" s="295" t="s">
        <v>544</v>
      </c>
      <c r="E209" s="295">
        <f>E207+E208</f>
        <v>141</v>
      </c>
    </row>
    <row r="210" spans="2:35">
      <c r="B210" s="295" t="s">
        <v>545</v>
      </c>
      <c r="C210" s="295" t="s">
        <v>618</v>
      </c>
      <c r="D210" s="295" t="s">
        <v>545</v>
      </c>
      <c r="E210" s="295">
        <v>0.74</v>
      </c>
    </row>
    <row r="211" spans="2:35">
      <c r="B211" s="295" t="s">
        <v>546</v>
      </c>
      <c r="C211" s="295" t="s">
        <v>618</v>
      </c>
      <c r="D211" s="295" t="s">
        <v>645</v>
      </c>
      <c r="E211" s="295">
        <v>8760</v>
      </c>
      <c r="F211" s="295">
        <f>IF(F$6=$C211,IF(INDEX('Surface DEET'!$Q$9:$W$38,COLUMN(F204)-COLUMN($E$5),1)&gt;0,INDEX('Surface DEET'!$Q$9:$W$38,COLUMN(F204)-COLUMN($E$5),1),$E211),0)</f>
        <v>0</v>
      </c>
      <c r="G211" s="295">
        <f>IF(G$6=$C211,IF(INDEX('Surface DEET'!$Q$9:$W$38,COLUMN(G204)-COLUMN($E$5),1)&gt;0,INDEX('Surface DEET'!$Q$9:$W$38,COLUMN(G204)-COLUMN($E$5),1),$E211),0)</f>
        <v>0</v>
      </c>
      <c r="H211" s="295">
        <f>IF(H$6=$C211,IF(INDEX('Surface DEET'!$Q$9:$W$38,COLUMN(H204)-COLUMN($E$5),1)&gt;0,INDEX('Surface DEET'!$Q$9:$W$38,COLUMN(H204)-COLUMN($E$5),1),$E211),0)</f>
        <v>0</v>
      </c>
      <c r="I211" s="295">
        <f>IF(I$6=$C211,IF(INDEX('Surface DEET'!$Q$9:$W$38,COLUMN(I204)-COLUMN($E$5),1)&gt;0,INDEX('Surface DEET'!$Q$9:$W$38,COLUMN(I204)-COLUMN($E$5),1),$E211),0)</f>
        <v>0</v>
      </c>
      <c r="J211" s="295">
        <f>IF(J$6=$C211,IF(INDEX('Surface DEET'!$Q$9:$W$38,COLUMN(J204)-COLUMN($E$5),1)&gt;0,INDEX('Surface DEET'!$Q$9:$W$38,COLUMN(J204)-COLUMN($E$5),1),$E211),0)</f>
        <v>0</v>
      </c>
      <c r="K211" s="295">
        <f>IF(K$6=$C211,IF(INDEX('Surface DEET'!$Q$9:$W$38,COLUMN(K204)-COLUMN($E$5),1)&gt;0,INDEX('Surface DEET'!$Q$9:$W$38,COLUMN(K204)-COLUMN($E$5),1),$E211),0)</f>
        <v>0</v>
      </c>
      <c r="L211" s="295">
        <f>IF(L$6=$C211,IF(INDEX('Surface DEET'!$Q$9:$W$38,COLUMN(L204)-COLUMN($E$5),1)&gt;0,INDEX('Surface DEET'!$Q$9:$W$38,COLUMN(L204)-COLUMN($E$5),1),$E211),0)</f>
        <v>0</v>
      </c>
      <c r="M211" s="295">
        <f>IF(M$6=$C211,IF(INDEX('Surface DEET'!$Q$9:$W$38,COLUMN(M204)-COLUMN($E$5),1)&gt;0,INDEX('Surface DEET'!$Q$9:$W$38,COLUMN(M204)-COLUMN($E$5),1),$E211),0)</f>
        <v>0</v>
      </c>
      <c r="N211" s="295">
        <f>IF(N$6=$C211,IF(INDEX('Surface DEET'!$Q$9:$W$38,COLUMN(N204)-COLUMN($E$5),1)&gt;0,INDEX('Surface DEET'!$Q$9:$W$38,COLUMN(N204)-COLUMN($E$5),1),$E211),0)</f>
        <v>0</v>
      </c>
      <c r="O211" s="295">
        <f>IF(O$6=$C211,IF(INDEX('Surface DEET'!$Q$9:$W$38,COLUMN(O204)-COLUMN($E$5),1)&gt;0,INDEX('Surface DEET'!$Q$9:$W$38,COLUMN(O204)-COLUMN($E$5),1),$E211),0)</f>
        <v>0</v>
      </c>
      <c r="P211" s="295">
        <f>IF(P$6=$C211,IF(INDEX('Surface DEET'!$Q$9:$W$38,COLUMN(P204)-COLUMN($E$5),1)&gt;0,INDEX('Surface DEET'!$Q$9:$W$38,COLUMN(P204)-COLUMN($E$5),1),$E211),0)</f>
        <v>0</v>
      </c>
      <c r="Q211" s="295">
        <f>IF(Q$6=$C211,IF(INDEX('Surface DEET'!$Q$9:$W$38,COLUMN(Q204)-COLUMN($E$5),1)&gt;0,INDEX('Surface DEET'!$Q$9:$W$38,COLUMN(Q204)-COLUMN($E$5),1),$E211),0)</f>
        <v>0</v>
      </c>
      <c r="R211" s="295">
        <f>IF(R$6=$C211,IF(INDEX('Surface DEET'!$Q$9:$W$38,COLUMN(R204)-COLUMN($E$5),1)&gt;0,INDEX('Surface DEET'!$Q$9:$W$38,COLUMN(R204)-COLUMN($E$5),1),$E211),0)</f>
        <v>0</v>
      </c>
      <c r="S211" s="295">
        <f>IF(S$6=$C211,IF(INDEX('Surface DEET'!$Q$9:$W$38,COLUMN(S204)-COLUMN($E$5),1)&gt;0,INDEX('Surface DEET'!$Q$9:$W$38,COLUMN(S204)-COLUMN($E$5),1),$E211),0)</f>
        <v>0</v>
      </c>
      <c r="T211" s="295">
        <f>IF(T$6=$C211,IF(INDEX('Surface DEET'!$Q$9:$W$38,COLUMN(T204)-COLUMN($E$5),1)&gt;0,INDEX('Surface DEET'!$Q$9:$W$38,COLUMN(T204)-COLUMN($E$5),1),$E211),0)</f>
        <v>0</v>
      </c>
      <c r="U211" s="295">
        <f>IF(U$6=$C211,IF(INDEX('Surface DEET'!$Q$9:$W$38,COLUMN(U204)-COLUMN($E$5),1)&gt;0,INDEX('Surface DEET'!$Q$9:$W$38,COLUMN(U204)-COLUMN($E$5),1),$E211),0)</f>
        <v>0</v>
      </c>
      <c r="V211" s="295">
        <f>IF(V$6=$C211,IF(INDEX('Surface DEET'!$Q$9:$W$38,COLUMN(V204)-COLUMN($E$5),1)&gt;0,INDEX('Surface DEET'!$Q$9:$W$38,COLUMN(V204)-COLUMN($E$5),1),$E211),0)</f>
        <v>0</v>
      </c>
      <c r="W211" s="295">
        <f>IF(W$6=$C211,IF(INDEX('Surface DEET'!$Q$9:$W$38,COLUMN(W204)-COLUMN($E$5),1)&gt;0,INDEX('Surface DEET'!$Q$9:$W$38,COLUMN(W204)-COLUMN($E$5),1),$E211),0)</f>
        <v>0</v>
      </c>
      <c r="X211" s="295">
        <f>IF(X$6=$C211,IF(INDEX('Surface DEET'!$Q$9:$W$38,COLUMN(X204)-COLUMN($E$5),1)&gt;0,INDEX('Surface DEET'!$Q$9:$W$38,COLUMN(X204)-COLUMN($E$5),1),$E211),0)</f>
        <v>0</v>
      </c>
      <c r="Y211" s="295">
        <f>IF(Y$6=$C211,IF(INDEX('Surface DEET'!$Q$9:$W$38,COLUMN(Y204)-COLUMN($E$5),1)&gt;0,INDEX('Surface DEET'!$Q$9:$W$38,COLUMN(Y204)-COLUMN($E$5),1),$E211),0)</f>
        <v>0</v>
      </c>
      <c r="Z211" s="295">
        <f>IF(Z$6=$C211,IF(INDEX('Surface DEET'!$Q$9:$W$38,COLUMN(Z204)-COLUMN($E$5),1)&gt;0,INDEX('Surface DEET'!$Q$9:$W$38,COLUMN(Z204)-COLUMN($E$5),1),$E211),0)</f>
        <v>0</v>
      </c>
      <c r="AA211" s="295">
        <f>IF(AA$6=$C211,IF(INDEX('Surface DEET'!$Q$9:$W$38,COLUMN(AA204)-COLUMN($E$5),1)&gt;0,INDEX('Surface DEET'!$Q$9:$W$38,COLUMN(AA204)-COLUMN($E$5),1),$E211),0)</f>
        <v>0</v>
      </c>
      <c r="AB211" s="295">
        <f>IF(AB$6=$C211,IF(INDEX('Surface DEET'!$Q$9:$W$38,COLUMN(AB204)-COLUMN($E$5),1)&gt;0,INDEX('Surface DEET'!$Q$9:$W$38,COLUMN(AB204)-COLUMN($E$5),1),$E211),0)</f>
        <v>0</v>
      </c>
      <c r="AC211" s="295">
        <f>IF(AC$6=$C211,IF(INDEX('Surface DEET'!$Q$9:$W$38,COLUMN(AC204)-COLUMN($E$5),1)&gt;0,INDEX('Surface DEET'!$Q$9:$W$38,COLUMN(AC204)-COLUMN($E$5),1),$E211),0)</f>
        <v>0</v>
      </c>
      <c r="AD211" s="295">
        <f>IF(AD$6=$C211,IF(INDEX('Surface DEET'!$Q$9:$W$38,COLUMN(AD204)-COLUMN($E$5),1)&gt;0,INDEX('Surface DEET'!$Q$9:$W$38,COLUMN(AD204)-COLUMN($E$5),1),$E211),0)</f>
        <v>0</v>
      </c>
      <c r="AE211" s="295">
        <f>IF(AE$6=$C211,IF(INDEX('Surface DEET'!$Q$9:$W$38,COLUMN(AE204)-COLUMN($E$5),1)&gt;0,INDEX('Surface DEET'!$Q$9:$W$38,COLUMN(AE204)-COLUMN($E$5),1),$E211),0)</f>
        <v>0</v>
      </c>
      <c r="AF211" s="295">
        <f>IF(AF$6=$C211,IF(INDEX('Surface DEET'!$Q$9:$W$38,COLUMN(AF204)-COLUMN($E$5),1)&gt;0,INDEX('Surface DEET'!$Q$9:$W$38,COLUMN(AF204)-COLUMN($E$5),1),$E211),0)</f>
        <v>0</v>
      </c>
      <c r="AG211" s="295">
        <f>IF(AG$6=$C211,IF(INDEX('Surface DEET'!$Q$9:$W$38,COLUMN(AG204)-COLUMN($E$5),1)&gt;0,INDEX('Surface DEET'!$Q$9:$W$38,COLUMN(AG204)-COLUMN($E$5),1),$E211),0)</f>
        <v>0</v>
      </c>
      <c r="AH211" s="295">
        <f>IF(AH$6=$C211,IF(INDEX('Surface DEET'!$Q$9:$W$38,COLUMN(AH204)-COLUMN($E$5),1)&gt;0,INDEX('Surface DEET'!$Q$9:$W$38,COLUMN(AH204)-COLUMN($E$5),1),$E211),0)</f>
        <v>0</v>
      </c>
      <c r="AI211" s="295">
        <f>IF(AI$6=$C211,IF(INDEX('Surface DEET'!$Q$9:$W$38,COLUMN(AI204)-COLUMN($E$5),1)&gt;0,INDEX('Surface DEET'!$Q$9:$W$38,COLUMN(AI204)-COLUMN($E$5),1),$E211),0)</f>
        <v>0</v>
      </c>
    </row>
    <row r="212" spans="2:35">
      <c r="B212" s="295" t="s">
        <v>549</v>
      </c>
      <c r="C212" s="295" t="s">
        <v>618</v>
      </c>
      <c r="D212" s="295" t="s">
        <v>653</v>
      </c>
      <c r="E212" s="295">
        <v>23</v>
      </c>
      <c r="F212" s="295">
        <f>IF(F$6=$C212,IF(INDEX('Surface DEET'!$Q$9:$W$38,COLUMN(F205)-COLUMN($E$5),4)&gt;0,INDEX('Surface DEET'!$Q$9:$W$38,COLUMN(F205)-COLUMN($E$5),4),$E212),0)</f>
        <v>0</v>
      </c>
      <c r="G212" s="295">
        <f>IF(G$6=$C212,IF(INDEX('Surface DEET'!$Q$9:$W$38,COLUMN(G205)-COLUMN($E$5),4)&gt;0,INDEX('Surface DEET'!$Q$9:$W$38,COLUMN(G205)-COLUMN($E$5),4),$E212),0)</f>
        <v>0</v>
      </c>
      <c r="H212" s="295">
        <f>IF(H$6=$C212,IF(INDEX('Surface DEET'!$Q$9:$W$38,COLUMN(H205)-COLUMN($E$5),4)&gt;0,INDEX('Surface DEET'!$Q$9:$W$38,COLUMN(H205)-COLUMN($E$5),4),$E212),0)</f>
        <v>0</v>
      </c>
      <c r="I212" s="295">
        <f>IF(I$6=$C212,IF(INDEX('Surface DEET'!$Q$9:$W$38,COLUMN(I205)-COLUMN($E$5),4)&gt;0,INDEX('Surface DEET'!$Q$9:$W$38,COLUMN(I205)-COLUMN($E$5),4),$E212),0)</f>
        <v>0</v>
      </c>
      <c r="J212" s="295">
        <f>IF(J$6=$C212,IF(INDEX('Surface DEET'!$Q$9:$W$38,COLUMN(J205)-COLUMN($E$5),4)&gt;0,INDEX('Surface DEET'!$Q$9:$W$38,COLUMN(J205)-COLUMN($E$5),4),$E212),0)</f>
        <v>0</v>
      </c>
      <c r="K212" s="295">
        <f>IF(K$6=$C212,IF(INDEX('Surface DEET'!$Q$9:$W$38,COLUMN(K205)-COLUMN($E$5),4)&gt;0,INDEX('Surface DEET'!$Q$9:$W$38,COLUMN(K205)-COLUMN($E$5),4),$E212),0)</f>
        <v>0</v>
      </c>
      <c r="L212" s="295">
        <f>IF(L$6=$C212,IF(INDEX('Surface DEET'!$Q$9:$W$38,COLUMN(L205)-COLUMN($E$5),4)&gt;0,INDEX('Surface DEET'!$Q$9:$W$38,COLUMN(L205)-COLUMN($E$5),4),$E212),0)</f>
        <v>0</v>
      </c>
      <c r="M212" s="295">
        <f>IF(M$6=$C212,IF(INDEX('Surface DEET'!$Q$9:$W$38,COLUMN(M205)-COLUMN($E$5),4)&gt;0,INDEX('Surface DEET'!$Q$9:$W$38,COLUMN(M205)-COLUMN($E$5),4),$E212),0)</f>
        <v>0</v>
      </c>
      <c r="N212" s="295">
        <f>IF(N$6=$C212,IF(INDEX('Surface DEET'!$Q$9:$W$38,COLUMN(N205)-COLUMN($E$5),4)&gt;0,INDEX('Surface DEET'!$Q$9:$W$38,COLUMN(N205)-COLUMN($E$5),4),$E212),0)</f>
        <v>0</v>
      </c>
      <c r="O212" s="295">
        <f>IF(O$6=$C212,IF(INDEX('Surface DEET'!$Q$9:$W$38,COLUMN(O205)-COLUMN($E$5),4)&gt;0,INDEX('Surface DEET'!$Q$9:$W$38,COLUMN(O205)-COLUMN($E$5),4),$E212),0)</f>
        <v>0</v>
      </c>
      <c r="P212" s="295">
        <f>IF(P$6=$C212,IF(INDEX('Surface DEET'!$Q$9:$W$38,COLUMN(P205)-COLUMN($E$5),4)&gt;0,INDEX('Surface DEET'!$Q$9:$W$38,COLUMN(P205)-COLUMN($E$5),4),$E212),0)</f>
        <v>0</v>
      </c>
      <c r="Q212" s="295">
        <f>IF(Q$6=$C212,IF(INDEX('Surface DEET'!$Q$9:$W$38,COLUMN(Q205)-COLUMN($E$5),4)&gt;0,INDEX('Surface DEET'!$Q$9:$W$38,COLUMN(Q205)-COLUMN($E$5),4),$E212),0)</f>
        <v>0</v>
      </c>
      <c r="R212" s="295">
        <f>IF(R$6=$C212,IF(INDEX('Surface DEET'!$Q$9:$W$38,COLUMN(R205)-COLUMN($E$5),4)&gt;0,INDEX('Surface DEET'!$Q$9:$W$38,COLUMN(R205)-COLUMN($E$5),4),$E212),0)</f>
        <v>0</v>
      </c>
      <c r="S212" s="295">
        <f>IF(S$6=$C212,IF(INDEX('Surface DEET'!$Q$9:$W$38,COLUMN(S205)-COLUMN($E$5),4)&gt;0,INDEX('Surface DEET'!$Q$9:$W$38,COLUMN(S205)-COLUMN($E$5),4),$E212),0)</f>
        <v>0</v>
      </c>
      <c r="T212" s="295">
        <f>IF(T$6=$C212,IF(INDEX('Surface DEET'!$Q$9:$W$38,COLUMN(T205)-COLUMN($E$5),4)&gt;0,INDEX('Surface DEET'!$Q$9:$W$38,COLUMN(T205)-COLUMN($E$5),4),$E212),0)</f>
        <v>0</v>
      </c>
      <c r="U212" s="295">
        <f>IF(U$6=$C212,IF(INDEX('Surface DEET'!$Q$9:$W$38,COLUMN(U205)-COLUMN($E$5),4)&gt;0,INDEX('Surface DEET'!$Q$9:$W$38,COLUMN(U205)-COLUMN($E$5),4),$E212),0)</f>
        <v>0</v>
      </c>
      <c r="V212" s="295">
        <f>IF(V$6=$C212,IF(INDEX('Surface DEET'!$Q$9:$W$38,COLUMN(V205)-COLUMN($E$5),4)&gt;0,INDEX('Surface DEET'!$Q$9:$W$38,COLUMN(V205)-COLUMN($E$5),4),$E212),0)</f>
        <v>0</v>
      </c>
      <c r="W212" s="295">
        <f>IF(W$6=$C212,IF(INDEX('Surface DEET'!$Q$9:$W$38,COLUMN(W205)-COLUMN($E$5),4)&gt;0,INDEX('Surface DEET'!$Q$9:$W$38,COLUMN(W205)-COLUMN($E$5),4),$E212),0)</f>
        <v>0</v>
      </c>
      <c r="X212" s="295">
        <f>IF(X$6=$C212,IF(INDEX('Surface DEET'!$Q$9:$W$38,COLUMN(X205)-COLUMN($E$5),4)&gt;0,INDEX('Surface DEET'!$Q$9:$W$38,COLUMN(X205)-COLUMN($E$5),4),$E212),0)</f>
        <v>0</v>
      </c>
      <c r="Y212" s="295">
        <f>IF(Y$6=$C212,IF(INDEX('Surface DEET'!$Q$9:$W$38,COLUMN(Y205)-COLUMN($E$5),4)&gt;0,INDEX('Surface DEET'!$Q$9:$W$38,COLUMN(Y205)-COLUMN($E$5),4),$E212),0)</f>
        <v>0</v>
      </c>
      <c r="Z212" s="295">
        <f>IF(Z$6=$C212,IF(INDEX('Surface DEET'!$Q$9:$W$38,COLUMN(Z205)-COLUMN($E$5),4)&gt;0,INDEX('Surface DEET'!$Q$9:$W$38,COLUMN(Z205)-COLUMN($E$5),4),$E212),0)</f>
        <v>0</v>
      </c>
      <c r="AA212" s="295">
        <f>IF(AA$6=$C212,IF(INDEX('Surface DEET'!$Q$9:$W$38,COLUMN(AA205)-COLUMN($E$5),4)&gt;0,INDEX('Surface DEET'!$Q$9:$W$38,COLUMN(AA205)-COLUMN($E$5),4),$E212),0)</f>
        <v>0</v>
      </c>
      <c r="AB212" s="295">
        <f>IF(AB$6=$C212,IF(INDEX('Surface DEET'!$Q$9:$W$38,COLUMN(AB205)-COLUMN($E$5),4)&gt;0,INDEX('Surface DEET'!$Q$9:$W$38,COLUMN(AB205)-COLUMN($E$5),4),$E212),0)</f>
        <v>0</v>
      </c>
      <c r="AC212" s="295">
        <f>IF(AC$6=$C212,IF(INDEX('Surface DEET'!$Q$9:$W$38,COLUMN(AC205)-COLUMN($E$5),4)&gt;0,INDEX('Surface DEET'!$Q$9:$W$38,COLUMN(AC205)-COLUMN($E$5),4),$E212),0)</f>
        <v>0</v>
      </c>
      <c r="AD212" s="295">
        <f>IF(AD$6=$C212,IF(INDEX('Surface DEET'!$Q$9:$W$38,COLUMN(AD205)-COLUMN($E$5),4)&gt;0,INDEX('Surface DEET'!$Q$9:$W$38,COLUMN(AD205)-COLUMN($E$5),4),$E212),0)</f>
        <v>0</v>
      </c>
      <c r="AE212" s="295">
        <f>IF(AE$6=$C212,IF(INDEX('Surface DEET'!$Q$9:$W$38,COLUMN(AE205)-COLUMN($E$5),4)&gt;0,INDEX('Surface DEET'!$Q$9:$W$38,COLUMN(AE205)-COLUMN($E$5),4),$E212),0)</f>
        <v>0</v>
      </c>
      <c r="AF212" s="295">
        <f>IF(AF$6=$C212,IF(INDEX('Surface DEET'!$Q$9:$W$38,COLUMN(AF205)-COLUMN($E$5),4)&gt;0,INDEX('Surface DEET'!$Q$9:$W$38,COLUMN(AF205)-COLUMN($E$5),4),$E212),0)</f>
        <v>0</v>
      </c>
      <c r="AG212" s="295">
        <f>IF(AG$6=$C212,IF(INDEX('Surface DEET'!$Q$9:$W$38,COLUMN(AG205)-COLUMN($E$5),4)&gt;0,INDEX('Surface DEET'!$Q$9:$W$38,COLUMN(AG205)-COLUMN($E$5),4),$E212),0)</f>
        <v>0</v>
      </c>
      <c r="AH212" s="295">
        <f>IF(AH$6=$C212,IF(INDEX('Surface DEET'!$Q$9:$W$38,COLUMN(AH205)-COLUMN($E$5),4)&gt;0,INDEX('Surface DEET'!$Q$9:$W$38,COLUMN(AH205)-COLUMN($E$5),4),$E212),0)</f>
        <v>0</v>
      </c>
      <c r="AI212" s="295">
        <f>IF(AI$6=$C212,IF(INDEX('Surface DEET'!$Q$9:$W$38,COLUMN(AI205)-COLUMN($E$5),4)&gt;0,INDEX('Surface DEET'!$Q$9:$W$38,COLUMN(AI205)-COLUMN($E$5),4),$E212),0)</f>
        <v>0</v>
      </c>
    </row>
    <row r="213" spans="2:35">
      <c r="B213" s="295" t="s">
        <v>552</v>
      </c>
      <c r="C213" s="295" t="s">
        <v>618</v>
      </c>
    </row>
    <row r="214" spans="2:35">
      <c r="B214" s="295" t="s">
        <v>542</v>
      </c>
      <c r="C214" s="295" t="s">
        <v>618</v>
      </c>
      <c r="D214" s="295" t="s">
        <v>542</v>
      </c>
      <c r="F214" s="295">
        <f>IFERROR($E$208*(F211/$E$211)*($E$210*($E$212/F212)+(1-$E$210))+0.28*$E$207*(F211-$E$211)/$E$211,0)</f>
        <v>0</v>
      </c>
      <c r="G214" s="295">
        <f t="shared" ref="G214:AI214" si="25">IFERROR($E$208*(G211/$E$211)*($E$210*($E$212/G212)+(1-$E$210))+0.28*$E$207*(G211-$E$211)/$E$211,0)</f>
        <v>0</v>
      </c>
      <c r="H214" s="295">
        <f t="shared" si="25"/>
        <v>0</v>
      </c>
      <c r="I214" s="295">
        <f t="shared" si="25"/>
        <v>0</v>
      </c>
      <c r="J214" s="295">
        <f t="shared" si="25"/>
        <v>0</v>
      </c>
      <c r="K214" s="295">
        <f t="shared" si="25"/>
        <v>0</v>
      </c>
      <c r="L214" s="295">
        <f t="shared" si="25"/>
        <v>0</v>
      </c>
      <c r="M214" s="295">
        <f t="shared" si="25"/>
        <v>0</v>
      </c>
      <c r="N214" s="295">
        <f t="shared" si="25"/>
        <v>0</v>
      </c>
      <c r="O214" s="295">
        <f t="shared" si="25"/>
        <v>0</v>
      </c>
      <c r="P214" s="295">
        <f t="shared" si="25"/>
        <v>0</v>
      </c>
      <c r="Q214" s="295">
        <f t="shared" si="25"/>
        <v>0</v>
      </c>
      <c r="R214" s="295">
        <f t="shared" si="25"/>
        <v>0</v>
      </c>
      <c r="S214" s="295">
        <f t="shared" si="25"/>
        <v>0</v>
      </c>
      <c r="T214" s="295">
        <f t="shared" si="25"/>
        <v>0</v>
      </c>
      <c r="U214" s="295">
        <f t="shared" si="25"/>
        <v>0</v>
      </c>
      <c r="V214" s="295">
        <f t="shared" si="25"/>
        <v>0</v>
      </c>
      <c r="W214" s="295">
        <f t="shared" si="25"/>
        <v>0</v>
      </c>
      <c r="X214" s="295">
        <f t="shared" si="25"/>
        <v>0</v>
      </c>
      <c r="Y214" s="295">
        <f t="shared" si="25"/>
        <v>0</v>
      </c>
      <c r="Z214" s="295">
        <f t="shared" si="25"/>
        <v>0</v>
      </c>
      <c r="AA214" s="295">
        <f t="shared" si="25"/>
        <v>0</v>
      </c>
      <c r="AB214" s="295">
        <f t="shared" si="25"/>
        <v>0</v>
      </c>
      <c r="AC214" s="295">
        <f t="shared" si="25"/>
        <v>0</v>
      </c>
      <c r="AD214" s="295">
        <f t="shared" si="25"/>
        <v>0</v>
      </c>
      <c r="AE214" s="295">
        <f t="shared" si="25"/>
        <v>0</v>
      </c>
      <c r="AF214" s="295">
        <f t="shared" si="25"/>
        <v>0</v>
      </c>
      <c r="AG214" s="295">
        <f t="shared" si="25"/>
        <v>0</v>
      </c>
      <c r="AH214" s="295">
        <f t="shared" si="25"/>
        <v>0</v>
      </c>
      <c r="AI214" s="295">
        <f t="shared" si="25"/>
        <v>0</v>
      </c>
    </row>
    <row r="215" spans="2:35">
      <c r="B215" s="93" t="s">
        <v>301</v>
      </c>
      <c r="C215" s="295" t="s">
        <v>654</v>
      </c>
      <c r="D215" s="93" t="s">
        <v>301</v>
      </c>
      <c r="E215" s="295">
        <f t="array" ref="E215">INDEX(CABS_CVC!$C$3:$O$894,MATCH(1, (CABS_CVC!$A$3:$A$894=Calculs_CABS!C215)*(CABS_CVC!$B$3:$B$894=Calculs_CABS!$D$2),0),MATCH(Calculs_CABS!$D$1,Liste_CABS!$B$3:$B$15,0))</f>
        <v>16</v>
      </c>
    </row>
    <row r="216" spans="2:35">
      <c r="B216" s="295" t="s">
        <v>543</v>
      </c>
      <c r="C216" s="295" t="s">
        <v>654</v>
      </c>
      <c r="D216" s="295" t="s">
        <v>543</v>
      </c>
      <c r="E216" s="295">
        <v>8</v>
      </c>
    </row>
    <row r="217" spans="2:35">
      <c r="B217" s="295" t="s">
        <v>544</v>
      </c>
      <c r="C217" s="295" t="s">
        <v>654</v>
      </c>
      <c r="D217" s="295" t="s">
        <v>544</v>
      </c>
      <c r="E217" s="295">
        <f>E215+E216</f>
        <v>24</v>
      </c>
    </row>
    <row r="218" spans="2:35">
      <c r="B218" s="295" t="s">
        <v>545</v>
      </c>
      <c r="C218" s="295" t="s">
        <v>654</v>
      </c>
      <c r="D218" s="295" t="s">
        <v>545</v>
      </c>
      <c r="E218" s="295">
        <v>0.6</v>
      </c>
    </row>
    <row r="219" spans="2:35">
      <c r="B219" s="295" t="s">
        <v>546</v>
      </c>
      <c r="C219" s="295" t="s">
        <v>654</v>
      </c>
      <c r="D219" s="295" t="s">
        <v>546</v>
      </c>
    </row>
    <row r="220" spans="2:35">
      <c r="B220" s="295" t="s">
        <v>549</v>
      </c>
      <c r="C220" s="295" t="s">
        <v>654</v>
      </c>
      <c r="D220" s="295" t="s">
        <v>549</v>
      </c>
    </row>
    <row r="221" spans="2:35">
      <c r="B221" s="295" t="s">
        <v>552</v>
      </c>
      <c r="C221" s="295" t="s">
        <v>654</v>
      </c>
      <c r="D221" s="295" t="s">
        <v>552</v>
      </c>
    </row>
    <row r="222" spans="2:35">
      <c r="B222" s="295" t="s">
        <v>542</v>
      </c>
      <c r="C222" s="295" t="s">
        <v>654</v>
      </c>
      <c r="D222" s="295" t="s">
        <v>542</v>
      </c>
      <c r="F222" s="295">
        <f>$E$216+$E$215</f>
        <v>24</v>
      </c>
      <c r="G222" s="295">
        <f t="shared" ref="G222:AI222" si="26">$E$216+$E$215</f>
        <v>24</v>
      </c>
      <c r="H222" s="295">
        <f t="shared" si="26"/>
        <v>24</v>
      </c>
      <c r="I222" s="295">
        <f t="shared" si="26"/>
        <v>24</v>
      </c>
      <c r="J222" s="295">
        <f t="shared" si="26"/>
        <v>24</v>
      </c>
      <c r="K222" s="295">
        <f t="shared" si="26"/>
        <v>24</v>
      </c>
      <c r="L222" s="295">
        <f t="shared" si="26"/>
        <v>24</v>
      </c>
      <c r="M222" s="295">
        <f t="shared" si="26"/>
        <v>24</v>
      </c>
      <c r="N222" s="295">
        <f t="shared" si="26"/>
        <v>24</v>
      </c>
      <c r="O222" s="295">
        <f t="shared" si="26"/>
        <v>24</v>
      </c>
      <c r="P222" s="295">
        <f t="shared" si="26"/>
        <v>24</v>
      </c>
      <c r="Q222" s="295">
        <f t="shared" si="26"/>
        <v>24</v>
      </c>
      <c r="R222" s="295">
        <f t="shared" si="26"/>
        <v>24</v>
      </c>
      <c r="S222" s="295">
        <f t="shared" si="26"/>
        <v>24</v>
      </c>
      <c r="T222" s="295">
        <f t="shared" si="26"/>
        <v>24</v>
      </c>
      <c r="U222" s="295">
        <f t="shared" si="26"/>
        <v>24</v>
      </c>
      <c r="V222" s="295">
        <f t="shared" si="26"/>
        <v>24</v>
      </c>
      <c r="W222" s="295">
        <f t="shared" si="26"/>
        <v>24</v>
      </c>
      <c r="X222" s="295">
        <f t="shared" si="26"/>
        <v>24</v>
      </c>
      <c r="Y222" s="295">
        <f t="shared" si="26"/>
        <v>24</v>
      </c>
      <c r="Z222" s="295">
        <f t="shared" si="26"/>
        <v>24</v>
      </c>
      <c r="AA222" s="295">
        <f t="shared" si="26"/>
        <v>24</v>
      </c>
      <c r="AB222" s="295">
        <f t="shared" si="26"/>
        <v>24</v>
      </c>
      <c r="AC222" s="295">
        <f t="shared" si="26"/>
        <v>24</v>
      </c>
      <c r="AD222" s="295">
        <f t="shared" si="26"/>
        <v>24</v>
      </c>
      <c r="AE222" s="295">
        <f t="shared" si="26"/>
        <v>24</v>
      </c>
      <c r="AF222" s="295">
        <f t="shared" si="26"/>
        <v>24</v>
      </c>
      <c r="AG222" s="295">
        <f t="shared" si="26"/>
        <v>24</v>
      </c>
      <c r="AH222" s="295">
        <f t="shared" si="26"/>
        <v>24</v>
      </c>
      <c r="AI222" s="295">
        <f t="shared" si="26"/>
        <v>24</v>
      </c>
    </row>
    <row r="223" spans="2:35">
      <c r="B223" s="93" t="s">
        <v>301</v>
      </c>
      <c r="C223" s="295" t="s">
        <v>655</v>
      </c>
      <c r="D223" s="93" t="s">
        <v>301</v>
      </c>
      <c r="E223" s="295">
        <f t="array" ref="E223">INDEX(CABS_CVC!$C$3:$O$894,MATCH(1, (CABS_CVC!$A$3:$A$894=Calculs_CABS!C223)*(CABS_CVC!$B$3:$B$894=Calculs_CABS!$D$2),0),MATCH(Calculs_CABS!$D$1,Liste_CABS!$B$3:$B$15,0))</f>
        <v>1</v>
      </c>
    </row>
    <row r="224" spans="2:35">
      <c r="B224" s="295" t="s">
        <v>543</v>
      </c>
      <c r="C224" s="295" t="s">
        <v>655</v>
      </c>
      <c r="D224" s="295" t="s">
        <v>543</v>
      </c>
      <c r="E224" s="295">
        <v>1</v>
      </c>
    </row>
    <row r="225" spans="2:35">
      <c r="B225" s="295" t="s">
        <v>544</v>
      </c>
      <c r="C225" s="295" t="s">
        <v>655</v>
      </c>
      <c r="D225" s="295" t="s">
        <v>544</v>
      </c>
      <c r="E225" s="295">
        <f>E223+E224</f>
        <v>2</v>
      </c>
    </row>
    <row r="226" spans="2:35">
      <c r="B226" s="295" t="s">
        <v>545</v>
      </c>
      <c r="C226" s="295" t="s">
        <v>655</v>
      </c>
      <c r="D226" s="295" t="s">
        <v>545</v>
      </c>
      <c r="E226" s="295">
        <v>0.63</v>
      </c>
    </row>
    <row r="227" spans="2:35">
      <c r="B227" s="295" t="s">
        <v>546</v>
      </c>
      <c r="C227" s="295" t="s">
        <v>655</v>
      </c>
    </row>
    <row r="228" spans="2:35">
      <c r="B228" s="295" t="s">
        <v>549</v>
      </c>
      <c r="C228" s="295" t="s">
        <v>655</v>
      </c>
    </row>
    <row r="229" spans="2:35">
      <c r="B229" s="295" t="s">
        <v>552</v>
      </c>
      <c r="C229" s="295" t="s">
        <v>655</v>
      </c>
    </row>
    <row r="230" spans="2:35">
      <c r="B230" s="295" t="s">
        <v>542</v>
      </c>
      <c r="C230" s="295" t="s">
        <v>655</v>
      </c>
      <c r="D230" s="295" t="s">
        <v>542</v>
      </c>
      <c r="F230" s="295">
        <f>$E$225</f>
        <v>2</v>
      </c>
      <c r="G230" s="295">
        <f t="shared" ref="G230:AI230" si="27">$E$225</f>
        <v>2</v>
      </c>
      <c r="H230" s="295">
        <f t="shared" si="27"/>
        <v>2</v>
      </c>
      <c r="I230" s="295">
        <f t="shared" si="27"/>
        <v>2</v>
      </c>
      <c r="J230" s="295">
        <f t="shared" si="27"/>
        <v>2</v>
      </c>
      <c r="K230" s="295">
        <f t="shared" si="27"/>
        <v>2</v>
      </c>
      <c r="L230" s="295">
        <f t="shared" si="27"/>
        <v>2</v>
      </c>
      <c r="M230" s="295">
        <f t="shared" si="27"/>
        <v>2</v>
      </c>
      <c r="N230" s="295">
        <f t="shared" si="27"/>
        <v>2</v>
      </c>
      <c r="O230" s="295">
        <f t="shared" si="27"/>
        <v>2</v>
      </c>
      <c r="P230" s="295">
        <f t="shared" si="27"/>
        <v>2</v>
      </c>
      <c r="Q230" s="295">
        <f t="shared" si="27"/>
        <v>2</v>
      </c>
      <c r="R230" s="295">
        <f t="shared" si="27"/>
        <v>2</v>
      </c>
      <c r="S230" s="295">
        <f t="shared" si="27"/>
        <v>2</v>
      </c>
      <c r="T230" s="295">
        <f t="shared" si="27"/>
        <v>2</v>
      </c>
      <c r="U230" s="295">
        <f t="shared" si="27"/>
        <v>2</v>
      </c>
      <c r="V230" s="295">
        <f t="shared" si="27"/>
        <v>2</v>
      </c>
      <c r="W230" s="295">
        <f t="shared" si="27"/>
        <v>2</v>
      </c>
      <c r="X230" s="295">
        <f t="shared" si="27"/>
        <v>2</v>
      </c>
      <c r="Y230" s="295">
        <f t="shared" si="27"/>
        <v>2</v>
      </c>
      <c r="Z230" s="295">
        <f t="shared" si="27"/>
        <v>2</v>
      </c>
      <c r="AA230" s="295">
        <f t="shared" si="27"/>
        <v>2</v>
      </c>
      <c r="AB230" s="295">
        <f t="shared" si="27"/>
        <v>2</v>
      </c>
      <c r="AC230" s="295">
        <f t="shared" si="27"/>
        <v>2</v>
      </c>
      <c r="AD230" s="295">
        <f t="shared" si="27"/>
        <v>2</v>
      </c>
      <c r="AE230" s="295">
        <f t="shared" si="27"/>
        <v>2</v>
      </c>
      <c r="AF230" s="295">
        <f t="shared" si="27"/>
        <v>2</v>
      </c>
      <c r="AG230" s="295">
        <f t="shared" si="27"/>
        <v>2</v>
      </c>
      <c r="AH230" s="295">
        <f t="shared" si="27"/>
        <v>2</v>
      </c>
      <c r="AI230" s="295">
        <f t="shared" si="27"/>
        <v>2</v>
      </c>
    </row>
    <row r="231" spans="2:35">
      <c r="B231" s="93" t="s">
        <v>301</v>
      </c>
      <c r="C231" s="295" t="s">
        <v>656</v>
      </c>
      <c r="D231" s="93" t="s">
        <v>657</v>
      </c>
      <c r="E231" s="295">
        <f t="array" ref="E231">INDEX(CABS_CVC!$C$3:$O$894,MATCH(1, (CABS_CVC!$A$3:$A$894=Calculs_CABS!C231)*(CABS_CVC!$B$3:$B$894=Calculs_CABS!$D$2),0),MATCH(Calculs_CABS!$D$1,Liste_CABS!$B$3:$B$15,0))</f>
        <v>2</v>
      </c>
    </row>
    <row r="232" spans="2:35">
      <c r="B232" s="295" t="s">
        <v>543</v>
      </c>
      <c r="C232" s="295" t="s">
        <v>656</v>
      </c>
      <c r="D232" s="295" t="s">
        <v>543</v>
      </c>
      <c r="E232" s="295">
        <v>1156</v>
      </c>
    </row>
    <row r="233" spans="2:35">
      <c r="B233" s="295" t="s">
        <v>544</v>
      </c>
      <c r="C233" s="295" t="s">
        <v>656</v>
      </c>
      <c r="D233" s="295" t="s">
        <v>544</v>
      </c>
    </row>
    <row r="234" spans="2:35">
      <c r="B234" s="295" t="s">
        <v>545</v>
      </c>
      <c r="C234" s="295" t="s">
        <v>656</v>
      </c>
      <c r="D234" s="295" t="s">
        <v>545</v>
      </c>
    </row>
    <row r="235" spans="2:35">
      <c r="B235" s="295" t="s">
        <v>546</v>
      </c>
      <c r="C235" s="295" t="s">
        <v>656</v>
      </c>
      <c r="D235" s="295" t="s">
        <v>658</v>
      </c>
      <c r="F235" s="295">
        <f>IF(F$6=$C235,IF(INDEX('Surface DEET'!$Q$9:$W$38,COLUMN(F228)-COLUMN($E$5),1)&gt;0,INDEX('Surface DEET'!$Q$9:$W$38,COLUMN(F228)-COLUMN($E$5),1),$E235),0)</f>
        <v>0</v>
      </c>
      <c r="G235" s="295">
        <f>IF(G$6=$C235,IF(INDEX('Surface DEET'!$Q$9:$W$38,COLUMN(G228)-COLUMN($E$5),1)&gt;0,INDEX('Surface DEET'!$Q$9:$W$38,COLUMN(G228)-COLUMN($E$5),1),$E235),0)</f>
        <v>0</v>
      </c>
      <c r="H235" s="295">
        <f>IF(H$6=$C235,IF(INDEX('Surface DEET'!$Q$9:$W$38,COLUMN(H228)-COLUMN($E$5),1)&gt;0,INDEX('Surface DEET'!$Q$9:$W$38,COLUMN(H228)-COLUMN($E$5),1),$E235),0)</f>
        <v>0</v>
      </c>
      <c r="I235" s="295">
        <f>IF(I$6=$C235,IF(INDEX('Surface DEET'!$Q$9:$W$38,COLUMN(I228)-COLUMN($E$5),1)&gt;0,INDEX('Surface DEET'!$Q$9:$W$38,COLUMN(I228)-COLUMN($E$5),1),$E235),0)</f>
        <v>0</v>
      </c>
      <c r="J235" s="295">
        <f>IF(J$6=$C235,IF(INDEX('Surface DEET'!$Q$9:$W$38,COLUMN(J228)-COLUMN($E$5),1)&gt;0,INDEX('Surface DEET'!$Q$9:$W$38,COLUMN(J228)-COLUMN($E$5),1),$E235),0)</f>
        <v>0</v>
      </c>
      <c r="K235" s="295">
        <f>IF(K$6=$C235,IF(INDEX('Surface DEET'!$Q$9:$W$38,COLUMN(K228)-COLUMN($E$5),1)&gt;0,INDEX('Surface DEET'!$Q$9:$W$38,COLUMN(K228)-COLUMN($E$5),1),$E235),0)</f>
        <v>0</v>
      </c>
      <c r="L235" s="295">
        <f>IF(L$6=$C235,IF(INDEX('Surface DEET'!$Q$9:$W$38,COLUMN(L228)-COLUMN($E$5),1)&gt;0,INDEX('Surface DEET'!$Q$9:$W$38,COLUMN(L228)-COLUMN($E$5),1),$E235),0)</f>
        <v>0</v>
      </c>
      <c r="M235" s="295">
        <f>IF(M$6=$C235,IF(INDEX('Surface DEET'!$Q$9:$W$38,COLUMN(M228)-COLUMN($E$5),1)&gt;0,INDEX('Surface DEET'!$Q$9:$W$38,COLUMN(M228)-COLUMN($E$5),1),$E235),0)</f>
        <v>0</v>
      </c>
      <c r="N235" s="295">
        <f>IF(N$6=$C235,IF(INDEX('Surface DEET'!$Q$9:$W$38,COLUMN(N228)-COLUMN($E$5),1)&gt;0,INDEX('Surface DEET'!$Q$9:$W$38,COLUMN(N228)-COLUMN($E$5),1),$E235),0)</f>
        <v>0</v>
      </c>
      <c r="O235" s="295">
        <f>IF(O$6=$C235,IF(INDEX('Surface DEET'!$Q$9:$W$38,COLUMN(O228)-COLUMN($E$5),1)&gt;0,INDEX('Surface DEET'!$Q$9:$W$38,COLUMN(O228)-COLUMN($E$5),1),$E235),0)</f>
        <v>0</v>
      </c>
      <c r="P235" s="295">
        <f>IF(P$6=$C235,IF(INDEX('Surface DEET'!$Q$9:$W$38,COLUMN(P228)-COLUMN($E$5),1)&gt;0,INDEX('Surface DEET'!$Q$9:$W$38,COLUMN(P228)-COLUMN($E$5),1),$E235),0)</f>
        <v>0</v>
      </c>
      <c r="Q235" s="295">
        <f>IF(Q$6=$C235,IF(INDEX('Surface DEET'!$Q$9:$W$38,COLUMN(Q228)-COLUMN($E$5),1)&gt;0,INDEX('Surface DEET'!$Q$9:$W$38,COLUMN(Q228)-COLUMN($E$5),1),$E235),0)</f>
        <v>0</v>
      </c>
      <c r="R235" s="295">
        <f>IF(R$6=$C235,IF(INDEX('Surface DEET'!$Q$9:$W$38,COLUMN(R228)-COLUMN($E$5),1)&gt;0,INDEX('Surface DEET'!$Q$9:$W$38,COLUMN(R228)-COLUMN($E$5),1),$E235),0)</f>
        <v>0</v>
      </c>
      <c r="S235" s="295">
        <f>IF(S$6=$C235,IF(INDEX('Surface DEET'!$Q$9:$W$38,COLUMN(S228)-COLUMN($E$5),1)&gt;0,INDEX('Surface DEET'!$Q$9:$W$38,COLUMN(S228)-COLUMN($E$5),1),$E235),0)</f>
        <v>0</v>
      </c>
      <c r="T235" s="295">
        <f>IF(T$6=$C235,IF(INDEX('Surface DEET'!$Q$9:$W$38,COLUMN(T228)-COLUMN($E$5),1)&gt;0,INDEX('Surface DEET'!$Q$9:$W$38,COLUMN(T228)-COLUMN($E$5),1),$E235),0)</f>
        <v>0</v>
      </c>
      <c r="U235" s="295">
        <f>IF(U$6=$C235,IF(INDEX('Surface DEET'!$Q$9:$W$38,COLUMN(U228)-COLUMN($E$5),1)&gt;0,INDEX('Surface DEET'!$Q$9:$W$38,COLUMN(U228)-COLUMN($E$5),1),$E235),0)</f>
        <v>0</v>
      </c>
      <c r="V235" s="295">
        <f>IF(V$6=$C235,IF(INDEX('Surface DEET'!$Q$9:$W$38,COLUMN(V228)-COLUMN($E$5),1)&gt;0,INDEX('Surface DEET'!$Q$9:$W$38,COLUMN(V228)-COLUMN($E$5),1),$E235),0)</f>
        <v>0</v>
      </c>
      <c r="W235" s="295">
        <f>IF(W$6=$C235,IF(INDEX('Surface DEET'!$Q$9:$W$38,COLUMN(W228)-COLUMN($E$5),1)&gt;0,INDEX('Surface DEET'!$Q$9:$W$38,COLUMN(W228)-COLUMN($E$5),1),$E235),0)</f>
        <v>0</v>
      </c>
      <c r="X235" s="295">
        <f>IF(X$6=$C235,IF(INDEX('Surface DEET'!$Q$9:$W$38,COLUMN(X228)-COLUMN($E$5),1)&gt;0,INDEX('Surface DEET'!$Q$9:$W$38,COLUMN(X228)-COLUMN($E$5),1),$E235),0)</f>
        <v>0</v>
      </c>
      <c r="Y235" s="295">
        <f>IF(Y$6=$C235,IF(INDEX('Surface DEET'!$Q$9:$W$38,COLUMN(Y228)-COLUMN($E$5),1)&gt;0,INDEX('Surface DEET'!$Q$9:$W$38,COLUMN(Y228)-COLUMN($E$5),1),$E235),0)</f>
        <v>0</v>
      </c>
      <c r="Z235" s="295">
        <f>IF(Z$6=$C235,IF(INDEX('Surface DEET'!$Q$9:$W$38,COLUMN(Z228)-COLUMN($E$5),1)&gt;0,INDEX('Surface DEET'!$Q$9:$W$38,COLUMN(Z228)-COLUMN($E$5),1),$E235),0)</f>
        <v>0</v>
      </c>
      <c r="AA235" s="295">
        <f>IF(AA$6=$C235,IF(INDEX('Surface DEET'!$Q$9:$W$38,COLUMN(AA228)-COLUMN($E$5),1)&gt;0,INDEX('Surface DEET'!$Q$9:$W$38,COLUMN(AA228)-COLUMN($E$5),1),$E235),0)</f>
        <v>0</v>
      </c>
      <c r="AB235" s="295">
        <f>IF(AB$6=$C235,IF(INDEX('Surface DEET'!$Q$9:$W$38,COLUMN(AB228)-COLUMN($E$5),1)&gt;0,INDEX('Surface DEET'!$Q$9:$W$38,COLUMN(AB228)-COLUMN($E$5),1),$E235),0)</f>
        <v>0</v>
      </c>
      <c r="AC235" s="295">
        <f>IF(AC$6=$C235,IF(INDEX('Surface DEET'!$Q$9:$W$38,COLUMN(AC228)-COLUMN($E$5),1)&gt;0,INDEX('Surface DEET'!$Q$9:$W$38,COLUMN(AC228)-COLUMN($E$5),1),$E235),0)</f>
        <v>0</v>
      </c>
      <c r="AD235" s="295">
        <f>IF(AD$6=$C235,IF(INDEX('Surface DEET'!$Q$9:$W$38,COLUMN(AD228)-COLUMN($E$5),1)&gt;0,INDEX('Surface DEET'!$Q$9:$W$38,COLUMN(AD228)-COLUMN($E$5),1),$E235),0)</f>
        <v>0</v>
      </c>
      <c r="AE235" s="295">
        <f>IF(AE$6=$C235,IF(INDEX('Surface DEET'!$Q$9:$W$38,COLUMN(AE228)-COLUMN($E$5),1)&gt;0,INDEX('Surface DEET'!$Q$9:$W$38,COLUMN(AE228)-COLUMN($E$5),1),$E235),0)</f>
        <v>0</v>
      </c>
      <c r="AF235" s="295">
        <f>IF(AF$6=$C235,IF(INDEX('Surface DEET'!$Q$9:$W$38,COLUMN(AF228)-COLUMN($E$5),1)&gt;0,INDEX('Surface DEET'!$Q$9:$W$38,COLUMN(AF228)-COLUMN($E$5),1),$E235),0)</f>
        <v>0</v>
      </c>
      <c r="AG235" s="295">
        <f>IF(AG$6=$C235,IF(INDEX('Surface DEET'!$Q$9:$W$38,COLUMN(AG228)-COLUMN($E$5),1)&gt;0,INDEX('Surface DEET'!$Q$9:$W$38,COLUMN(AG228)-COLUMN($E$5),1),$E235),0)</f>
        <v>0</v>
      </c>
      <c r="AH235" s="295">
        <f>IF(AH$6=$C235,IF(INDEX('Surface DEET'!$Q$9:$W$38,COLUMN(AH228)-COLUMN($E$5),1)&gt;0,INDEX('Surface DEET'!$Q$9:$W$38,COLUMN(AH228)-COLUMN($E$5),1),$E235),0)</f>
        <v>0</v>
      </c>
      <c r="AI235" s="295">
        <f>IF(AI$6=$C235,IF(INDEX('Surface DEET'!$Q$9:$W$38,COLUMN(AI228)-COLUMN($E$5),1)&gt;0,INDEX('Surface DEET'!$Q$9:$W$38,COLUMN(AI228)-COLUMN($E$5),1),$E235),0)</f>
        <v>0</v>
      </c>
    </row>
    <row r="236" spans="2:35">
      <c r="B236" s="295" t="s">
        <v>549</v>
      </c>
      <c r="C236" s="295" t="s">
        <v>656</v>
      </c>
      <c r="D236" s="295" t="s">
        <v>659</v>
      </c>
      <c r="F236" s="295">
        <f>IF(F$6=$C236,IF(INDEX('Surface DEET'!$F$9:$W$38,COLUMN(F229)-COLUMN($E$5),7)&gt;0,INDEX('Surface DEET'!$F$9:$W$38,COLUMN(F229)-COLUMN($E$5),1),$E236),0)</f>
        <v>0</v>
      </c>
      <c r="G236" s="295">
        <f>IF(G$6=$C236,IF(INDEX('Surface DEET'!$F$9:$W$38,COLUMN(G229)-COLUMN($E$5),7)&gt;0,INDEX('Surface DEET'!$F$9:$W$38,COLUMN(G229)-COLUMN($E$5),1),$E236),0)</f>
        <v>0</v>
      </c>
      <c r="H236" s="295">
        <f>IF(H$6=$C236,IF(INDEX('Surface DEET'!$F$9:$W$38,COLUMN(H229)-COLUMN($E$5),7)&gt;0,INDEX('Surface DEET'!$F$9:$W$38,COLUMN(H229)-COLUMN($E$5),1),$E236),0)</f>
        <v>0</v>
      </c>
      <c r="I236" s="295">
        <f>IF(I$6=$C236,IF(INDEX('Surface DEET'!$F$9:$W$38,COLUMN(I229)-COLUMN($E$5),7)&gt;0,INDEX('Surface DEET'!$F$9:$W$38,COLUMN(I229)-COLUMN($E$5),1),$E236),0)</f>
        <v>0</v>
      </c>
      <c r="J236" s="295">
        <f>IF(J$6=$C236,IF(INDEX('Surface DEET'!$F$9:$W$38,COLUMN(J229)-COLUMN($E$5),7)&gt;0,INDEX('Surface DEET'!$F$9:$W$38,COLUMN(J229)-COLUMN($E$5),1),$E236),0)</f>
        <v>0</v>
      </c>
      <c r="K236" s="295">
        <f>IF(K$6=$C236,IF(INDEX('Surface DEET'!$F$9:$W$38,COLUMN(K229)-COLUMN($E$5),7)&gt;0,INDEX('Surface DEET'!$F$9:$W$38,COLUMN(K229)-COLUMN($E$5),1),$E236),0)</f>
        <v>0</v>
      </c>
      <c r="L236" s="295">
        <f>IF(L$6=$C236,IF(INDEX('Surface DEET'!$F$9:$W$38,COLUMN(L229)-COLUMN($E$5),7)&gt;0,INDEX('Surface DEET'!$F$9:$W$38,COLUMN(L229)-COLUMN($E$5),1),$E236),0)</f>
        <v>0</v>
      </c>
      <c r="M236" s="295">
        <f>IF(M$6=$C236,IF(INDEX('Surface DEET'!$F$9:$W$38,COLUMN(M229)-COLUMN($E$5),7)&gt;0,INDEX('Surface DEET'!$F$9:$W$38,COLUMN(M229)-COLUMN($E$5),1),$E236),0)</f>
        <v>0</v>
      </c>
      <c r="N236" s="295">
        <f>IF(N$6=$C236,IF(INDEX('Surface DEET'!$F$9:$W$38,COLUMN(N229)-COLUMN($E$5),7)&gt;0,INDEX('Surface DEET'!$F$9:$W$38,COLUMN(N229)-COLUMN($E$5),1),$E236),0)</f>
        <v>0</v>
      </c>
      <c r="O236" s="295">
        <f>IF(O$6=$C236,IF(INDEX('Surface DEET'!$F$9:$W$38,COLUMN(O229)-COLUMN($E$5),7)&gt;0,INDEX('Surface DEET'!$F$9:$W$38,COLUMN(O229)-COLUMN($E$5),1),$E236),0)</f>
        <v>0</v>
      </c>
      <c r="P236" s="295">
        <f>IF(P$6=$C236,IF(INDEX('Surface DEET'!$F$9:$W$38,COLUMN(P229)-COLUMN($E$5),7)&gt;0,INDEX('Surface DEET'!$F$9:$W$38,COLUMN(P229)-COLUMN($E$5),1),$E236),0)</f>
        <v>0</v>
      </c>
      <c r="Q236" s="295">
        <f>IF(Q$6=$C236,IF(INDEX('Surface DEET'!$F$9:$W$38,COLUMN(Q229)-COLUMN($E$5),7)&gt;0,INDEX('Surface DEET'!$F$9:$W$38,COLUMN(Q229)-COLUMN($E$5),1),$E236),0)</f>
        <v>0</v>
      </c>
      <c r="R236" s="295">
        <f>IF(R$6=$C236,IF(INDEX('Surface DEET'!$F$9:$W$38,COLUMN(R229)-COLUMN($E$5),7)&gt;0,INDEX('Surface DEET'!$F$9:$W$38,COLUMN(R229)-COLUMN($E$5),1),$E236),0)</f>
        <v>0</v>
      </c>
      <c r="S236" s="295">
        <f>IF(S$6=$C236,IF(INDEX('Surface DEET'!$F$9:$W$38,COLUMN(S229)-COLUMN($E$5),7)&gt;0,INDEX('Surface DEET'!$F$9:$W$38,COLUMN(S229)-COLUMN($E$5),1),$E236),0)</f>
        <v>0</v>
      </c>
      <c r="T236" s="295">
        <f>IF(T$6=$C236,IF(INDEX('Surface DEET'!$F$9:$W$38,COLUMN(T229)-COLUMN($E$5),7)&gt;0,INDEX('Surface DEET'!$F$9:$W$38,COLUMN(T229)-COLUMN($E$5),1),$E236),0)</f>
        <v>0</v>
      </c>
      <c r="U236" s="295">
        <f>IF(U$6=$C236,IF(INDEX('Surface DEET'!$F$9:$W$38,COLUMN(U229)-COLUMN($E$5),7)&gt;0,INDEX('Surface DEET'!$F$9:$W$38,COLUMN(U229)-COLUMN($E$5),1),$E236),0)</f>
        <v>0</v>
      </c>
      <c r="V236" s="295">
        <f>IF(V$6=$C236,IF(INDEX('Surface DEET'!$F$9:$W$38,COLUMN(V229)-COLUMN($E$5),7)&gt;0,INDEX('Surface DEET'!$F$9:$W$38,COLUMN(V229)-COLUMN($E$5),1),$E236),0)</f>
        <v>0</v>
      </c>
      <c r="W236" s="295">
        <f>IF(W$6=$C236,IF(INDEX('Surface DEET'!$F$9:$W$38,COLUMN(W229)-COLUMN($E$5),7)&gt;0,INDEX('Surface DEET'!$F$9:$W$38,COLUMN(W229)-COLUMN($E$5),1),$E236),0)</f>
        <v>0</v>
      </c>
      <c r="X236" s="295">
        <f>IF(X$6=$C236,IF(INDEX('Surface DEET'!$F$9:$W$38,COLUMN(X229)-COLUMN($E$5),7)&gt;0,INDEX('Surface DEET'!$F$9:$W$38,COLUMN(X229)-COLUMN($E$5),1),$E236),0)</f>
        <v>0</v>
      </c>
      <c r="Y236" s="295">
        <f>IF(Y$6=$C236,IF(INDEX('Surface DEET'!$F$9:$W$38,COLUMN(Y229)-COLUMN($E$5),7)&gt;0,INDEX('Surface DEET'!$F$9:$W$38,COLUMN(Y229)-COLUMN($E$5),1),$E236),0)</f>
        <v>0</v>
      </c>
      <c r="Z236" s="295">
        <f>IF(Z$6=$C236,IF(INDEX('Surface DEET'!$F$9:$W$38,COLUMN(Z229)-COLUMN($E$5),7)&gt;0,INDEX('Surface DEET'!$F$9:$W$38,COLUMN(Z229)-COLUMN($E$5),1),$E236),0)</f>
        <v>0</v>
      </c>
      <c r="AA236" s="295">
        <f>IF(AA$6=$C236,IF(INDEX('Surface DEET'!$F$9:$W$38,COLUMN(AA229)-COLUMN($E$5),7)&gt;0,INDEX('Surface DEET'!$F$9:$W$38,COLUMN(AA229)-COLUMN($E$5),1),$E236),0)</f>
        <v>0</v>
      </c>
      <c r="AB236" s="295">
        <f>IF(AB$6=$C236,IF(INDEX('Surface DEET'!$F$9:$W$38,COLUMN(AB229)-COLUMN($E$5),7)&gt;0,INDEX('Surface DEET'!$F$9:$W$38,COLUMN(AB229)-COLUMN($E$5),1),$E236),0)</f>
        <v>0</v>
      </c>
      <c r="AC236" s="295">
        <f>IF(AC$6=$C236,IF(INDEX('Surface DEET'!$F$9:$W$38,COLUMN(AC229)-COLUMN($E$5),7)&gt;0,INDEX('Surface DEET'!$F$9:$W$38,COLUMN(AC229)-COLUMN($E$5),1),$E236),0)</f>
        <v>0</v>
      </c>
      <c r="AD236" s="295">
        <f>IF(AD$6=$C236,IF(INDEX('Surface DEET'!$F$9:$W$38,COLUMN(AD229)-COLUMN($E$5),7)&gt;0,INDEX('Surface DEET'!$F$9:$W$38,COLUMN(AD229)-COLUMN($E$5),1),$E236),0)</f>
        <v>0</v>
      </c>
      <c r="AE236" s="295">
        <f>IF(AE$6=$C236,IF(INDEX('Surface DEET'!$F$9:$W$38,COLUMN(AE229)-COLUMN($E$5),7)&gt;0,INDEX('Surface DEET'!$F$9:$W$38,COLUMN(AE229)-COLUMN($E$5),1),$E236),0)</f>
        <v>0</v>
      </c>
      <c r="AF236" s="295">
        <f>IF(AF$6=$C236,IF(INDEX('Surface DEET'!$F$9:$W$38,COLUMN(AF229)-COLUMN($E$5),7)&gt;0,INDEX('Surface DEET'!$F$9:$W$38,COLUMN(AF229)-COLUMN($E$5),1),$E236),0)</f>
        <v>0</v>
      </c>
      <c r="AG236" s="295">
        <f>IF(AG$6=$C236,IF(INDEX('Surface DEET'!$F$9:$W$38,COLUMN(AG229)-COLUMN($E$5),7)&gt;0,INDEX('Surface DEET'!$F$9:$W$38,COLUMN(AG229)-COLUMN($E$5),1),$E236),0)</f>
        <v>0</v>
      </c>
      <c r="AH236" s="295">
        <f>IF(AH$6=$C236,IF(INDEX('Surface DEET'!$F$9:$W$38,COLUMN(AH229)-COLUMN($E$5),7)&gt;0,INDEX('Surface DEET'!$F$9:$W$38,COLUMN(AH229)-COLUMN($E$5),1),$E236),0)</f>
        <v>0</v>
      </c>
      <c r="AI236" s="295">
        <f>IF(AI$6=$C236,IF(INDEX('Surface DEET'!$F$9:$W$38,COLUMN(AI229)-COLUMN($E$5),7)&gt;0,INDEX('Surface DEET'!$F$9:$W$38,COLUMN(AI229)-COLUMN($E$5),1),$E236),0)</f>
        <v>0</v>
      </c>
    </row>
    <row r="237" spans="2:35">
      <c r="B237" s="295" t="s">
        <v>552</v>
      </c>
      <c r="C237" s="295" t="s">
        <v>656</v>
      </c>
    </row>
    <row r="238" spans="2:35">
      <c r="B238" s="295" t="s">
        <v>542</v>
      </c>
      <c r="C238" s="295" t="s">
        <v>656</v>
      </c>
      <c r="D238" s="295" t="s">
        <v>542</v>
      </c>
      <c r="F238" s="295">
        <f>IF(F235=0,$E$232,F235*$E$231/F236)</f>
        <v>1156</v>
      </c>
      <c r="G238" s="295">
        <f t="shared" ref="G238:AI238" si="28">IF(G235=0,$E$232,G235*$E$231/G236)</f>
        <v>1156</v>
      </c>
      <c r="H238" s="295">
        <f t="shared" si="28"/>
        <v>1156</v>
      </c>
      <c r="I238" s="295">
        <f t="shared" si="28"/>
        <v>1156</v>
      </c>
      <c r="J238" s="295">
        <f t="shared" si="28"/>
        <v>1156</v>
      </c>
      <c r="K238" s="295">
        <f t="shared" si="28"/>
        <v>1156</v>
      </c>
      <c r="L238" s="295">
        <f t="shared" si="28"/>
        <v>1156</v>
      </c>
      <c r="M238" s="295">
        <f t="shared" si="28"/>
        <v>1156</v>
      </c>
      <c r="N238" s="295">
        <f t="shared" si="28"/>
        <v>1156</v>
      </c>
      <c r="O238" s="295">
        <f t="shared" si="28"/>
        <v>1156</v>
      </c>
      <c r="P238" s="295">
        <f t="shared" si="28"/>
        <v>1156</v>
      </c>
      <c r="Q238" s="295">
        <f t="shared" si="28"/>
        <v>1156</v>
      </c>
      <c r="R238" s="295">
        <f t="shared" si="28"/>
        <v>1156</v>
      </c>
      <c r="S238" s="295">
        <f t="shared" si="28"/>
        <v>1156</v>
      </c>
      <c r="T238" s="295">
        <f t="shared" si="28"/>
        <v>1156</v>
      </c>
      <c r="U238" s="295">
        <f t="shared" si="28"/>
        <v>1156</v>
      </c>
      <c r="V238" s="295">
        <f t="shared" si="28"/>
        <v>1156</v>
      </c>
      <c r="W238" s="295">
        <f t="shared" si="28"/>
        <v>1156</v>
      </c>
      <c r="X238" s="295">
        <f t="shared" si="28"/>
        <v>1156</v>
      </c>
      <c r="Y238" s="295">
        <f t="shared" si="28"/>
        <v>1156</v>
      </c>
      <c r="Z238" s="295">
        <f t="shared" si="28"/>
        <v>1156</v>
      </c>
      <c r="AA238" s="295">
        <f t="shared" si="28"/>
        <v>1156</v>
      </c>
      <c r="AB238" s="295">
        <f t="shared" si="28"/>
        <v>1156</v>
      </c>
      <c r="AC238" s="295">
        <f t="shared" si="28"/>
        <v>1156</v>
      </c>
      <c r="AD238" s="295">
        <f t="shared" si="28"/>
        <v>1156</v>
      </c>
      <c r="AE238" s="295">
        <f t="shared" si="28"/>
        <v>1156</v>
      </c>
      <c r="AF238" s="295">
        <f t="shared" si="28"/>
        <v>1156</v>
      </c>
      <c r="AG238" s="295">
        <f t="shared" si="28"/>
        <v>1156</v>
      </c>
      <c r="AH238" s="295">
        <f t="shared" si="28"/>
        <v>1156</v>
      </c>
      <c r="AI238" s="295">
        <f t="shared" si="28"/>
        <v>1156</v>
      </c>
    </row>
    <row r="239" spans="2:35">
      <c r="B239" s="93" t="s">
        <v>301</v>
      </c>
      <c r="C239" s="295" t="s">
        <v>660</v>
      </c>
      <c r="D239" s="93" t="s">
        <v>657</v>
      </c>
      <c r="E239" s="295">
        <f t="array" ref="E239">INDEX(CABS_CVC!$C$3:$O$894,MATCH(1, (CABS_CVC!$A$3:$A$894=Calculs_CABS!C239)*(CABS_CVC!$B$3:$B$894=Calculs_CABS!$D$2),0),MATCH(Calculs_CABS!$D$1,Liste_CABS!$B$3:$B$15,0))</f>
        <v>0</v>
      </c>
    </row>
    <row r="240" spans="2:35">
      <c r="B240" s="295" t="s">
        <v>543</v>
      </c>
      <c r="C240" s="295" t="s">
        <v>660</v>
      </c>
      <c r="D240" s="295" t="s">
        <v>543</v>
      </c>
      <c r="E240" s="295">
        <v>1041</v>
      </c>
    </row>
    <row r="241" spans="2:35">
      <c r="B241" s="295" t="s">
        <v>544</v>
      </c>
      <c r="C241" s="295" t="s">
        <v>660</v>
      </c>
      <c r="D241" s="295" t="s">
        <v>544</v>
      </c>
    </row>
    <row r="242" spans="2:35">
      <c r="B242" s="295" t="s">
        <v>545</v>
      </c>
      <c r="C242" s="295" t="s">
        <v>660</v>
      </c>
      <c r="D242" s="295" t="s">
        <v>545</v>
      </c>
    </row>
    <row r="243" spans="2:35">
      <c r="B243" s="295" t="s">
        <v>546</v>
      </c>
      <c r="C243" s="295" t="s">
        <v>660</v>
      </c>
      <c r="D243" s="295" t="s">
        <v>658</v>
      </c>
      <c r="F243" s="295">
        <f>IF(F$6=$C243,IF(INDEX('Surface DEET'!$Q$9:$W$38,COLUMN(F236)-COLUMN($E$5),1)&gt;0,INDEX('Surface DEET'!$Q$9:$W$38,COLUMN(F236)-COLUMN($E$5),1),$E243),0)</f>
        <v>0</v>
      </c>
      <c r="G243" s="295">
        <f>IF(G$6=$C243,IF(INDEX('Surface DEET'!$Q$9:$W$38,COLUMN(G236)-COLUMN($E$5),1)&gt;0,INDEX('Surface DEET'!$Q$9:$W$38,COLUMN(G236)-COLUMN($E$5),1),$E243),0)</f>
        <v>0</v>
      </c>
      <c r="H243" s="295">
        <f>IF(H$6=$C243,IF(INDEX('Surface DEET'!$Q$9:$W$38,COLUMN(H236)-COLUMN($E$5),1)&gt;0,INDEX('Surface DEET'!$Q$9:$W$38,COLUMN(H236)-COLUMN($E$5),1),$E243),0)</f>
        <v>0</v>
      </c>
      <c r="I243" s="295">
        <f>IF(I$6=$C243,IF(INDEX('Surface DEET'!$Q$9:$W$38,COLUMN(I236)-COLUMN($E$5),1)&gt;0,INDEX('Surface DEET'!$Q$9:$W$38,COLUMN(I236)-COLUMN($E$5),1),$E243),0)</f>
        <v>0</v>
      </c>
      <c r="J243" s="295">
        <f>IF(J$6=$C243,IF(INDEX('Surface DEET'!$Q$9:$W$38,COLUMN(J236)-COLUMN($E$5),1)&gt;0,INDEX('Surface DEET'!$Q$9:$W$38,COLUMN(J236)-COLUMN($E$5),1),$E243),0)</f>
        <v>0</v>
      </c>
      <c r="K243" s="295">
        <f>IF(K$6=$C243,IF(INDEX('Surface DEET'!$Q$9:$W$38,COLUMN(K236)-COLUMN($E$5),1)&gt;0,INDEX('Surface DEET'!$Q$9:$W$38,COLUMN(K236)-COLUMN($E$5),1),$E243),0)</f>
        <v>0</v>
      </c>
      <c r="L243" s="295">
        <f>IF(L$6=$C243,IF(INDEX('Surface DEET'!$Q$9:$W$38,COLUMN(L236)-COLUMN($E$5),1)&gt;0,INDEX('Surface DEET'!$Q$9:$W$38,COLUMN(L236)-COLUMN($E$5),1),$E243),0)</f>
        <v>0</v>
      </c>
      <c r="M243" s="295">
        <f>IF(M$6=$C243,IF(INDEX('Surface DEET'!$Q$9:$W$38,COLUMN(M236)-COLUMN($E$5),1)&gt;0,INDEX('Surface DEET'!$Q$9:$W$38,COLUMN(M236)-COLUMN($E$5),1),$E243),0)</f>
        <v>0</v>
      </c>
      <c r="N243" s="295">
        <f>IF(N$6=$C243,IF(INDEX('Surface DEET'!$Q$9:$W$38,COLUMN(N236)-COLUMN($E$5),1)&gt;0,INDEX('Surface DEET'!$Q$9:$W$38,COLUMN(N236)-COLUMN($E$5),1),$E243),0)</f>
        <v>0</v>
      </c>
      <c r="O243" s="295">
        <f>IF(O$6=$C243,IF(INDEX('Surface DEET'!$Q$9:$W$38,COLUMN(O236)-COLUMN($E$5),1)&gt;0,INDEX('Surface DEET'!$Q$9:$W$38,COLUMN(O236)-COLUMN($E$5),1),$E243),0)</f>
        <v>0</v>
      </c>
      <c r="P243" s="295">
        <f>IF(P$6=$C243,IF(INDEX('Surface DEET'!$Q$9:$W$38,COLUMN(P236)-COLUMN($E$5),1)&gt;0,INDEX('Surface DEET'!$Q$9:$W$38,COLUMN(P236)-COLUMN($E$5),1),$E243),0)</f>
        <v>0</v>
      </c>
      <c r="Q243" s="295">
        <f>IF(Q$6=$C243,IF(INDEX('Surface DEET'!$Q$9:$W$38,COLUMN(Q236)-COLUMN($E$5),1)&gt;0,INDEX('Surface DEET'!$Q$9:$W$38,COLUMN(Q236)-COLUMN($E$5),1),$E243),0)</f>
        <v>0</v>
      </c>
      <c r="R243" s="295">
        <f>IF(R$6=$C243,IF(INDEX('Surface DEET'!$Q$9:$W$38,COLUMN(R236)-COLUMN($E$5),1)&gt;0,INDEX('Surface DEET'!$Q$9:$W$38,COLUMN(R236)-COLUMN($E$5),1),$E243),0)</f>
        <v>0</v>
      </c>
      <c r="S243" s="295">
        <f>IF(S$6=$C243,IF(INDEX('Surface DEET'!$Q$9:$W$38,COLUMN(S236)-COLUMN($E$5),1)&gt;0,INDEX('Surface DEET'!$Q$9:$W$38,COLUMN(S236)-COLUMN($E$5),1),$E243),0)</f>
        <v>0</v>
      </c>
      <c r="T243" s="295">
        <f>IF(T$6=$C243,IF(INDEX('Surface DEET'!$Q$9:$W$38,COLUMN(T236)-COLUMN($E$5),1)&gt;0,INDEX('Surface DEET'!$Q$9:$W$38,COLUMN(T236)-COLUMN($E$5),1),$E243),0)</f>
        <v>0</v>
      </c>
      <c r="U243" s="295">
        <f>IF(U$6=$C243,IF(INDEX('Surface DEET'!$Q$9:$W$38,COLUMN(U236)-COLUMN($E$5),1)&gt;0,INDEX('Surface DEET'!$Q$9:$W$38,COLUMN(U236)-COLUMN($E$5),1),$E243),0)</f>
        <v>0</v>
      </c>
      <c r="V243" s="295">
        <f>IF(V$6=$C243,IF(INDEX('Surface DEET'!$Q$9:$W$38,COLUMN(V236)-COLUMN($E$5),1)&gt;0,INDEX('Surface DEET'!$Q$9:$W$38,COLUMN(V236)-COLUMN($E$5),1),$E243),0)</f>
        <v>0</v>
      </c>
      <c r="W243" s="295">
        <f>IF(W$6=$C243,IF(INDEX('Surface DEET'!$Q$9:$W$38,COLUMN(W236)-COLUMN($E$5),1)&gt;0,INDEX('Surface DEET'!$Q$9:$W$38,COLUMN(W236)-COLUMN($E$5),1),$E243),0)</f>
        <v>0</v>
      </c>
      <c r="X243" s="295">
        <f>IF(X$6=$C243,IF(INDEX('Surface DEET'!$Q$9:$W$38,COLUMN(X236)-COLUMN($E$5),1)&gt;0,INDEX('Surface DEET'!$Q$9:$W$38,COLUMN(X236)-COLUMN($E$5),1),$E243),0)</f>
        <v>0</v>
      </c>
      <c r="Y243" s="295">
        <f>IF(Y$6=$C243,IF(INDEX('Surface DEET'!$Q$9:$W$38,COLUMN(Y236)-COLUMN($E$5),1)&gt;0,INDEX('Surface DEET'!$Q$9:$W$38,COLUMN(Y236)-COLUMN($E$5),1),$E243),0)</f>
        <v>0</v>
      </c>
      <c r="Z243" s="295">
        <f>IF(Z$6=$C243,IF(INDEX('Surface DEET'!$Q$9:$W$38,COLUMN(Z236)-COLUMN($E$5),1)&gt;0,INDEX('Surface DEET'!$Q$9:$W$38,COLUMN(Z236)-COLUMN($E$5),1),$E243),0)</f>
        <v>0</v>
      </c>
      <c r="AA243" s="295">
        <f>IF(AA$6=$C243,IF(INDEX('Surface DEET'!$Q$9:$W$38,COLUMN(AA236)-COLUMN($E$5),1)&gt;0,INDEX('Surface DEET'!$Q$9:$W$38,COLUMN(AA236)-COLUMN($E$5),1),$E243),0)</f>
        <v>0</v>
      </c>
      <c r="AB243" s="295">
        <f>IF(AB$6=$C243,IF(INDEX('Surface DEET'!$Q$9:$W$38,COLUMN(AB236)-COLUMN($E$5),1)&gt;0,INDEX('Surface DEET'!$Q$9:$W$38,COLUMN(AB236)-COLUMN($E$5),1),$E243),0)</f>
        <v>0</v>
      </c>
      <c r="AC243" s="295">
        <f>IF(AC$6=$C243,IF(INDEX('Surface DEET'!$Q$9:$W$38,COLUMN(AC236)-COLUMN($E$5),1)&gt;0,INDEX('Surface DEET'!$Q$9:$W$38,COLUMN(AC236)-COLUMN($E$5),1),$E243),0)</f>
        <v>0</v>
      </c>
      <c r="AD243" s="295">
        <f>IF(AD$6=$C243,IF(INDEX('Surface DEET'!$Q$9:$W$38,COLUMN(AD236)-COLUMN($E$5),1)&gt;0,INDEX('Surface DEET'!$Q$9:$W$38,COLUMN(AD236)-COLUMN($E$5),1),$E243),0)</f>
        <v>0</v>
      </c>
      <c r="AE243" s="295">
        <f>IF(AE$6=$C243,IF(INDEX('Surface DEET'!$Q$9:$W$38,COLUMN(AE236)-COLUMN($E$5),1)&gt;0,INDEX('Surface DEET'!$Q$9:$W$38,COLUMN(AE236)-COLUMN($E$5),1),$E243),0)</f>
        <v>0</v>
      </c>
      <c r="AF243" s="295">
        <f>IF(AF$6=$C243,IF(INDEX('Surface DEET'!$Q$9:$W$38,COLUMN(AF236)-COLUMN($E$5),1)&gt;0,INDEX('Surface DEET'!$Q$9:$W$38,COLUMN(AF236)-COLUMN($E$5),1),$E243),0)</f>
        <v>0</v>
      </c>
      <c r="AG243" s="295">
        <f>IF(AG$6=$C243,IF(INDEX('Surface DEET'!$Q$9:$W$38,COLUMN(AG236)-COLUMN($E$5),1)&gt;0,INDEX('Surface DEET'!$Q$9:$W$38,COLUMN(AG236)-COLUMN($E$5),1),$E243),0)</f>
        <v>0</v>
      </c>
      <c r="AH243" s="295">
        <f>IF(AH$6=$C243,IF(INDEX('Surface DEET'!$Q$9:$W$38,COLUMN(AH236)-COLUMN($E$5),1)&gt;0,INDEX('Surface DEET'!$Q$9:$W$38,COLUMN(AH236)-COLUMN($E$5),1),$E243),0)</f>
        <v>0</v>
      </c>
      <c r="AI243" s="295">
        <f>IF(AI$6=$C243,IF(INDEX('Surface DEET'!$Q$9:$W$38,COLUMN(AI236)-COLUMN($E$5),1)&gt;0,INDEX('Surface DEET'!$Q$9:$W$38,COLUMN(AI236)-COLUMN($E$5),1),$E243),0)</f>
        <v>0</v>
      </c>
    </row>
    <row r="244" spans="2:35">
      <c r="B244" s="295" t="s">
        <v>549</v>
      </c>
      <c r="C244" s="295" t="s">
        <v>660</v>
      </c>
      <c r="D244" s="295" t="s">
        <v>659</v>
      </c>
      <c r="F244" s="295">
        <f>IF(F$6=$C244,IF(INDEX('Surface DEET'!$F$9:$W$38,COLUMN(F237)-COLUMN($E$5),7)&gt;0,INDEX('Surface DEET'!$F$9:$W$38,COLUMN(F237)-COLUMN($E$5),1),$E244),0)</f>
        <v>0</v>
      </c>
      <c r="G244" s="295">
        <f>IF(G$6=$C244,IF(INDEX('Surface DEET'!$F$9:$W$38,COLUMN(G237)-COLUMN($E$5),7)&gt;0,INDEX('Surface DEET'!$F$9:$W$38,COLUMN(G237)-COLUMN($E$5),1),$E244),0)</f>
        <v>0</v>
      </c>
      <c r="H244" s="295">
        <f>IF(H$6=$C244,IF(INDEX('Surface DEET'!$F$9:$W$38,COLUMN(H237)-COLUMN($E$5),7)&gt;0,INDEX('Surface DEET'!$F$9:$W$38,COLUMN(H237)-COLUMN($E$5),1),$E244),0)</f>
        <v>0</v>
      </c>
      <c r="I244" s="295">
        <f>IF(I$6=$C244,IF(INDEX('Surface DEET'!$F$9:$W$38,COLUMN(I237)-COLUMN($E$5),7)&gt;0,INDEX('Surface DEET'!$F$9:$W$38,COLUMN(I237)-COLUMN($E$5),1),$E244),0)</f>
        <v>0</v>
      </c>
      <c r="J244" s="295">
        <f>IF(J$6=$C244,IF(INDEX('Surface DEET'!$F$9:$W$38,COLUMN(J237)-COLUMN($E$5),7)&gt;0,INDEX('Surface DEET'!$F$9:$W$38,COLUMN(J237)-COLUMN($E$5),1),$E244),0)</f>
        <v>0</v>
      </c>
      <c r="K244" s="295">
        <f>IF(K$6=$C244,IF(INDEX('Surface DEET'!$F$9:$W$38,COLUMN(K237)-COLUMN($E$5),7)&gt;0,INDEX('Surface DEET'!$F$9:$W$38,COLUMN(K237)-COLUMN($E$5),1),$E244),0)</f>
        <v>0</v>
      </c>
      <c r="L244" s="295">
        <f>IF(L$6=$C244,IF(INDEX('Surface DEET'!$F$9:$W$38,COLUMN(L237)-COLUMN($E$5),7)&gt;0,INDEX('Surface DEET'!$F$9:$W$38,COLUMN(L237)-COLUMN($E$5),1),$E244),0)</f>
        <v>0</v>
      </c>
      <c r="M244" s="295">
        <f>IF(M$6=$C244,IF(INDEX('Surface DEET'!$F$9:$W$38,COLUMN(M237)-COLUMN($E$5),7)&gt;0,INDEX('Surface DEET'!$F$9:$W$38,COLUMN(M237)-COLUMN($E$5),1),$E244),0)</f>
        <v>0</v>
      </c>
      <c r="N244" s="295">
        <f>IF(N$6=$C244,IF(INDEX('Surface DEET'!$F$9:$W$38,COLUMN(N237)-COLUMN($E$5),7)&gt;0,INDEX('Surface DEET'!$F$9:$W$38,COLUMN(N237)-COLUMN($E$5),1),$E244),0)</f>
        <v>0</v>
      </c>
      <c r="O244" s="295">
        <f>IF(O$6=$C244,IF(INDEX('Surface DEET'!$F$9:$W$38,COLUMN(O237)-COLUMN($E$5),7)&gt;0,INDEX('Surface DEET'!$F$9:$W$38,COLUMN(O237)-COLUMN($E$5),1),$E244),0)</f>
        <v>0</v>
      </c>
      <c r="P244" s="295">
        <f>IF(P$6=$C244,IF(INDEX('Surface DEET'!$F$9:$W$38,COLUMN(P237)-COLUMN($E$5),7)&gt;0,INDEX('Surface DEET'!$F$9:$W$38,COLUMN(P237)-COLUMN($E$5),1),$E244),0)</f>
        <v>0</v>
      </c>
      <c r="Q244" s="295">
        <f>IF(Q$6=$C244,IF(INDEX('Surface DEET'!$F$9:$W$38,COLUMN(Q237)-COLUMN($E$5),7)&gt;0,INDEX('Surface DEET'!$F$9:$W$38,COLUMN(Q237)-COLUMN($E$5),1),$E244),0)</f>
        <v>0</v>
      </c>
      <c r="R244" s="295">
        <f>IF(R$6=$C244,IF(INDEX('Surface DEET'!$F$9:$W$38,COLUMN(R237)-COLUMN($E$5),7)&gt;0,INDEX('Surface DEET'!$F$9:$W$38,COLUMN(R237)-COLUMN($E$5),1),$E244),0)</f>
        <v>0</v>
      </c>
      <c r="S244" s="295">
        <f>IF(S$6=$C244,IF(INDEX('Surface DEET'!$F$9:$W$38,COLUMN(S237)-COLUMN($E$5),7)&gt;0,INDEX('Surface DEET'!$F$9:$W$38,COLUMN(S237)-COLUMN($E$5),1),$E244),0)</f>
        <v>0</v>
      </c>
      <c r="T244" s="295">
        <f>IF(T$6=$C244,IF(INDEX('Surface DEET'!$F$9:$W$38,COLUMN(T237)-COLUMN($E$5),7)&gt;0,INDEX('Surface DEET'!$F$9:$W$38,COLUMN(T237)-COLUMN($E$5),1),$E244),0)</f>
        <v>0</v>
      </c>
      <c r="U244" s="295">
        <f>IF(U$6=$C244,IF(INDEX('Surface DEET'!$F$9:$W$38,COLUMN(U237)-COLUMN($E$5),7)&gt;0,INDEX('Surface DEET'!$F$9:$W$38,COLUMN(U237)-COLUMN($E$5),1),$E244),0)</f>
        <v>0</v>
      </c>
      <c r="V244" s="295">
        <f>IF(V$6=$C244,IF(INDEX('Surface DEET'!$F$9:$W$38,COLUMN(V237)-COLUMN($E$5),7)&gt;0,INDEX('Surface DEET'!$F$9:$W$38,COLUMN(V237)-COLUMN($E$5),1),$E244),0)</f>
        <v>0</v>
      </c>
      <c r="W244" s="295">
        <f>IF(W$6=$C244,IF(INDEX('Surface DEET'!$F$9:$W$38,COLUMN(W237)-COLUMN($E$5),7)&gt;0,INDEX('Surface DEET'!$F$9:$W$38,COLUMN(W237)-COLUMN($E$5),1),$E244),0)</f>
        <v>0</v>
      </c>
      <c r="X244" s="295">
        <f>IF(X$6=$C244,IF(INDEX('Surface DEET'!$F$9:$W$38,COLUMN(X237)-COLUMN($E$5),7)&gt;0,INDEX('Surface DEET'!$F$9:$W$38,COLUMN(X237)-COLUMN($E$5),1),$E244),0)</f>
        <v>0</v>
      </c>
      <c r="Y244" s="295">
        <f>IF(Y$6=$C244,IF(INDEX('Surface DEET'!$F$9:$W$38,COLUMN(Y237)-COLUMN($E$5),7)&gt;0,INDEX('Surface DEET'!$F$9:$W$38,COLUMN(Y237)-COLUMN($E$5),1),$E244),0)</f>
        <v>0</v>
      </c>
      <c r="Z244" s="295">
        <f>IF(Z$6=$C244,IF(INDEX('Surface DEET'!$F$9:$W$38,COLUMN(Z237)-COLUMN($E$5),7)&gt;0,INDEX('Surface DEET'!$F$9:$W$38,COLUMN(Z237)-COLUMN($E$5),1),$E244),0)</f>
        <v>0</v>
      </c>
      <c r="AA244" s="295">
        <f>IF(AA$6=$C244,IF(INDEX('Surface DEET'!$F$9:$W$38,COLUMN(AA237)-COLUMN($E$5),7)&gt;0,INDEX('Surface DEET'!$F$9:$W$38,COLUMN(AA237)-COLUMN($E$5),1),$E244),0)</f>
        <v>0</v>
      </c>
      <c r="AB244" s="295">
        <f>IF(AB$6=$C244,IF(INDEX('Surface DEET'!$F$9:$W$38,COLUMN(AB237)-COLUMN($E$5),7)&gt;0,INDEX('Surface DEET'!$F$9:$W$38,COLUMN(AB237)-COLUMN($E$5),1),$E244),0)</f>
        <v>0</v>
      </c>
      <c r="AC244" s="295">
        <f>IF(AC$6=$C244,IF(INDEX('Surface DEET'!$F$9:$W$38,COLUMN(AC237)-COLUMN($E$5),7)&gt;0,INDEX('Surface DEET'!$F$9:$W$38,COLUMN(AC237)-COLUMN($E$5),1),$E244),0)</f>
        <v>0</v>
      </c>
      <c r="AD244" s="295">
        <f>IF(AD$6=$C244,IF(INDEX('Surface DEET'!$F$9:$W$38,COLUMN(AD237)-COLUMN($E$5),7)&gt;0,INDEX('Surface DEET'!$F$9:$W$38,COLUMN(AD237)-COLUMN($E$5),1),$E244),0)</f>
        <v>0</v>
      </c>
      <c r="AE244" s="295">
        <f>IF(AE$6=$C244,IF(INDEX('Surface DEET'!$F$9:$W$38,COLUMN(AE237)-COLUMN($E$5),7)&gt;0,INDEX('Surface DEET'!$F$9:$W$38,COLUMN(AE237)-COLUMN($E$5),1),$E244),0)</f>
        <v>0</v>
      </c>
      <c r="AF244" s="295">
        <f>IF(AF$6=$C244,IF(INDEX('Surface DEET'!$F$9:$W$38,COLUMN(AF237)-COLUMN($E$5),7)&gt;0,INDEX('Surface DEET'!$F$9:$W$38,COLUMN(AF237)-COLUMN($E$5),1),$E244),0)</f>
        <v>0</v>
      </c>
      <c r="AG244" s="295">
        <f>IF(AG$6=$C244,IF(INDEX('Surface DEET'!$F$9:$W$38,COLUMN(AG237)-COLUMN($E$5),7)&gt;0,INDEX('Surface DEET'!$F$9:$W$38,COLUMN(AG237)-COLUMN($E$5),1),$E244),0)</f>
        <v>0</v>
      </c>
      <c r="AH244" s="295">
        <f>IF(AH$6=$C244,IF(INDEX('Surface DEET'!$F$9:$W$38,COLUMN(AH237)-COLUMN($E$5),7)&gt;0,INDEX('Surface DEET'!$F$9:$W$38,COLUMN(AH237)-COLUMN($E$5),1),$E244),0)</f>
        <v>0</v>
      </c>
      <c r="AI244" s="295">
        <f>IF(AI$6=$C244,IF(INDEX('Surface DEET'!$F$9:$W$38,COLUMN(AI237)-COLUMN($E$5),7)&gt;0,INDEX('Surface DEET'!$F$9:$W$38,COLUMN(AI237)-COLUMN($E$5),1),$E244),0)</f>
        <v>0</v>
      </c>
    </row>
    <row r="245" spans="2:35">
      <c r="B245" s="295" t="s">
        <v>552</v>
      </c>
      <c r="C245" s="295" t="s">
        <v>660</v>
      </c>
    </row>
    <row r="246" spans="2:35">
      <c r="B246" s="295" t="s">
        <v>542</v>
      </c>
      <c r="C246" s="295" t="s">
        <v>660</v>
      </c>
      <c r="D246" s="295" t="s">
        <v>542</v>
      </c>
      <c r="F246" s="295">
        <f>IF(F243=0,$E$240,F243*$E$239/F244)</f>
        <v>1041</v>
      </c>
      <c r="G246" s="295">
        <f t="shared" ref="G246:AI246" si="29">IF(G243=0,$E$240,G243*$E$239/G244)</f>
        <v>1041</v>
      </c>
      <c r="H246" s="295">
        <f t="shared" si="29"/>
        <v>1041</v>
      </c>
      <c r="I246" s="295">
        <f t="shared" si="29"/>
        <v>1041</v>
      </c>
      <c r="J246" s="295">
        <f t="shared" si="29"/>
        <v>1041</v>
      </c>
      <c r="K246" s="295">
        <f t="shared" si="29"/>
        <v>1041</v>
      </c>
      <c r="L246" s="295">
        <f t="shared" si="29"/>
        <v>1041</v>
      </c>
      <c r="M246" s="295">
        <f t="shared" si="29"/>
        <v>1041</v>
      </c>
      <c r="N246" s="295">
        <f t="shared" si="29"/>
        <v>1041</v>
      </c>
      <c r="O246" s="295">
        <f t="shared" si="29"/>
        <v>1041</v>
      </c>
      <c r="P246" s="295">
        <f t="shared" si="29"/>
        <v>1041</v>
      </c>
      <c r="Q246" s="295">
        <f t="shared" si="29"/>
        <v>1041</v>
      </c>
      <c r="R246" s="295">
        <f t="shared" si="29"/>
        <v>1041</v>
      </c>
      <c r="S246" s="295">
        <f t="shared" si="29"/>
        <v>1041</v>
      </c>
      <c r="T246" s="295">
        <f t="shared" si="29"/>
        <v>1041</v>
      </c>
      <c r="U246" s="295">
        <f t="shared" si="29"/>
        <v>1041</v>
      </c>
      <c r="V246" s="295">
        <f t="shared" si="29"/>
        <v>1041</v>
      </c>
      <c r="W246" s="295">
        <f t="shared" si="29"/>
        <v>1041</v>
      </c>
      <c r="X246" s="295">
        <f t="shared" si="29"/>
        <v>1041</v>
      </c>
      <c r="Y246" s="295">
        <f t="shared" si="29"/>
        <v>1041</v>
      </c>
      <c r="Z246" s="295">
        <f t="shared" si="29"/>
        <v>1041</v>
      </c>
      <c r="AA246" s="295">
        <f t="shared" si="29"/>
        <v>1041</v>
      </c>
      <c r="AB246" s="295">
        <f t="shared" si="29"/>
        <v>1041</v>
      </c>
      <c r="AC246" s="295">
        <f t="shared" si="29"/>
        <v>1041</v>
      </c>
      <c r="AD246" s="295">
        <f t="shared" si="29"/>
        <v>1041</v>
      </c>
      <c r="AE246" s="295">
        <f t="shared" si="29"/>
        <v>1041</v>
      </c>
      <c r="AF246" s="295">
        <f t="shared" si="29"/>
        <v>1041</v>
      </c>
      <c r="AG246" s="295">
        <f t="shared" si="29"/>
        <v>1041</v>
      </c>
      <c r="AH246" s="295">
        <f t="shared" si="29"/>
        <v>1041</v>
      </c>
      <c r="AI246" s="295">
        <f t="shared" si="29"/>
        <v>1041</v>
      </c>
    </row>
    <row r="247" spans="2:35">
      <c r="B247" s="93" t="s">
        <v>301</v>
      </c>
      <c r="C247" s="295" t="s">
        <v>661</v>
      </c>
      <c r="D247" s="93" t="s">
        <v>301</v>
      </c>
      <c r="E247" s="295">
        <f t="array" ref="E247">INDEX(CABS_CVC!$C$3:$O$894,MATCH(1, (CABS_CVC!$A$3:$A$894=Calculs_CABS!C247)*(CABS_CVC!$B$3:$B$894=Calculs_CABS!$D$2),0),MATCH(Calculs_CABS!$D$1,Liste_CABS!$B$3:$B$15,0))</f>
        <v>50</v>
      </c>
    </row>
    <row r="248" spans="2:35">
      <c r="B248" s="295" t="s">
        <v>543</v>
      </c>
      <c r="C248" s="295" t="s">
        <v>661</v>
      </c>
      <c r="D248" s="295" t="s">
        <v>543</v>
      </c>
      <c r="E248" s="295">
        <v>50</v>
      </c>
    </row>
    <row r="249" spans="2:35">
      <c r="B249" s="295" t="s">
        <v>544</v>
      </c>
      <c r="C249" s="295" t="s">
        <v>661</v>
      </c>
      <c r="D249" s="295" t="s">
        <v>544</v>
      </c>
      <c r="E249" s="295">
        <f>E247+E248</f>
        <v>100</v>
      </c>
    </row>
    <row r="250" spans="2:35">
      <c r="B250" s="295" t="s">
        <v>545</v>
      </c>
      <c r="C250" s="295" t="s">
        <v>661</v>
      </c>
      <c r="D250" s="295" t="s">
        <v>545</v>
      </c>
      <c r="E250" s="295">
        <v>0.95</v>
      </c>
    </row>
    <row r="251" spans="2:35">
      <c r="B251" s="295" t="s">
        <v>546</v>
      </c>
      <c r="C251" s="295" t="s">
        <v>661</v>
      </c>
      <c r="D251" s="343" t="s">
        <v>592</v>
      </c>
      <c r="E251" s="295">
        <v>3120</v>
      </c>
      <c r="F251" s="295">
        <f>IF(F$6=$C251,IF(INDEX('Surface DEET'!$Q$9:$W$38,COLUMN(F244)-COLUMN($E$5),1)&gt;0,INDEX('Surface DEET'!$Q$9:$W$38,COLUMN(F244)-COLUMN($E$5),1),$E251),0)</f>
        <v>0</v>
      </c>
      <c r="G251" s="295">
        <f>IF(G$6=$C251,IF(INDEX('Surface DEET'!$Q$9:$W$38,COLUMN(G244)-COLUMN($E$5),1)&gt;0,INDEX('Surface DEET'!$Q$9:$W$38,COLUMN(G244)-COLUMN($E$5),1),$E251),0)</f>
        <v>0</v>
      </c>
      <c r="H251" s="295">
        <f>IF(H$6=$C251,IF(INDEX('Surface DEET'!$Q$9:$W$38,COLUMN(H244)-COLUMN($E$5),1)&gt;0,INDEX('Surface DEET'!$Q$9:$W$38,COLUMN(H244)-COLUMN($E$5),1),$E251),0)</f>
        <v>0</v>
      </c>
      <c r="I251" s="295">
        <f>IF(I$6=$C251,IF(INDEX('Surface DEET'!$Q$9:$W$38,COLUMN(I244)-COLUMN($E$5),1)&gt;0,INDEX('Surface DEET'!$Q$9:$W$38,COLUMN(I244)-COLUMN($E$5),1),$E251),0)</f>
        <v>0</v>
      </c>
      <c r="J251" s="295">
        <f>IF(J$6=$C251,IF(INDEX('Surface DEET'!$Q$9:$W$38,COLUMN(J244)-COLUMN($E$5),1)&gt;0,INDEX('Surface DEET'!$Q$9:$W$38,COLUMN(J244)-COLUMN($E$5),1),$E251),0)</f>
        <v>0</v>
      </c>
      <c r="K251" s="295">
        <f>IF(K$6=$C251,IF(INDEX('Surface DEET'!$Q$9:$W$38,COLUMN(K244)-COLUMN($E$5),1)&gt;0,INDEX('Surface DEET'!$Q$9:$W$38,COLUMN(K244)-COLUMN($E$5),1),$E251),0)</f>
        <v>0</v>
      </c>
      <c r="L251" s="295">
        <f>IF(L$6=$C251,IF(INDEX('Surface DEET'!$Q$9:$W$38,COLUMN(L244)-COLUMN($E$5),1)&gt;0,INDEX('Surface DEET'!$Q$9:$W$38,COLUMN(L244)-COLUMN($E$5),1),$E251),0)</f>
        <v>0</v>
      </c>
      <c r="M251" s="295">
        <f>IF(M$6=$C251,IF(INDEX('Surface DEET'!$Q$9:$W$38,COLUMN(M244)-COLUMN($E$5),1)&gt;0,INDEX('Surface DEET'!$Q$9:$W$38,COLUMN(M244)-COLUMN($E$5),1),$E251),0)</f>
        <v>0</v>
      </c>
      <c r="N251" s="295">
        <f>IF(N$6=$C251,IF(INDEX('Surface DEET'!$Q$9:$W$38,COLUMN(N244)-COLUMN($E$5),1)&gt;0,INDEX('Surface DEET'!$Q$9:$W$38,COLUMN(N244)-COLUMN($E$5),1),$E251),0)</f>
        <v>0</v>
      </c>
      <c r="O251" s="295">
        <f>IF(O$6=$C251,IF(INDEX('Surface DEET'!$Q$9:$W$38,COLUMN(O244)-COLUMN($E$5),1)&gt;0,INDEX('Surface DEET'!$Q$9:$W$38,COLUMN(O244)-COLUMN($E$5),1),$E251),0)</f>
        <v>0</v>
      </c>
      <c r="P251" s="295">
        <f>IF(P$6=$C251,IF(INDEX('Surface DEET'!$Q$9:$W$38,COLUMN(P244)-COLUMN($E$5),1)&gt;0,INDEX('Surface DEET'!$Q$9:$W$38,COLUMN(P244)-COLUMN($E$5),1),$E251),0)</f>
        <v>0</v>
      </c>
      <c r="Q251" s="295">
        <f>IF(Q$6=$C251,IF(INDEX('Surface DEET'!$Q$9:$W$38,COLUMN(Q244)-COLUMN($E$5),1)&gt;0,INDEX('Surface DEET'!$Q$9:$W$38,COLUMN(Q244)-COLUMN($E$5),1),$E251),0)</f>
        <v>0</v>
      </c>
      <c r="R251" s="295">
        <f>IF(R$6=$C251,IF(INDEX('Surface DEET'!$Q$9:$W$38,COLUMN(R244)-COLUMN($E$5),1)&gt;0,INDEX('Surface DEET'!$Q$9:$W$38,COLUMN(R244)-COLUMN($E$5),1),$E251),0)</f>
        <v>0</v>
      </c>
      <c r="S251" s="295">
        <f>IF(S$6=$C251,IF(INDEX('Surface DEET'!$Q$9:$W$38,COLUMN(S244)-COLUMN($E$5),1)&gt;0,INDEX('Surface DEET'!$Q$9:$W$38,COLUMN(S244)-COLUMN($E$5),1),$E251),0)</f>
        <v>0</v>
      </c>
      <c r="T251" s="295">
        <f>IF(T$6=$C251,IF(INDEX('Surface DEET'!$Q$9:$W$38,COLUMN(T244)-COLUMN($E$5),1)&gt;0,INDEX('Surface DEET'!$Q$9:$W$38,COLUMN(T244)-COLUMN($E$5),1),$E251),0)</f>
        <v>0</v>
      </c>
      <c r="U251" s="295">
        <f>IF(U$6=$C251,IF(INDEX('Surface DEET'!$Q$9:$W$38,COLUMN(U244)-COLUMN($E$5),1)&gt;0,INDEX('Surface DEET'!$Q$9:$W$38,COLUMN(U244)-COLUMN($E$5),1),$E251),0)</f>
        <v>0</v>
      </c>
      <c r="V251" s="295">
        <f>IF(V$6=$C251,IF(INDEX('Surface DEET'!$Q$9:$W$38,COLUMN(V244)-COLUMN($E$5),1)&gt;0,INDEX('Surface DEET'!$Q$9:$W$38,COLUMN(V244)-COLUMN($E$5),1),$E251),0)</f>
        <v>0</v>
      </c>
      <c r="W251" s="295">
        <f>IF(W$6=$C251,IF(INDEX('Surface DEET'!$Q$9:$W$38,COLUMN(W244)-COLUMN($E$5),1)&gt;0,INDEX('Surface DEET'!$Q$9:$W$38,COLUMN(W244)-COLUMN($E$5),1),$E251),0)</f>
        <v>0</v>
      </c>
      <c r="X251" s="295">
        <f>IF(X$6=$C251,IF(INDEX('Surface DEET'!$Q$9:$W$38,COLUMN(X244)-COLUMN($E$5),1)&gt;0,INDEX('Surface DEET'!$Q$9:$W$38,COLUMN(X244)-COLUMN($E$5),1),$E251),0)</f>
        <v>0</v>
      </c>
      <c r="Y251" s="295">
        <f>IF(Y$6=$C251,IF(INDEX('Surface DEET'!$Q$9:$W$38,COLUMN(Y244)-COLUMN($E$5),1)&gt;0,INDEX('Surface DEET'!$Q$9:$W$38,COLUMN(Y244)-COLUMN($E$5),1),$E251),0)</f>
        <v>0</v>
      </c>
      <c r="Z251" s="295">
        <f>IF(Z$6=$C251,IF(INDEX('Surface DEET'!$Q$9:$W$38,COLUMN(Z244)-COLUMN($E$5),1)&gt;0,INDEX('Surface DEET'!$Q$9:$W$38,COLUMN(Z244)-COLUMN($E$5),1),$E251),0)</f>
        <v>0</v>
      </c>
      <c r="AA251" s="295">
        <f>IF(AA$6=$C251,IF(INDEX('Surface DEET'!$Q$9:$W$38,COLUMN(AA244)-COLUMN($E$5),1)&gt;0,INDEX('Surface DEET'!$Q$9:$W$38,COLUMN(AA244)-COLUMN($E$5),1),$E251),0)</f>
        <v>0</v>
      </c>
      <c r="AB251" s="295">
        <f>IF(AB$6=$C251,IF(INDEX('Surface DEET'!$Q$9:$W$38,COLUMN(AB244)-COLUMN($E$5),1)&gt;0,INDEX('Surface DEET'!$Q$9:$W$38,COLUMN(AB244)-COLUMN($E$5),1),$E251),0)</f>
        <v>0</v>
      </c>
      <c r="AC251" s="295">
        <f>IF(AC$6=$C251,IF(INDEX('Surface DEET'!$Q$9:$W$38,COLUMN(AC244)-COLUMN($E$5),1)&gt;0,INDEX('Surface DEET'!$Q$9:$W$38,COLUMN(AC244)-COLUMN($E$5),1),$E251),0)</f>
        <v>0</v>
      </c>
      <c r="AD251" s="295">
        <f>IF(AD$6=$C251,IF(INDEX('Surface DEET'!$Q$9:$W$38,COLUMN(AD244)-COLUMN($E$5),1)&gt;0,INDEX('Surface DEET'!$Q$9:$W$38,COLUMN(AD244)-COLUMN($E$5),1),$E251),0)</f>
        <v>0</v>
      </c>
      <c r="AE251" s="295">
        <f>IF(AE$6=$C251,IF(INDEX('Surface DEET'!$Q$9:$W$38,COLUMN(AE244)-COLUMN($E$5),1)&gt;0,INDEX('Surface DEET'!$Q$9:$W$38,COLUMN(AE244)-COLUMN($E$5),1),$E251),0)</f>
        <v>0</v>
      </c>
      <c r="AF251" s="295">
        <f>IF(AF$6=$C251,IF(INDEX('Surface DEET'!$Q$9:$W$38,COLUMN(AF244)-COLUMN($E$5),1)&gt;0,INDEX('Surface DEET'!$Q$9:$W$38,COLUMN(AF244)-COLUMN($E$5),1),$E251),0)</f>
        <v>0</v>
      </c>
      <c r="AG251" s="295">
        <f>IF(AG$6=$C251,IF(INDEX('Surface DEET'!$Q$9:$W$38,COLUMN(AG244)-COLUMN($E$5),1)&gt;0,INDEX('Surface DEET'!$Q$9:$W$38,COLUMN(AG244)-COLUMN($E$5),1),$E251),0)</f>
        <v>0</v>
      </c>
      <c r="AH251" s="295">
        <f>IF(AH$6=$C251,IF(INDEX('Surface DEET'!$Q$9:$W$38,COLUMN(AH244)-COLUMN($E$5),1)&gt;0,INDEX('Surface DEET'!$Q$9:$W$38,COLUMN(AH244)-COLUMN($E$5),1),$E251),0)</f>
        <v>0</v>
      </c>
      <c r="AI251" s="295">
        <f>IF(AI$6=$C251,IF(INDEX('Surface DEET'!$Q$9:$W$38,COLUMN(AI244)-COLUMN($E$5),1)&gt;0,INDEX('Surface DEET'!$Q$9:$W$38,COLUMN(AI244)-COLUMN($E$5),1),$E251),0)</f>
        <v>0</v>
      </c>
    </row>
    <row r="252" spans="2:35">
      <c r="B252" s="295" t="s">
        <v>549</v>
      </c>
      <c r="C252" s="295" t="s">
        <v>661</v>
      </c>
      <c r="D252" s="343" t="s">
        <v>593</v>
      </c>
      <c r="E252" s="295">
        <v>18</v>
      </c>
      <c r="F252" s="295">
        <f>IF(F$6=$C252,IF(INDEX('Surface DEET'!$Q$9:$W$38,COLUMN(F245)-COLUMN($E$5),4)&gt;0,INDEX('Surface DEET'!$Q$9:$W$38,COLUMN(F245)-COLUMN($E$5),4),$E252),0)</f>
        <v>0</v>
      </c>
      <c r="G252" s="295">
        <f>IF(G$6=$C252,IF(INDEX('Surface DEET'!$Q$9:$W$38,COLUMN(G245)-COLUMN($E$5),4)&gt;0,INDEX('Surface DEET'!$Q$9:$W$38,COLUMN(G245)-COLUMN($E$5),4),$E252),0)</f>
        <v>0</v>
      </c>
      <c r="H252" s="295">
        <f>IF(H$6=$C252,IF(INDEX('Surface DEET'!$Q$9:$W$38,COLUMN(H245)-COLUMN($E$5),4)&gt;0,INDEX('Surface DEET'!$Q$9:$W$38,COLUMN(H245)-COLUMN($E$5),4),$E252),0)</f>
        <v>0</v>
      </c>
      <c r="I252" s="295">
        <f>IF(I$6=$C252,IF(INDEX('Surface DEET'!$Q$9:$W$38,COLUMN(I245)-COLUMN($E$5),4)&gt;0,INDEX('Surface DEET'!$Q$9:$W$38,COLUMN(I245)-COLUMN($E$5),4),$E252),0)</f>
        <v>0</v>
      </c>
      <c r="J252" s="295">
        <f>IF(J$6=$C252,IF(INDEX('Surface DEET'!$Q$9:$W$38,COLUMN(J245)-COLUMN($E$5),4)&gt;0,INDEX('Surface DEET'!$Q$9:$W$38,COLUMN(J245)-COLUMN($E$5),4),$E252),0)</f>
        <v>0</v>
      </c>
      <c r="K252" s="295">
        <f>IF(K$6=$C252,IF(INDEX('Surface DEET'!$Q$9:$W$38,COLUMN(K245)-COLUMN($E$5),4)&gt;0,INDEX('Surface DEET'!$Q$9:$W$38,COLUMN(K245)-COLUMN($E$5),4),$E252),0)</f>
        <v>0</v>
      </c>
      <c r="L252" s="295">
        <f>IF(L$6=$C252,IF(INDEX('Surface DEET'!$Q$9:$W$38,COLUMN(L245)-COLUMN($E$5),4)&gt;0,INDEX('Surface DEET'!$Q$9:$W$38,COLUMN(L245)-COLUMN($E$5),4),$E252),0)</f>
        <v>0</v>
      </c>
      <c r="M252" s="295">
        <f>IF(M$6=$C252,IF(INDEX('Surface DEET'!$Q$9:$W$38,COLUMN(M245)-COLUMN($E$5),4)&gt;0,INDEX('Surface DEET'!$Q$9:$W$38,COLUMN(M245)-COLUMN($E$5),4),$E252),0)</f>
        <v>0</v>
      </c>
      <c r="N252" s="295">
        <f>IF(N$6=$C252,IF(INDEX('Surface DEET'!$Q$9:$W$38,COLUMN(N245)-COLUMN($E$5),4)&gt;0,INDEX('Surface DEET'!$Q$9:$W$38,COLUMN(N245)-COLUMN($E$5),4),$E252),0)</f>
        <v>0</v>
      </c>
      <c r="O252" s="295">
        <f>IF(O$6=$C252,IF(INDEX('Surface DEET'!$Q$9:$W$38,COLUMN(O245)-COLUMN($E$5),4)&gt;0,INDEX('Surface DEET'!$Q$9:$W$38,COLUMN(O245)-COLUMN($E$5),4),$E252),0)</f>
        <v>0</v>
      </c>
      <c r="P252" s="295">
        <f>IF(P$6=$C252,IF(INDEX('Surface DEET'!$Q$9:$W$38,COLUMN(P245)-COLUMN($E$5),4)&gt;0,INDEX('Surface DEET'!$Q$9:$W$38,COLUMN(P245)-COLUMN($E$5),4),$E252),0)</f>
        <v>0</v>
      </c>
      <c r="Q252" s="295">
        <f>IF(Q$6=$C252,IF(INDEX('Surface DEET'!$Q$9:$W$38,COLUMN(Q245)-COLUMN($E$5),4)&gt;0,INDEX('Surface DEET'!$Q$9:$W$38,COLUMN(Q245)-COLUMN($E$5),4),$E252),0)</f>
        <v>0</v>
      </c>
      <c r="R252" s="295">
        <f>IF(R$6=$C252,IF(INDEX('Surface DEET'!$Q$9:$W$38,COLUMN(R245)-COLUMN($E$5),4)&gt;0,INDEX('Surface DEET'!$Q$9:$W$38,COLUMN(R245)-COLUMN($E$5),4),$E252),0)</f>
        <v>0</v>
      </c>
      <c r="S252" s="295">
        <f>IF(S$6=$C252,IF(INDEX('Surface DEET'!$Q$9:$W$38,COLUMN(S245)-COLUMN($E$5),4)&gt;0,INDEX('Surface DEET'!$Q$9:$W$38,COLUMN(S245)-COLUMN($E$5),4),$E252),0)</f>
        <v>0</v>
      </c>
      <c r="T252" s="295">
        <f>IF(T$6=$C252,IF(INDEX('Surface DEET'!$Q$9:$W$38,COLUMN(T245)-COLUMN($E$5),4)&gt;0,INDEX('Surface DEET'!$Q$9:$W$38,COLUMN(T245)-COLUMN($E$5),4),$E252),0)</f>
        <v>0</v>
      </c>
      <c r="U252" s="295">
        <f>IF(U$6=$C252,IF(INDEX('Surface DEET'!$Q$9:$W$38,COLUMN(U245)-COLUMN($E$5),4)&gt;0,INDEX('Surface DEET'!$Q$9:$W$38,COLUMN(U245)-COLUMN($E$5),4),$E252),0)</f>
        <v>0</v>
      </c>
      <c r="V252" s="295">
        <f>IF(V$6=$C252,IF(INDEX('Surface DEET'!$Q$9:$W$38,COLUMN(V245)-COLUMN($E$5),4)&gt;0,INDEX('Surface DEET'!$Q$9:$W$38,COLUMN(V245)-COLUMN($E$5),4),$E252),0)</f>
        <v>0</v>
      </c>
      <c r="W252" s="295">
        <f>IF(W$6=$C252,IF(INDEX('Surface DEET'!$Q$9:$W$38,COLUMN(W245)-COLUMN($E$5),4)&gt;0,INDEX('Surface DEET'!$Q$9:$W$38,COLUMN(W245)-COLUMN($E$5),4),$E252),0)</f>
        <v>0</v>
      </c>
      <c r="X252" s="295">
        <f>IF(X$6=$C252,IF(INDEX('Surface DEET'!$Q$9:$W$38,COLUMN(X245)-COLUMN($E$5),4)&gt;0,INDEX('Surface DEET'!$Q$9:$W$38,COLUMN(X245)-COLUMN($E$5),4),$E252),0)</f>
        <v>0</v>
      </c>
      <c r="Y252" s="295">
        <f>IF(Y$6=$C252,IF(INDEX('Surface DEET'!$Q$9:$W$38,COLUMN(Y245)-COLUMN($E$5),4)&gt;0,INDEX('Surface DEET'!$Q$9:$W$38,COLUMN(Y245)-COLUMN($E$5),4),$E252),0)</f>
        <v>0</v>
      </c>
      <c r="Z252" s="295">
        <f>IF(Z$6=$C252,IF(INDEX('Surface DEET'!$Q$9:$W$38,COLUMN(Z245)-COLUMN($E$5),4)&gt;0,INDEX('Surface DEET'!$Q$9:$W$38,COLUMN(Z245)-COLUMN($E$5),4),$E252),0)</f>
        <v>0</v>
      </c>
      <c r="AA252" s="295">
        <f>IF(AA$6=$C252,IF(INDEX('Surface DEET'!$Q$9:$W$38,COLUMN(AA245)-COLUMN($E$5),4)&gt;0,INDEX('Surface DEET'!$Q$9:$W$38,COLUMN(AA245)-COLUMN($E$5),4),$E252),0)</f>
        <v>0</v>
      </c>
      <c r="AB252" s="295">
        <f>IF(AB$6=$C252,IF(INDEX('Surface DEET'!$Q$9:$W$38,COLUMN(AB245)-COLUMN($E$5),4)&gt;0,INDEX('Surface DEET'!$Q$9:$W$38,COLUMN(AB245)-COLUMN($E$5),4),$E252),0)</f>
        <v>0</v>
      </c>
      <c r="AC252" s="295">
        <f>IF(AC$6=$C252,IF(INDEX('Surface DEET'!$Q$9:$W$38,COLUMN(AC245)-COLUMN($E$5),4)&gt;0,INDEX('Surface DEET'!$Q$9:$W$38,COLUMN(AC245)-COLUMN($E$5),4),$E252),0)</f>
        <v>0</v>
      </c>
      <c r="AD252" s="295">
        <f>IF(AD$6=$C252,IF(INDEX('Surface DEET'!$Q$9:$W$38,COLUMN(AD245)-COLUMN($E$5),4)&gt;0,INDEX('Surface DEET'!$Q$9:$W$38,COLUMN(AD245)-COLUMN($E$5),4),$E252),0)</f>
        <v>0</v>
      </c>
      <c r="AE252" s="295">
        <f>IF(AE$6=$C252,IF(INDEX('Surface DEET'!$Q$9:$W$38,COLUMN(AE245)-COLUMN($E$5),4)&gt;0,INDEX('Surface DEET'!$Q$9:$W$38,COLUMN(AE245)-COLUMN($E$5),4),$E252),0)</f>
        <v>0</v>
      </c>
      <c r="AF252" s="295">
        <f>IF(AF$6=$C252,IF(INDEX('Surface DEET'!$Q$9:$W$38,COLUMN(AF245)-COLUMN($E$5),4)&gt;0,INDEX('Surface DEET'!$Q$9:$W$38,COLUMN(AF245)-COLUMN($E$5),4),$E252),0)</f>
        <v>0</v>
      </c>
      <c r="AG252" s="295">
        <f>IF(AG$6=$C252,IF(INDEX('Surface DEET'!$Q$9:$W$38,COLUMN(AG245)-COLUMN($E$5),4)&gt;0,INDEX('Surface DEET'!$Q$9:$W$38,COLUMN(AG245)-COLUMN($E$5),4),$E252),0)</f>
        <v>0</v>
      </c>
      <c r="AH252" s="295">
        <f>IF(AH$6=$C252,IF(INDEX('Surface DEET'!$Q$9:$W$38,COLUMN(AH245)-COLUMN($E$5),4)&gt;0,INDEX('Surface DEET'!$Q$9:$W$38,COLUMN(AH245)-COLUMN($E$5),4),$E252),0)</f>
        <v>0</v>
      </c>
      <c r="AI252" s="295">
        <f>IF(AI$6=$C252,IF(INDEX('Surface DEET'!$Q$9:$W$38,COLUMN(AI245)-COLUMN($E$5),4)&gt;0,INDEX('Surface DEET'!$Q$9:$W$38,COLUMN(AI245)-COLUMN($E$5),4),$E252),0)</f>
        <v>0</v>
      </c>
    </row>
    <row r="253" spans="2:35">
      <c r="B253" s="295" t="s">
        <v>552</v>
      </c>
      <c r="C253" s="295" t="s">
        <v>661</v>
      </c>
      <c r="D253" s="343" t="s">
        <v>594</v>
      </c>
      <c r="E253" s="295">
        <v>70</v>
      </c>
      <c r="F253" s="295">
        <f>IF(F$6=$C253,IF(INDEX('Surface DEET'!$Q$9:$W$38,COLUMN(F246)-COLUMN($E$5),7)&gt;0,INDEX('Surface DEET'!$Q$9:$W$38,COLUMN(F246)-COLUMN($E$5),7),$E253),0)</f>
        <v>0</v>
      </c>
      <c r="G253" s="295">
        <f>IF(G$6=$C253,IF(INDEX('Surface DEET'!$Q$9:$W$38,COLUMN(G246)-COLUMN($E$5),7)&gt;0,INDEX('Surface DEET'!$Q$9:$W$38,COLUMN(G246)-COLUMN($E$5),7),$E253),0)</f>
        <v>0</v>
      </c>
      <c r="H253" s="295">
        <f>IF(H$6=$C253,IF(INDEX('Surface DEET'!$Q$9:$W$38,COLUMN(H246)-COLUMN($E$5),7)&gt;0,INDEX('Surface DEET'!$Q$9:$W$38,COLUMN(H246)-COLUMN($E$5),7),$E253),0)</f>
        <v>0</v>
      </c>
      <c r="I253" s="295">
        <f>IF(I$6=$C253,IF(INDEX('Surface DEET'!$Q$9:$W$38,COLUMN(I246)-COLUMN($E$5),7)&gt;0,INDEX('Surface DEET'!$Q$9:$W$38,COLUMN(I246)-COLUMN($E$5),7),$E253),0)</f>
        <v>0</v>
      </c>
      <c r="J253" s="295">
        <f>IF(J$6=$C253,IF(INDEX('Surface DEET'!$Q$9:$W$38,COLUMN(J246)-COLUMN($E$5),7)&gt;0,INDEX('Surface DEET'!$Q$9:$W$38,COLUMN(J246)-COLUMN($E$5),7),$E253),0)</f>
        <v>0</v>
      </c>
      <c r="K253" s="295">
        <f>IF(K$6=$C253,IF(INDEX('Surface DEET'!$Q$9:$W$38,COLUMN(K246)-COLUMN($E$5),7)&gt;0,INDEX('Surface DEET'!$Q$9:$W$38,COLUMN(K246)-COLUMN($E$5),7),$E253),0)</f>
        <v>0</v>
      </c>
      <c r="L253" s="295">
        <f>IF(L$6=$C253,IF(INDEX('Surface DEET'!$Q$9:$W$38,COLUMN(L246)-COLUMN($E$5),7)&gt;0,INDEX('Surface DEET'!$Q$9:$W$38,COLUMN(L246)-COLUMN($E$5),7),$E253),0)</f>
        <v>0</v>
      </c>
      <c r="M253" s="295">
        <f>IF(M$6=$C253,IF(INDEX('Surface DEET'!$Q$9:$W$38,COLUMN(M246)-COLUMN($E$5),7)&gt;0,INDEX('Surface DEET'!$Q$9:$W$38,COLUMN(M246)-COLUMN($E$5),7),$E253),0)</f>
        <v>0</v>
      </c>
      <c r="N253" s="295">
        <f>IF(N$6=$C253,IF(INDEX('Surface DEET'!$Q$9:$W$38,COLUMN(N246)-COLUMN($E$5),7)&gt;0,INDEX('Surface DEET'!$Q$9:$W$38,COLUMN(N246)-COLUMN($E$5),7),$E253),0)</f>
        <v>0</v>
      </c>
      <c r="O253" s="295">
        <f>IF(O$6=$C253,IF(INDEX('Surface DEET'!$Q$9:$W$38,COLUMN(O246)-COLUMN($E$5),7)&gt;0,INDEX('Surface DEET'!$Q$9:$W$38,COLUMN(O246)-COLUMN($E$5),7),$E253),0)</f>
        <v>0</v>
      </c>
      <c r="P253" s="295">
        <f>IF(P$6=$C253,IF(INDEX('Surface DEET'!$Q$9:$W$38,COLUMN(P246)-COLUMN($E$5),7)&gt;0,INDEX('Surface DEET'!$Q$9:$W$38,COLUMN(P246)-COLUMN($E$5),7),$E253),0)</f>
        <v>0</v>
      </c>
      <c r="Q253" s="295">
        <f>IF(Q$6=$C253,IF(INDEX('Surface DEET'!$Q$9:$W$38,COLUMN(Q246)-COLUMN($E$5),7)&gt;0,INDEX('Surface DEET'!$Q$9:$W$38,COLUMN(Q246)-COLUMN($E$5),7),$E253),0)</f>
        <v>0</v>
      </c>
      <c r="R253" s="295">
        <f>IF(R$6=$C253,IF(INDEX('Surface DEET'!$Q$9:$W$38,COLUMN(R246)-COLUMN($E$5),7)&gt;0,INDEX('Surface DEET'!$Q$9:$W$38,COLUMN(R246)-COLUMN($E$5),7),$E253),0)</f>
        <v>0</v>
      </c>
      <c r="S253" s="295">
        <f>IF(S$6=$C253,IF(INDEX('Surface DEET'!$Q$9:$W$38,COLUMN(S246)-COLUMN($E$5),7)&gt;0,INDEX('Surface DEET'!$Q$9:$W$38,COLUMN(S246)-COLUMN($E$5),7),$E253),0)</f>
        <v>0</v>
      </c>
      <c r="T253" s="295">
        <f>IF(T$6=$C253,IF(INDEX('Surface DEET'!$Q$9:$W$38,COLUMN(T246)-COLUMN($E$5),7)&gt;0,INDEX('Surface DEET'!$Q$9:$W$38,COLUMN(T246)-COLUMN($E$5),7),$E253),0)</f>
        <v>0</v>
      </c>
      <c r="U253" s="295">
        <f>IF(U$6=$C253,IF(INDEX('Surface DEET'!$Q$9:$W$38,COLUMN(U246)-COLUMN($E$5),7)&gt;0,INDEX('Surface DEET'!$Q$9:$W$38,COLUMN(U246)-COLUMN($E$5),7),$E253),0)</f>
        <v>0</v>
      </c>
      <c r="V253" s="295">
        <f>IF(V$6=$C253,IF(INDEX('Surface DEET'!$Q$9:$W$38,COLUMN(V246)-COLUMN($E$5),7)&gt;0,INDEX('Surface DEET'!$Q$9:$W$38,COLUMN(V246)-COLUMN($E$5),7),$E253),0)</f>
        <v>0</v>
      </c>
      <c r="W253" s="295">
        <f>IF(W$6=$C253,IF(INDEX('Surface DEET'!$Q$9:$W$38,COLUMN(W246)-COLUMN($E$5),7)&gt;0,INDEX('Surface DEET'!$Q$9:$W$38,COLUMN(W246)-COLUMN($E$5),7),$E253),0)</f>
        <v>0</v>
      </c>
      <c r="X253" s="295">
        <f>IF(X$6=$C253,IF(INDEX('Surface DEET'!$Q$9:$W$38,COLUMN(X246)-COLUMN($E$5),7)&gt;0,INDEX('Surface DEET'!$Q$9:$W$38,COLUMN(X246)-COLUMN($E$5),7),$E253),0)</f>
        <v>0</v>
      </c>
      <c r="Y253" s="295">
        <f>IF(Y$6=$C253,IF(INDEX('Surface DEET'!$Q$9:$W$38,COLUMN(Y246)-COLUMN($E$5),7)&gt;0,INDEX('Surface DEET'!$Q$9:$W$38,COLUMN(Y246)-COLUMN($E$5),7),$E253),0)</f>
        <v>0</v>
      </c>
      <c r="Z253" s="295">
        <f>IF(Z$6=$C253,IF(INDEX('Surface DEET'!$Q$9:$W$38,COLUMN(Z246)-COLUMN($E$5),7)&gt;0,INDEX('Surface DEET'!$Q$9:$W$38,COLUMN(Z246)-COLUMN($E$5),7),$E253),0)</f>
        <v>0</v>
      </c>
      <c r="AA253" s="295">
        <f>IF(AA$6=$C253,IF(INDEX('Surface DEET'!$Q$9:$W$38,COLUMN(AA246)-COLUMN($E$5),7)&gt;0,INDEX('Surface DEET'!$Q$9:$W$38,COLUMN(AA246)-COLUMN($E$5),7),$E253),0)</f>
        <v>0</v>
      </c>
      <c r="AB253" s="295">
        <f>IF(AB$6=$C253,IF(INDEX('Surface DEET'!$Q$9:$W$38,COLUMN(AB246)-COLUMN($E$5),7)&gt;0,INDEX('Surface DEET'!$Q$9:$W$38,COLUMN(AB246)-COLUMN($E$5),7),$E253),0)</f>
        <v>0</v>
      </c>
      <c r="AC253" s="295">
        <f>IF(AC$6=$C253,IF(INDEX('Surface DEET'!$Q$9:$W$38,COLUMN(AC246)-COLUMN($E$5),7)&gt;0,INDEX('Surface DEET'!$Q$9:$W$38,COLUMN(AC246)-COLUMN($E$5),7),$E253),0)</f>
        <v>0</v>
      </c>
      <c r="AD253" s="295">
        <f>IF(AD$6=$C253,IF(INDEX('Surface DEET'!$Q$9:$W$38,COLUMN(AD246)-COLUMN($E$5),7)&gt;0,INDEX('Surface DEET'!$Q$9:$W$38,COLUMN(AD246)-COLUMN($E$5),7),$E253),0)</f>
        <v>0</v>
      </c>
      <c r="AE253" s="295">
        <f>IF(AE$6=$C253,IF(INDEX('Surface DEET'!$Q$9:$W$38,COLUMN(AE246)-COLUMN($E$5),7)&gt;0,INDEX('Surface DEET'!$Q$9:$W$38,COLUMN(AE246)-COLUMN($E$5),7),$E253),0)</f>
        <v>0</v>
      </c>
      <c r="AF253" s="295">
        <f>IF(AF$6=$C253,IF(INDEX('Surface DEET'!$Q$9:$W$38,COLUMN(AF246)-COLUMN($E$5),7)&gt;0,INDEX('Surface DEET'!$Q$9:$W$38,COLUMN(AF246)-COLUMN($E$5),7),$E253),0)</f>
        <v>0</v>
      </c>
      <c r="AG253" s="295">
        <f>IF(AG$6=$C253,IF(INDEX('Surface DEET'!$Q$9:$W$38,COLUMN(AG246)-COLUMN($E$5),7)&gt;0,INDEX('Surface DEET'!$Q$9:$W$38,COLUMN(AG246)-COLUMN($E$5),7),$E253),0)</f>
        <v>0</v>
      </c>
      <c r="AH253" s="295">
        <f>IF(AH$6=$C253,IF(INDEX('Surface DEET'!$Q$9:$W$38,COLUMN(AH246)-COLUMN($E$5),7)&gt;0,INDEX('Surface DEET'!$Q$9:$W$38,COLUMN(AH246)-COLUMN($E$5),7),$E253),0)</f>
        <v>0</v>
      </c>
      <c r="AI253" s="295">
        <f>IF(AI$6=$C253,IF(INDEX('Surface DEET'!$Q$9:$W$38,COLUMN(AI246)-COLUMN($E$5),7)&gt;0,INDEX('Surface DEET'!$Q$9:$W$38,COLUMN(AI246)-COLUMN($E$5),7),$E253),0)</f>
        <v>0</v>
      </c>
    </row>
    <row r="254" spans="2:35">
      <c r="B254" s="295" t="s">
        <v>542</v>
      </c>
      <c r="C254" s="295" t="s">
        <v>661</v>
      </c>
      <c r="D254" s="295" t="s">
        <v>542</v>
      </c>
      <c r="F254" s="295">
        <f>$E$248*(F251/$E$251)*($E$250*(F252/$E$252)*(F253/$E$253)+(1-$E$250))+0.28*$E$247*(F251-$E$251)/$E$251</f>
        <v>-14.000000000000002</v>
      </c>
      <c r="G254" s="295">
        <f t="shared" ref="G254:AI254" si="30">$E$248*(G251/$E$251)*($E$250*(G252/$E$252)*(G253/$E$253)+(1-$E$250))+0.28*$E$247*(G251-$E$251)/$E$251</f>
        <v>-14.000000000000002</v>
      </c>
      <c r="H254" s="295">
        <f t="shared" si="30"/>
        <v>-14.000000000000002</v>
      </c>
      <c r="I254" s="295">
        <f t="shared" si="30"/>
        <v>-14.000000000000002</v>
      </c>
      <c r="J254" s="295">
        <f t="shared" si="30"/>
        <v>-14.000000000000002</v>
      </c>
      <c r="K254" s="295">
        <f t="shared" si="30"/>
        <v>-14.000000000000002</v>
      </c>
      <c r="L254" s="295">
        <f t="shared" si="30"/>
        <v>-14.000000000000002</v>
      </c>
      <c r="M254" s="295">
        <f t="shared" si="30"/>
        <v>-14.000000000000002</v>
      </c>
      <c r="N254" s="295">
        <f t="shared" si="30"/>
        <v>-14.000000000000002</v>
      </c>
      <c r="O254" s="295">
        <f t="shared" si="30"/>
        <v>-14.000000000000002</v>
      </c>
      <c r="P254" s="295">
        <f t="shared" si="30"/>
        <v>-14.000000000000002</v>
      </c>
      <c r="Q254" s="295">
        <f t="shared" si="30"/>
        <v>-14.000000000000002</v>
      </c>
      <c r="R254" s="295">
        <f t="shared" si="30"/>
        <v>-14.000000000000002</v>
      </c>
      <c r="S254" s="295">
        <f t="shared" si="30"/>
        <v>-14.000000000000002</v>
      </c>
      <c r="T254" s="295">
        <f t="shared" si="30"/>
        <v>-14.000000000000002</v>
      </c>
      <c r="U254" s="295">
        <f t="shared" si="30"/>
        <v>-14.000000000000002</v>
      </c>
      <c r="V254" s="295">
        <f t="shared" si="30"/>
        <v>-14.000000000000002</v>
      </c>
      <c r="W254" s="295">
        <f t="shared" si="30"/>
        <v>-14.000000000000002</v>
      </c>
      <c r="X254" s="295">
        <f t="shared" si="30"/>
        <v>-14.000000000000002</v>
      </c>
      <c r="Y254" s="295">
        <f t="shared" si="30"/>
        <v>-14.000000000000002</v>
      </c>
      <c r="Z254" s="295">
        <f t="shared" si="30"/>
        <v>-14.000000000000002</v>
      </c>
      <c r="AA254" s="295">
        <f t="shared" si="30"/>
        <v>-14.000000000000002</v>
      </c>
      <c r="AB254" s="295">
        <f t="shared" si="30"/>
        <v>-14.000000000000002</v>
      </c>
      <c r="AC254" s="295">
        <f t="shared" si="30"/>
        <v>-14.000000000000002</v>
      </c>
      <c r="AD254" s="295">
        <f t="shared" si="30"/>
        <v>-14.000000000000002</v>
      </c>
      <c r="AE254" s="295">
        <f t="shared" si="30"/>
        <v>-14.000000000000002</v>
      </c>
      <c r="AF254" s="295">
        <f t="shared" si="30"/>
        <v>-14.000000000000002</v>
      </c>
      <c r="AG254" s="295">
        <f t="shared" si="30"/>
        <v>-14.000000000000002</v>
      </c>
      <c r="AH254" s="295">
        <f t="shared" si="30"/>
        <v>-14.000000000000002</v>
      </c>
      <c r="AI254" s="295">
        <f t="shared" si="30"/>
        <v>-14.000000000000002</v>
      </c>
    </row>
    <row r="255" spans="2:35">
      <c r="B255" s="93" t="s">
        <v>301</v>
      </c>
      <c r="C255" s="295" t="s">
        <v>662</v>
      </c>
      <c r="D255" s="93" t="s">
        <v>301</v>
      </c>
      <c r="E255" s="295">
        <f t="array" ref="E255">INDEX(CABS_CVC!$C$3:$O$894,MATCH(1, (CABS_CVC!$A$3:$A$894=Calculs_CABS!C255)*(CABS_CVC!$B$3:$B$894=Calculs_CABS!$D$2),0),MATCH(Calculs_CABS!$D$1,Liste_CABS!$B$3:$B$15,0))</f>
        <v>50</v>
      </c>
    </row>
    <row r="256" spans="2:35">
      <c r="B256" s="295" t="s">
        <v>543</v>
      </c>
      <c r="C256" s="295" t="s">
        <v>662</v>
      </c>
      <c r="D256" s="295" t="s">
        <v>543</v>
      </c>
      <c r="E256" s="295">
        <v>60</v>
      </c>
    </row>
    <row r="257" spans="2:35">
      <c r="B257" s="295" t="s">
        <v>544</v>
      </c>
      <c r="C257" s="295" t="s">
        <v>662</v>
      </c>
      <c r="D257" s="295" t="s">
        <v>544</v>
      </c>
      <c r="E257" s="295">
        <f>E255+E256</f>
        <v>110</v>
      </c>
    </row>
    <row r="258" spans="2:35">
      <c r="B258" s="295" t="s">
        <v>545</v>
      </c>
      <c r="C258" s="295" t="s">
        <v>662</v>
      </c>
      <c r="D258" s="295" t="s">
        <v>545</v>
      </c>
      <c r="E258" s="295">
        <v>0.95</v>
      </c>
    </row>
    <row r="259" spans="2:35">
      <c r="B259" s="295" t="s">
        <v>546</v>
      </c>
      <c r="C259" s="295" t="s">
        <v>662</v>
      </c>
      <c r="D259" s="343" t="s">
        <v>592</v>
      </c>
      <c r="E259" s="295">
        <v>3120</v>
      </c>
      <c r="F259" s="295">
        <f>IF(F$6=$C259,IF(INDEX('Surface DEET'!$Q$9:$W$38,COLUMN(F252)-COLUMN($E$5),1)&gt;0,INDEX('Surface DEET'!$Q$9:$W$38,COLUMN(F252)-COLUMN($E$5),1),$E259),0)</f>
        <v>0</v>
      </c>
      <c r="G259" s="295">
        <f>IF(G$6=$C259,IF(INDEX('Surface DEET'!$Q$9:$W$38,COLUMN(G252)-COLUMN($E$5),1)&gt;0,INDEX('Surface DEET'!$Q$9:$W$38,COLUMN(G252)-COLUMN($E$5),1),$E259),0)</f>
        <v>0</v>
      </c>
      <c r="H259" s="295">
        <f>IF(H$6=$C259,IF(INDEX('Surface DEET'!$Q$9:$W$38,COLUMN(H252)-COLUMN($E$5),1)&gt;0,INDEX('Surface DEET'!$Q$9:$W$38,COLUMN(H252)-COLUMN($E$5),1),$E259),0)</f>
        <v>0</v>
      </c>
      <c r="I259" s="295">
        <f>IF(I$6=$C259,IF(INDEX('Surface DEET'!$Q$9:$W$38,COLUMN(I252)-COLUMN($E$5),1)&gt;0,INDEX('Surface DEET'!$Q$9:$W$38,COLUMN(I252)-COLUMN($E$5),1),$E259),0)</f>
        <v>0</v>
      </c>
      <c r="J259" s="295">
        <f>IF(J$6=$C259,IF(INDEX('Surface DEET'!$Q$9:$W$38,COLUMN(J252)-COLUMN($E$5),1)&gt;0,INDEX('Surface DEET'!$Q$9:$W$38,COLUMN(J252)-COLUMN($E$5),1),$E259),0)</f>
        <v>0</v>
      </c>
      <c r="K259" s="295">
        <f>IF(K$6=$C259,IF(INDEX('Surface DEET'!$Q$9:$W$38,COLUMN(K252)-COLUMN($E$5),1)&gt;0,INDEX('Surface DEET'!$Q$9:$W$38,COLUMN(K252)-COLUMN($E$5),1),$E259),0)</f>
        <v>0</v>
      </c>
      <c r="L259" s="295">
        <f>IF(L$6=$C259,IF(INDEX('Surface DEET'!$Q$9:$W$38,COLUMN(L252)-COLUMN($E$5),1)&gt;0,INDEX('Surface DEET'!$Q$9:$W$38,COLUMN(L252)-COLUMN($E$5),1),$E259),0)</f>
        <v>0</v>
      </c>
      <c r="M259" s="295">
        <f>IF(M$6=$C259,IF(INDEX('Surface DEET'!$Q$9:$W$38,COLUMN(M252)-COLUMN($E$5),1)&gt;0,INDEX('Surface DEET'!$Q$9:$W$38,COLUMN(M252)-COLUMN($E$5),1),$E259),0)</f>
        <v>0</v>
      </c>
      <c r="N259" s="295">
        <f>IF(N$6=$C259,IF(INDEX('Surface DEET'!$Q$9:$W$38,COLUMN(N252)-COLUMN($E$5),1)&gt;0,INDEX('Surface DEET'!$Q$9:$W$38,COLUMN(N252)-COLUMN($E$5),1),$E259),0)</f>
        <v>0</v>
      </c>
      <c r="O259" s="295">
        <f>IF(O$6=$C259,IF(INDEX('Surface DEET'!$Q$9:$W$38,COLUMN(O252)-COLUMN($E$5),1)&gt;0,INDEX('Surface DEET'!$Q$9:$W$38,COLUMN(O252)-COLUMN($E$5),1),$E259),0)</f>
        <v>0</v>
      </c>
      <c r="P259" s="295">
        <f>IF(P$6=$C259,IF(INDEX('Surface DEET'!$Q$9:$W$38,COLUMN(P252)-COLUMN($E$5),1)&gt;0,INDEX('Surface DEET'!$Q$9:$W$38,COLUMN(P252)-COLUMN($E$5),1),$E259),0)</f>
        <v>0</v>
      </c>
      <c r="Q259" s="295">
        <f>IF(Q$6=$C259,IF(INDEX('Surface DEET'!$Q$9:$W$38,COLUMN(Q252)-COLUMN($E$5),1)&gt;0,INDEX('Surface DEET'!$Q$9:$W$38,COLUMN(Q252)-COLUMN($E$5),1),$E259),0)</f>
        <v>0</v>
      </c>
      <c r="R259" s="295">
        <f>IF(R$6=$C259,IF(INDEX('Surface DEET'!$Q$9:$W$38,COLUMN(R252)-COLUMN($E$5),1)&gt;0,INDEX('Surface DEET'!$Q$9:$W$38,COLUMN(R252)-COLUMN($E$5),1),$E259),0)</f>
        <v>0</v>
      </c>
      <c r="S259" s="295">
        <f>IF(S$6=$C259,IF(INDEX('Surface DEET'!$Q$9:$W$38,COLUMN(S252)-COLUMN($E$5),1)&gt;0,INDEX('Surface DEET'!$Q$9:$W$38,COLUMN(S252)-COLUMN($E$5),1),$E259),0)</f>
        <v>0</v>
      </c>
      <c r="T259" s="295">
        <f>IF(T$6=$C259,IF(INDEX('Surface DEET'!$Q$9:$W$38,COLUMN(T252)-COLUMN($E$5),1)&gt;0,INDEX('Surface DEET'!$Q$9:$W$38,COLUMN(T252)-COLUMN($E$5),1),$E259),0)</f>
        <v>0</v>
      </c>
      <c r="U259" s="295">
        <f>IF(U$6=$C259,IF(INDEX('Surface DEET'!$Q$9:$W$38,COLUMN(U252)-COLUMN($E$5),1)&gt;0,INDEX('Surface DEET'!$Q$9:$W$38,COLUMN(U252)-COLUMN($E$5),1),$E259),0)</f>
        <v>0</v>
      </c>
      <c r="V259" s="295">
        <f>IF(V$6=$C259,IF(INDEX('Surface DEET'!$Q$9:$W$38,COLUMN(V252)-COLUMN($E$5),1)&gt;0,INDEX('Surface DEET'!$Q$9:$W$38,COLUMN(V252)-COLUMN($E$5),1),$E259),0)</f>
        <v>0</v>
      </c>
      <c r="W259" s="295">
        <f>IF(W$6=$C259,IF(INDEX('Surface DEET'!$Q$9:$W$38,COLUMN(W252)-COLUMN($E$5),1)&gt;0,INDEX('Surface DEET'!$Q$9:$W$38,COLUMN(W252)-COLUMN($E$5),1),$E259),0)</f>
        <v>0</v>
      </c>
      <c r="X259" s="295">
        <f>IF(X$6=$C259,IF(INDEX('Surface DEET'!$Q$9:$W$38,COLUMN(X252)-COLUMN($E$5),1)&gt;0,INDEX('Surface DEET'!$Q$9:$W$38,COLUMN(X252)-COLUMN($E$5),1),$E259),0)</f>
        <v>0</v>
      </c>
      <c r="Y259" s="295">
        <f>IF(Y$6=$C259,IF(INDEX('Surface DEET'!$Q$9:$W$38,COLUMN(Y252)-COLUMN($E$5),1)&gt;0,INDEX('Surface DEET'!$Q$9:$W$38,COLUMN(Y252)-COLUMN($E$5),1),$E259),0)</f>
        <v>0</v>
      </c>
      <c r="Z259" s="295">
        <f>IF(Z$6=$C259,IF(INDEX('Surface DEET'!$Q$9:$W$38,COLUMN(Z252)-COLUMN($E$5),1)&gt;0,INDEX('Surface DEET'!$Q$9:$W$38,COLUMN(Z252)-COLUMN($E$5),1),$E259),0)</f>
        <v>0</v>
      </c>
      <c r="AA259" s="295">
        <f>IF(AA$6=$C259,IF(INDEX('Surface DEET'!$Q$9:$W$38,COLUMN(AA252)-COLUMN($E$5),1)&gt;0,INDEX('Surface DEET'!$Q$9:$W$38,COLUMN(AA252)-COLUMN($E$5),1),$E259),0)</f>
        <v>0</v>
      </c>
      <c r="AB259" s="295">
        <f>IF(AB$6=$C259,IF(INDEX('Surface DEET'!$Q$9:$W$38,COLUMN(AB252)-COLUMN($E$5),1)&gt;0,INDEX('Surface DEET'!$Q$9:$W$38,COLUMN(AB252)-COLUMN($E$5),1),$E259),0)</f>
        <v>0</v>
      </c>
      <c r="AC259" s="295">
        <f>IF(AC$6=$C259,IF(INDEX('Surface DEET'!$Q$9:$W$38,COLUMN(AC252)-COLUMN($E$5),1)&gt;0,INDEX('Surface DEET'!$Q$9:$W$38,COLUMN(AC252)-COLUMN($E$5),1),$E259),0)</f>
        <v>0</v>
      </c>
      <c r="AD259" s="295">
        <f>IF(AD$6=$C259,IF(INDEX('Surface DEET'!$Q$9:$W$38,COLUMN(AD252)-COLUMN($E$5),1)&gt;0,INDEX('Surface DEET'!$Q$9:$W$38,COLUMN(AD252)-COLUMN($E$5),1),$E259),0)</f>
        <v>0</v>
      </c>
      <c r="AE259" s="295">
        <f>IF(AE$6=$C259,IF(INDEX('Surface DEET'!$Q$9:$W$38,COLUMN(AE252)-COLUMN($E$5),1)&gt;0,INDEX('Surface DEET'!$Q$9:$W$38,COLUMN(AE252)-COLUMN($E$5),1),$E259),0)</f>
        <v>0</v>
      </c>
      <c r="AF259" s="295">
        <f>IF(AF$6=$C259,IF(INDEX('Surface DEET'!$Q$9:$W$38,COLUMN(AF252)-COLUMN($E$5),1)&gt;0,INDEX('Surface DEET'!$Q$9:$W$38,COLUMN(AF252)-COLUMN($E$5),1),$E259),0)</f>
        <v>0</v>
      </c>
      <c r="AG259" s="295">
        <f>IF(AG$6=$C259,IF(INDEX('Surface DEET'!$Q$9:$W$38,COLUMN(AG252)-COLUMN($E$5),1)&gt;0,INDEX('Surface DEET'!$Q$9:$W$38,COLUMN(AG252)-COLUMN($E$5),1),$E259),0)</f>
        <v>0</v>
      </c>
      <c r="AH259" s="295">
        <f>IF(AH$6=$C259,IF(INDEX('Surface DEET'!$Q$9:$W$38,COLUMN(AH252)-COLUMN($E$5),1)&gt;0,INDEX('Surface DEET'!$Q$9:$W$38,COLUMN(AH252)-COLUMN($E$5),1),$E259),0)</f>
        <v>0</v>
      </c>
      <c r="AI259" s="295">
        <f>IF(AI$6=$C259,IF(INDEX('Surface DEET'!$Q$9:$W$38,COLUMN(AI252)-COLUMN($E$5),1)&gt;0,INDEX('Surface DEET'!$Q$9:$W$38,COLUMN(AI252)-COLUMN($E$5),1),$E259),0)</f>
        <v>0</v>
      </c>
    </row>
    <row r="260" spans="2:35">
      <c r="B260" s="295" t="s">
        <v>549</v>
      </c>
      <c r="C260" s="295" t="s">
        <v>662</v>
      </c>
      <c r="D260" s="343" t="s">
        <v>593</v>
      </c>
      <c r="E260" s="295">
        <v>15</v>
      </c>
      <c r="F260" s="295">
        <f>IF(F$6=$C260,IF(INDEX('Surface DEET'!$Q$9:$W$38,COLUMN(F253)-COLUMN($E$5),4)&gt;0,INDEX('Surface DEET'!$Q$9:$W$38,COLUMN(F253)-COLUMN($E$5),4),$E260),0)</f>
        <v>0</v>
      </c>
      <c r="G260" s="295">
        <f>IF(G$6=$C260,IF(INDEX('Surface DEET'!$Q$9:$W$38,COLUMN(G253)-COLUMN($E$5),4)&gt;0,INDEX('Surface DEET'!$Q$9:$W$38,COLUMN(G253)-COLUMN($E$5),4),$E260),0)</f>
        <v>0</v>
      </c>
      <c r="H260" s="295">
        <f>IF(H$6=$C260,IF(INDEX('Surface DEET'!$Q$9:$W$38,COLUMN(H253)-COLUMN($E$5),4)&gt;0,INDEX('Surface DEET'!$Q$9:$W$38,COLUMN(H253)-COLUMN($E$5),4),$E260),0)</f>
        <v>0</v>
      </c>
      <c r="I260" s="295">
        <f>IF(I$6=$C260,IF(INDEX('Surface DEET'!$Q$9:$W$38,COLUMN(I253)-COLUMN($E$5),4)&gt;0,INDEX('Surface DEET'!$Q$9:$W$38,COLUMN(I253)-COLUMN($E$5),4),$E260),0)</f>
        <v>0</v>
      </c>
      <c r="J260" s="295">
        <f>IF(J$6=$C260,IF(INDEX('Surface DEET'!$Q$9:$W$38,COLUMN(J253)-COLUMN($E$5),4)&gt;0,INDEX('Surface DEET'!$Q$9:$W$38,COLUMN(J253)-COLUMN($E$5),4),$E260),0)</f>
        <v>0</v>
      </c>
      <c r="K260" s="295">
        <f>IF(K$6=$C260,IF(INDEX('Surface DEET'!$Q$9:$W$38,COLUMN(K253)-COLUMN($E$5),4)&gt;0,INDEX('Surface DEET'!$Q$9:$W$38,COLUMN(K253)-COLUMN($E$5),4),$E260),0)</f>
        <v>0</v>
      </c>
      <c r="L260" s="295">
        <f>IF(L$6=$C260,IF(INDEX('Surface DEET'!$Q$9:$W$38,COLUMN(L253)-COLUMN($E$5),4)&gt;0,INDEX('Surface DEET'!$Q$9:$W$38,COLUMN(L253)-COLUMN($E$5),4),$E260),0)</f>
        <v>0</v>
      </c>
      <c r="M260" s="295">
        <f>IF(M$6=$C260,IF(INDEX('Surface DEET'!$Q$9:$W$38,COLUMN(M253)-COLUMN($E$5),4)&gt;0,INDEX('Surface DEET'!$Q$9:$W$38,COLUMN(M253)-COLUMN($E$5),4),$E260),0)</f>
        <v>0</v>
      </c>
      <c r="N260" s="295">
        <f>IF(N$6=$C260,IF(INDEX('Surface DEET'!$Q$9:$W$38,COLUMN(N253)-COLUMN($E$5),4)&gt;0,INDEX('Surface DEET'!$Q$9:$W$38,COLUMN(N253)-COLUMN($E$5),4),$E260),0)</f>
        <v>0</v>
      </c>
      <c r="O260" s="295">
        <f>IF(O$6=$C260,IF(INDEX('Surface DEET'!$Q$9:$W$38,COLUMN(O253)-COLUMN($E$5),4)&gt;0,INDEX('Surface DEET'!$Q$9:$W$38,COLUMN(O253)-COLUMN($E$5),4),$E260),0)</f>
        <v>0</v>
      </c>
      <c r="P260" s="295">
        <f>IF(P$6=$C260,IF(INDEX('Surface DEET'!$Q$9:$W$38,COLUMN(P253)-COLUMN($E$5),4)&gt;0,INDEX('Surface DEET'!$Q$9:$W$38,COLUMN(P253)-COLUMN($E$5),4),$E260),0)</f>
        <v>0</v>
      </c>
      <c r="Q260" s="295">
        <f>IF(Q$6=$C260,IF(INDEX('Surface DEET'!$Q$9:$W$38,COLUMN(Q253)-COLUMN($E$5),4)&gt;0,INDEX('Surface DEET'!$Q$9:$W$38,COLUMN(Q253)-COLUMN($E$5),4),$E260),0)</f>
        <v>0</v>
      </c>
      <c r="R260" s="295">
        <f>IF(R$6=$C260,IF(INDEX('Surface DEET'!$Q$9:$W$38,COLUMN(R253)-COLUMN($E$5),4)&gt;0,INDEX('Surface DEET'!$Q$9:$W$38,COLUMN(R253)-COLUMN($E$5),4),$E260),0)</f>
        <v>0</v>
      </c>
      <c r="S260" s="295">
        <f>IF(S$6=$C260,IF(INDEX('Surface DEET'!$Q$9:$W$38,COLUMN(S253)-COLUMN($E$5),4)&gt;0,INDEX('Surface DEET'!$Q$9:$W$38,COLUMN(S253)-COLUMN($E$5),4),$E260),0)</f>
        <v>0</v>
      </c>
      <c r="T260" s="295">
        <f>IF(T$6=$C260,IF(INDEX('Surface DEET'!$Q$9:$W$38,COLUMN(T253)-COLUMN($E$5),4)&gt;0,INDEX('Surface DEET'!$Q$9:$W$38,COLUMN(T253)-COLUMN($E$5),4),$E260),0)</f>
        <v>0</v>
      </c>
      <c r="U260" s="295">
        <f>IF(U$6=$C260,IF(INDEX('Surface DEET'!$Q$9:$W$38,COLUMN(U253)-COLUMN($E$5),4)&gt;0,INDEX('Surface DEET'!$Q$9:$W$38,COLUMN(U253)-COLUMN($E$5),4),$E260),0)</f>
        <v>0</v>
      </c>
      <c r="V260" s="295">
        <f>IF(V$6=$C260,IF(INDEX('Surface DEET'!$Q$9:$W$38,COLUMN(V253)-COLUMN($E$5),4)&gt;0,INDEX('Surface DEET'!$Q$9:$W$38,COLUMN(V253)-COLUMN($E$5),4),$E260),0)</f>
        <v>0</v>
      </c>
      <c r="W260" s="295">
        <f>IF(W$6=$C260,IF(INDEX('Surface DEET'!$Q$9:$W$38,COLUMN(W253)-COLUMN($E$5),4)&gt;0,INDEX('Surface DEET'!$Q$9:$W$38,COLUMN(W253)-COLUMN($E$5),4),$E260),0)</f>
        <v>0</v>
      </c>
      <c r="X260" s="295">
        <f>IF(X$6=$C260,IF(INDEX('Surface DEET'!$Q$9:$W$38,COLUMN(X253)-COLUMN($E$5),4)&gt;0,INDEX('Surface DEET'!$Q$9:$W$38,COLUMN(X253)-COLUMN($E$5),4),$E260),0)</f>
        <v>0</v>
      </c>
      <c r="Y260" s="295">
        <f>IF(Y$6=$C260,IF(INDEX('Surface DEET'!$Q$9:$W$38,COLUMN(Y253)-COLUMN($E$5),4)&gt;0,INDEX('Surface DEET'!$Q$9:$W$38,COLUMN(Y253)-COLUMN($E$5),4),$E260),0)</f>
        <v>0</v>
      </c>
      <c r="Z260" s="295">
        <f>IF(Z$6=$C260,IF(INDEX('Surface DEET'!$Q$9:$W$38,COLUMN(Z253)-COLUMN($E$5),4)&gt;0,INDEX('Surface DEET'!$Q$9:$W$38,COLUMN(Z253)-COLUMN($E$5),4),$E260),0)</f>
        <v>0</v>
      </c>
      <c r="AA260" s="295">
        <f>IF(AA$6=$C260,IF(INDEX('Surface DEET'!$Q$9:$W$38,COLUMN(AA253)-COLUMN($E$5),4)&gt;0,INDEX('Surface DEET'!$Q$9:$W$38,COLUMN(AA253)-COLUMN($E$5),4),$E260),0)</f>
        <v>0</v>
      </c>
      <c r="AB260" s="295">
        <f>IF(AB$6=$C260,IF(INDEX('Surface DEET'!$Q$9:$W$38,COLUMN(AB253)-COLUMN($E$5),4)&gt;0,INDEX('Surface DEET'!$Q$9:$W$38,COLUMN(AB253)-COLUMN($E$5),4),$E260),0)</f>
        <v>0</v>
      </c>
      <c r="AC260" s="295">
        <f>IF(AC$6=$C260,IF(INDEX('Surface DEET'!$Q$9:$W$38,COLUMN(AC253)-COLUMN($E$5),4)&gt;0,INDEX('Surface DEET'!$Q$9:$W$38,COLUMN(AC253)-COLUMN($E$5),4),$E260),0)</f>
        <v>0</v>
      </c>
      <c r="AD260" s="295">
        <f>IF(AD$6=$C260,IF(INDEX('Surface DEET'!$Q$9:$W$38,COLUMN(AD253)-COLUMN($E$5),4)&gt;0,INDEX('Surface DEET'!$Q$9:$W$38,COLUMN(AD253)-COLUMN($E$5),4),$E260),0)</f>
        <v>0</v>
      </c>
      <c r="AE260" s="295">
        <f>IF(AE$6=$C260,IF(INDEX('Surface DEET'!$Q$9:$W$38,COLUMN(AE253)-COLUMN($E$5),4)&gt;0,INDEX('Surface DEET'!$Q$9:$W$38,COLUMN(AE253)-COLUMN($E$5),4),$E260),0)</f>
        <v>0</v>
      </c>
      <c r="AF260" s="295">
        <f>IF(AF$6=$C260,IF(INDEX('Surface DEET'!$Q$9:$W$38,COLUMN(AF253)-COLUMN($E$5),4)&gt;0,INDEX('Surface DEET'!$Q$9:$W$38,COLUMN(AF253)-COLUMN($E$5),4),$E260),0)</f>
        <v>0</v>
      </c>
      <c r="AG260" s="295">
        <f>IF(AG$6=$C260,IF(INDEX('Surface DEET'!$Q$9:$W$38,COLUMN(AG253)-COLUMN($E$5),4)&gt;0,INDEX('Surface DEET'!$Q$9:$W$38,COLUMN(AG253)-COLUMN($E$5),4),$E260),0)</f>
        <v>0</v>
      </c>
      <c r="AH260" s="295">
        <f>IF(AH$6=$C260,IF(INDEX('Surface DEET'!$Q$9:$W$38,COLUMN(AH253)-COLUMN($E$5),4)&gt;0,INDEX('Surface DEET'!$Q$9:$W$38,COLUMN(AH253)-COLUMN($E$5),4),$E260),0)</f>
        <v>0</v>
      </c>
      <c r="AI260" s="295">
        <f>IF(AI$6=$C260,IF(INDEX('Surface DEET'!$Q$9:$W$38,COLUMN(AI253)-COLUMN($E$5),4)&gt;0,INDEX('Surface DEET'!$Q$9:$W$38,COLUMN(AI253)-COLUMN($E$5),4),$E260),0)</f>
        <v>0</v>
      </c>
    </row>
    <row r="261" spans="2:35">
      <c r="B261" s="295" t="s">
        <v>552</v>
      </c>
      <c r="C261" s="295" t="s">
        <v>662</v>
      </c>
      <c r="D261" s="343" t="s">
        <v>594</v>
      </c>
      <c r="E261" s="295">
        <v>70</v>
      </c>
      <c r="F261" s="295">
        <f>IF(F$6=$C261,IF(INDEX('Surface DEET'!$Q$9:$W$38,COLUMN(F254)-COLUMN($E$5),7)&gt;0,INDEX('Surface DEET'!$Q$9:$W$38,COLUMN(F254)-COLUMN($E$5),7),$E261),0)</f>
        <v>0</v>
      </c>
      <c r="G261" s="295">
        <f>IF(G$6=$C261,IF(INDEX('Surface DEET'!$Q$9:$W$38,COLUMN(G254)-COLUMN($E$5),7)&gt;0,INDEX('Surface DEET'!$Q$9:$W$38,COLUMN(G254)-COLUMN($E$5),7),$E261),0)</f>
        <v>0</v>
      </c>
      <c r="H261" s="295">
        <f>IF(H$6=$C261,IF(INDEX('Surface DEET'!$Q$9:$W$38,COLUMN(H254)-COLUMN($E$5),7)&gt;0,INDEX('Surface DEET'!$Q$9:$W$38,COLUMN(H254)-COLUMN($E$5),7),$E261),0)</f>
        <v>0</v>
      </c>
      <c r="I261" s="295">
        <f>IF(I$6=$C261,IF(INDEX('Surface DEET'!$Q$9:$W$38,COLUMN(I254)-COLUMN($E$5),7)&gt;0,INDEX('Surface DEET'!$Q$9:$W$38,COLUMN(I254)-COLUMN($E$5),7),$E261),0)</f>
        <v>0</v>
      </c>
      <c r="J261" s="295">
        <f>IF(J$6=$C261,IF(INDEX('Surface DEET'!$Q$9:$W$38,COLUMN(J254)-COLUMN($E$5),7)&gt;0,INDEX('Surface DEET'!$Q$9:$W$38,COLUMN(J254)-COLUMN($E$5),7),$E261),0)</f>
        <v>0</v>
      </c>
      <c r="K261" s="295">
        <f>IF(K$6=$C261,IF(INDEX('Surface DEET'!$Q$9:$W$38,COLUMN(K254)-COLUMN($E$5),7)&gt;0,INDEX('Surface DEET'!$Q$9:$W$38,COLUMN(K254)-COLUMN($E$5),7),$E261),0)</f>
        <v>0</v>
      </c>
      <c r="L261" s="295">
        <f>IF(L$6=$C261,IF(INDEX('Surface DEET'!$Q$9:$W$38,COLUMN(L254)-COLUMN($E$5),7)&gt;0,INDEX('Surface DEET'!$Q$9:$W$38,COLUMN(L254)-COLUMN($E$5),7),$E261),0)</f>
        <v>0</v>
      </c>
      <c r="M261" s="295">
        <f>IF(M$6=$C261,IF(INDEX('Surface DEET'!$Q$9:$W$38,COLUMN(M254)-COLUMN($E$5),7)&gt;0,INDEX('Surface DEET'!$Q$9:$W$38,COLUMN(M254)-COLUMN($E$5),7),$E261),0)</f>
        <v>0</v>
      </c>
      <c r="N261" s="295">
        <f>IF(N$6=$C261,IF(INDEX('Surface DEET'!$Q$9:$W$38,COLUMN(N254)-COLUMN($E$5),7)&gt;0,INDEX('Surface DEET'!$Q$9:$W$38,COLUMN(N254)-COLUMN($E$5),7),$E261),0)</f>
        <v>0</v>
      </c>
      <c r="O261" s="295">
        <f>IF(O$6=$C261,IF(INDEX('Surface DEET'!$Q$9:$W$38,COLUMN(O254)-COLUMN($E$5),7)&gt;0,INDEX('Surface DEET'!$Q$9:$W$38,COLUMN(O254)-COLUMN($E$5),7),$E261),0)</f>
        <v>0</v>
      </c>
      <c r="P261" s="295">
        <f>IF(P$6=$C261,IF(INDEX('Surface DEET'!$Q$9:$W$38,COLUMN(P254)-COLUMN($E$5),7)&gt;0,INDEX('Surface DEET'!$Q$9:$W$38,COLUMN(P254)-COLUMN($E$5),7),$E261),0)</f>
        <v>0</v>
      </c>
      <c r="Q261" s="295">
        <f>IF(Q$6=$C261,IF(INDEX('Surface DEET'!$Q$9:$W$38,COLUMN(Q254)-COLUMN($E$5),7)&gt;0,INDEX('Surface DEET'!$Q$9:$W$38,COLUMN(Q254)-COLUMN($E$5),7),$E261),0)</f>
        <v>0</v>
      </c>
      <c r="R261" s="295">
        <f>IF(R$6=$C261,IF(INDEX('Surface DEET'!$Q$9:$W$38,COLUMN(R254)-COLUMN($E$5),7)&gt;0,INDEX('Surface DEET'!$Q$9:$W$38,COLUMN(R254)-COLUMN($E$5),7),$E261),0)</f>
        <v>0</v>
      </c>
      <c r="S261" s="295">
        <f>IF(S$6=$C261,IF(INDEX('Surface DEET'!$Q$9:$W$38,COLUMN(S254)-COLUMN($E$5),7)&gt;0,INDEX('Surface DEET'!$Q$9:$W$38,COLUMN(S254)-COLUMN($E$5),7),$E261),0)</f>
        <v>0</v>
      </c>
      <c r="T261" s="295">
        <f>IF(T$6=$C261,IF(INDEX('Surface DEET'!$Q$9:$W$38,COLUMN(T254)-COLUMN($E$5),7)&gt;0,INDEX('Surface DEET'!$Q$9:$W$38,COLUMN(T254)-COLUMN($E$5),7),$E261),0)</f>
        <v>0</v>
      </c>
      <c r="U261" s="295">
        <f>IF(U$6=$C261,IF(INDEX('Surface DEET'!$Q$9:$W$38,COLUMN(U254)-COLUMN($E$5),7)&gt;0,INDEX('Surface DEET'!$Q$9:$W$38,COLUMN(U254)-COLUMN($E$5),7),$E261),0)</f>
        <v>0</v>
      </c>
      <c r="V261" s="295">
        <f>IF(V$6=$C261,IF(INDEX('Surface DEET'!$Q$9:$W$38,COLUMN(V254)-COLUMN($E$5),7)&gt;0,INDEX('Surface DEET'!$Q$9:$W$38,COLUMN(V254)-COLUMN($E$5),7),$E261),0)</f>
        <v>0</v>
      </c>
      <c r="W261" s="295">
        <f>IF(W$6=$C261,IF(INDEX('Surface DEET'!$Q$9:$W$38,COLUMN(W254)-COLUMN($E$5),7)&gt;0,INDEX('Surface DEET'!$Q$9:$W$38,COLUMN(W254)-COLUMN($E$5),7),$E261),0)</f>
        <v>0</v>
      </c>
      <c r="X261" s="295">
        <f>IF(X$6=$C261,IF(INDEX('Surface DEET'!$Q$9:$W$38,COLUMN(X254)-COLUMN($E$5),7)&gt;0,INDEX('Surface DEET'!$Q$9:$W$38,COLUMN(X254)-COLUMN($E$5),7),$E261),0)</f>
        <v>0</v>
      </c>
      <c r="Y261" s="295">
        <f>IF(Y$6=$C261,IF(INDEX('Surface DEET'!$Q$9:$W$38,COLUMN(Y254)-COLUMN($E$5),7)&gt;0,INDEX('Surface DEET'!$Q$9:$W$38,COLUMN(Y254)-COLUMN($E$5),7),$E261),0)</f>
        <v>0</v>
      </c>
      <c r="Z261" s="295">
        <f>IF(Z$6=$C261,IF(INDEX('Surface DEET'!$Q$9:$W$38,COLUMN(Z254)-COLUMN($E$5),7)&gt;0,INDEX('Surface DEET'!$Q$9:$W$38,COLUMN(Z254)-COLUMN($E$5),7),$E261),0)</f>
        <v>0</v>
      </c>
      <c r="AA261" s="295">
        <f>IF(AA$6=$C261,IF(INDEX('Surface DEET'!$Q$9:$W$38,COLUMN(AA254)-COLUMN($E$5),7)&gt;0,INDEX('Surface DEET'!$Q$9:$W$38,COLUMN(AA254)-COLUMN($E$5),7),$E261),0)</f>
        <v>0</v>
      </c>
      <c r="AB261" s="295">
        <f>IF(AB$6=$C261,IF(INDEX('Surface DEET'!$Q$9:$W$38,COLUMN(AB254)-COLUMN($E$5),7)&gt;0,INDEX('Surface DEET'!$Q$9:$W$38,COLUMN(AB254)-COLUMN($E$5),7),$E261),0)</f>
        <v>0</v>
      </c>
      <c r="AC261" s="295">
        <f>IF(AC$6=$C261,IF(INDEX('Surface DEET'!$Q$9:$W$38,COLUMN(AC254)-COLUMN($E$5),7)&gt;0,INDEX('Surface DEET'!$Q$9:$W$38,COLUMN(AC254)-COLUMN($E$5),7),$E261),0)</f>
        <v>0</v>
      </c>
      <c r="AD261" s="295">
        <f>IF(AD$6=$C261,IF(INDEX('Surface DEET'!$Q$9:$W$38,COLUMN(AD254)-COLUMN($E$5),7)&gt;0,INDEX('Surface DEET'!$Q$9:$W$38,COLUMN(AD254)-COLUMN($E$5),7),$E261),0)</f>
        <v>0</v>
      </c>
      <c r="AE261" s="295">
        <f>IF(AE$6=$C261,IF(INDEX('Surface DEET'!$Q$9:$W$38,COLUMN(AE254)-COLUMN($E$5),7)&gt;0,INDEX('Surface DEET'!$Q$9:$W$38,COLUMN(AE254)-COLUMN($E$5),7),$E261),0)</f>
        <v>0</v>
      </c>
      <c r="AF261" s="295">
        <f>IF(AF$6=$C261,IF(INDEX('Surface DEET'!$Q$9:$W$38,COLUMN(AF254)-COLUMN($E$5),7)&gt;0,INDEX('Surface DEET'!$Q$9:$W$38,COLUMN(AF254)-COLUMN($E$5),7),$E261),0)</f>
        <v>0</v>
      </c>
      <c r="AG261" s="295">
        <f>IF(AG$6=$C261,IF(INDEX('Surface DEET'!$Q$9:$W$38,COLUMN(AG254)-COLUMN($E$5),7)&gt;0,INDEX('Surface DEET'!$Q$9:$W$38,COLUMN(AG254)-COLUMN($E$5),7),$E261),0)</f>
        <v>0</v>
      </c>
      <c r="AH261" s="295">
        <f>IF(AH$6=$C261,IF(INDEX('Surface DEET'!$Q$9:$W$38,COLUMN(AH254)-COLUMN($E$5),7)&gt;0,INDEX('Surface DEET'!$Q$9:$W$38,COLUMN(AH254)-COLUMN($E$5),7),$E261),0)</f>
        <v>0</v>
      </c>
      <c r="AI261" s="295">
        <f>IF(AI$6=$C261,IF(INDEX('Surface DEET'!$Q$9:$W$38,COLUMN(AI254)-COLUMN($E$5),7)&gt;0,INDEX('Surface DEET'!$Q$9:$W$38,COLUMN(AI254)-COLUMN($E$5),7),$E261),0)</f>
        <v>0</v>
      </c>
    </row>
    <row r="262" spans="2:35">
      <c r="B262" s="295" t="s">
        <v>542</v>
      </c>
      <c r="C262" s="295" t="s">
        <v>662</v>
      </c>
      <c r="D262" s="295" t="s">
        <v>542</v>
      </c>
      <c r="F262" s="295">
        <f>$E$256*(F259/$E$259)*($E$258*(F260/$E$260)*(F261/$E$261)+(1-$E$258))+0.28*$E$255*(F259-$E$259)/$E$259</f>
        <v>-14.000000000000002</v>
      </c>
      <c r="G262" s="295">
        <f t="shared" ref="G262:AI262" si="31">$E$256*(G259/$E$259)*($E$258*(G260/$E$260)*(G261/$E$261)+(1-$E$258))+0.28*$E$255*(G259-$E$259)/$E$259</f>
        <v>-14.000000000000002</v>
      </c>
      <c r="H262" s="295">
        <f t="shared" si="31"/>
        <v>-14.000000000000002</v>
      </c>
      <c r="I262" s="295">
        <f t="shared" si="31"/>
        <v>-14.000000000000002</v>
      </c>
      <c r="J262" s="295">
        <f t="shared" si="31"/>
        <v>-14.000000000000002</v>
      </c>
      <c r="K262" s="295">
        <f t="shared" si="31"/>
        <v>-14.000000000000002</v>
      </c>
      <c r="L262" s="295">
        <f t="shared" si="31"/>
        <v>-14.000000000000002</v>
      </c>
      <c r="M262" s="295">
        <f t="shared" si="31"/>
        <v>-14.000000000000002</v>
      </c>
      <c r="N262" s="295">
        <f t="shared" si="31"/>
        <v>-14.000000000000002</v>
      </c>
      <c r="O262" s="295">
        <f t="shared" si="31"/>
        <v>-14.000000000000002</v>
      </c>
      <c r="P262" s="295">
        <f t="shared" si="31"/>
        <v>-14.000000000000002</v>
      </c>
      <c r="Q262" s="295">
        <f t="shared" si="31"/>
        <v>-14.000000000000002</v>
      </c>
      <c r="R262" s="295">
        <f t="shared" si="31"/>
        <v>-14.000000000000002</v>
      </c>
      <c r="S262" s="295">
        <f t="shared" si="31"/>
        <v>-14.000000000000002</v>
      </c>
      <c r="T262" s="295">
        <f t="shared" si="31"/>
        <v>-14.000000000000002</v>
      </c>
      <c r="U262" s="295">
        <f t="shared" si="31"/>
        <v>-14.000000000000002</v>
      </c>
      <c r="V262" s="295">
        <f t="shared" si="31"/>
        <v>-14.000000000000002</v>
      </c>
      <c r="W262" s="295">
        <f t="shared" si="31"/>
        <v>-14.000000000000002</v>
      </c>
      <c r="X262" s="295">
        <f t="shared" si="31"/>
        <v>-14.000000000000002</v>
      </c>
      <c r="Y262" s="295">
        <f t="shared" si="31"/>
        <v>-14.000000000000002</v>
      </c>
      <c r="Z262" s="295">
        <f t="shared" si="31"/>
        <v>-14.000000000000002</v>
      </c>
      <c r="AA262" s="295">
        <f t="shared" si="31"/>
        <v>-14.000000000000002</v>
      </c>
      <c r="AB262" s="295">
        <f t="shared" si="31"/>
        <v>-14.000000000000002</v>
      </c>
      <c r="AC262" s="295">
        <f t="shared" si="31"/>
        <v>-14.000000000000002</v>
      </c>
      <c r="AD262" s="295">
        <f t="shared" si="31"/>
        <v>-14.000000000000002</v>
      </c>
      <c r="AE262" s="295">
        <f t="shared" si="31"/>
        <v>-14.000000000000002</v>
      </c>
      <c r="AF262" s="295">
        <f t="shared" si="31"/>
        <v>-14.000000000000002</v>
      </c>
      <c r="AG262" s="295">
        <f t="shared" si="31"/>
        <v>-14.000000000000002</v>
      </c>
      <c r="AH262" s="295">
        <f t="shared" si="31"/>
        <v>-14.000000000000002</v>
      </c>
      <c r="AI262" s="295">
        <f t="shared" si="31"/>
        <v>-14.000000000000002</v>
      </c>
    </row>
    <row r="263" spans="2:35">
      <c r="B263" s="93" t="s">
        <v>301</v>
      </c>
      <c r="C263" s="295" t="s">
        <v>663</v>
      </c>
      <c r="D263" s="93" t="s">
        <v>301</v>
      </c>
      <c r="E263" s="295">
        <f t="array" ref="E263">INDEX(CABS_CVC!$C$3:$O$894,MATCH(1, (CABS_CVC!$A$3:$A$894=Calculs_CABS!C263)*(CABS_CVC!$B$3:$B$894=Calculs_CABS!$D$2),0),MATCH(Calculs_CABS!$D$1,Liste_CABS!$B$3:$B$15,0))</f>
        <v>50</v>
      </c>
    </row>
    <row r="264" spans="2:35">
      <c r="B264" s="295" t="s">
        <v>543</v>
      </c>
      <c r="C264" s="295" t="s">
        <v>663</v>
      </c>
      <c r="D264" s="295" t="s">
        <v>543</v>
      </c>
      <c r="E264" s="295">
        <v>21</v>
      </c>
    </row>
    <row r="265" spans="2:35">
      <c r="B265" s="295" t="s">
        <v>544</v>
      </c>
      <c r="C265" s="295" t="s">
        <v>663</v>
      </c>
      <c r="D265" s="295" t="s">
        <v>544</v>
      </c>
      <c r="E265" s="295">
        <f>E263+E264</f>
        <v>71</v>
      </c>
    </row>
    <row r="266" spans="2:35">
      <c r="B266" s="295" t="s">
        <v>545</v>
      </c>
      <c r="C266" s="295" t="s">
        <v>663</v>
      </c>
      <c r="D266" s="295" t="s">
        <v>545</v>
      </c>
      <c r="E266" s="295">
        <v>0.95</v>
      </c>
    </row>
    <row r="267" spans="2:35">
      <c r="B267" s="295" t="s">
        <v>546</v>
      </c>
      <c r="C267" s="295" t="s">
        <v>663</v>
      </c>
      <c r="D267" s="343" t="s">
        <v>592</v>
      </c>
      <c r="E267" s="295">
        <v>3120</v>
      </c>
      <c r="F267" s="295">
        <f>IF(F$6=$C267,IF(INDEX('Surface DEET'!$Q$9:$W$38,COLUMN(F260)-COLUMN($E$5),1)&gt;0,INDEX('Surface DEET'!$Q$9:$W$38,COLUMN(F260)-COLUMN($E$5),1),$E267),0)</f>
        <v>0</v>
      </c>
      <c r="G267" s="295">
        <f>IF(G$6=$C267,IF(INDEX('Surface DEET'!$Q$9:$W$38,COLUMN(G260)-COLUMN($E$5),1)&gt;0,INDEX('Surface DEET'!$Q$9:$W$38,COLUMN(G260)-COLUMN($E$5),1),$E267),0)</f>
        <v>0</v>
      </c>
      <c r="H267" s="295">
        <f>IF(H$6=$C267,IF(INDEX('Surface DEET'!$Q$9:$W$38,COLUMN(H260)-COLUMN($E$5),1)&gt;0,INDEX('Surface DEET'!$Q$9:$W$38,COLUMN(H260)-COLUMN($E$5),1),$E267),0)</f>
        <v>0</v>
      </c>
      <c r="I267" s="295">
        <f>IF(I$6=$C267,IF(INDEX('Surface DEET'!$Q$9:$W$38,COLUMN(I260)-COLUMN($E$5),1)&gt;0,INDEX('Surface DEET'!$Q$9:$W$38,COLUMN(I260)-COLUMN($E$5),1),$E267),0)</f>
        <v>0</v>
      </c>
      <c r="J267" s="295">
        <f>IF(J$6=$C267,IF(INDEX('Surface DEET'!$Q$9:$W$38,COLUMN(J260)-COLUMN($E$5),1)&gt;0,INDEX('Surface DEET'!$Q$9:$W$38,COLUMN(J260)-COLUMN($E$5),1),$E267),0)</f>
        <v>0</v>
      </c>
      <c r="K267" s="295">
        <f>IF(K$6=$C267,IF(INDEX('Surface DEET'!$Q$9:$W$38,COLUMN(K260)-COLUMN($E$5),1)&gt;0,INDEX('Surface DEET'!$Q$9:$W$38,COLUMN(K260)-COLUMN($E$5),1),$E267),0)</f>
        <v>0</v>
      </c>
      <c r="L267" s="295">
        <f>IF(L$6=$C267,IF(INDEX('Surface DEET'!$Q$9:$W$38,COLUMN(L260)-COLUMN($E$5),1)&gt;0,INDEX('Surface DEET'!$Q$9:$W$38,COLUMN(L260)-COLUMN($E$5),1),$E267),0)</f>
        <v>0</v>
      </c>
      <c r="M267" s="295">
        <f>IF(M$6=$C267,IF(INDEX('Surface DEET'!$Q$9:$W$38,COLUMN(M260)-COLUMN($E$5),1)&gt;0,INDEX('Surface DEET'!$Q$9:$W$38,COLUMN(M260)-COLUMN($E$5),1),$E267),0)</f>
        <v>0</v>
      </c>
      <c r="N267" s="295">
        <f>IF(N$6=$C267,IF(INDEX('Surface DEET'!$Q$9:$W$38,COLUMN(N260)-COLUMN($E$5),1)&gt;0,INDEX('Surface DEET'!$Q$9:$W$38,COLUMN(N260)-COLUMN($E$5),1),$E267),0)</f>
        <v>0</v>
      </c>
      <c r="O267" s="295">
        <f>IF(O$6=$C267,IF(INDEX('Surface DEET'!$Q$9:$W$38,COLUMN(O260)-COLUMN($E$5),1)&gt;0,INDEX('Surface DEET'!$Q$9:$W$38,COLUMN(O260)-COLUMN($E$5),1),$E267),0)</f>
        <v>0</v>
      </c>
      <c r="P267" s="295">
        <f>IF(P$6=$C267,IF(INDEX('Surface DEET'!$Q$9:$W$38,COLUMN(P260)-COLUMN($E$5),1)&gt;0,INDEX('Surface DEET'!$Q$9:$W$38,COLUMN(P260)-COLUMN($E$5),1),$E267),0)</f>
        <v>0</v>
      </c>
      <c r="Q267" s="295">
        <f>IF(Q$6=$C267,IF(INDEX('Surface DEET'!$Q$9:$W$38,COLUMN(Q260)-COLUMN($E$5),1)&gt;0,INDEX('Surface DEET'!$Q$9:$W$38,COLUMN(Q260)-COLUMN($E$5),1),$E267),0)</f>
        <v>0</v>
      </c>
      <c r="R267" s="295">
        <f>IF(R$6=$C267,IF(INDEX('Surface DEET'!$Q$9:$W$38,COLUMN(R260)-COLUMN($E$5),1)&gt;0,INDEX('Surface DEET'!$Q$9:$W$38,COLUMN(R260)-COLUMN($E$5),1),$E267),0)</f>
        <v>0</v>
      </c>
      <c r="S267" s="295">
        <f>IF(S$6=$C267,IF(INDEX('Surface DEET'!$Q$9:$W$38,COLUMN(S260)-COLUMN($E$5),1)&gt;0,INDEX('Surface DEET'!$Q$9:$W$38,COLUMN(S260)-COLUMN($E$5),1),$E267),0)</f>
        <v>0</v>
      </c>
      <c r="T267" s="295">
        <f>IF(T$6=$C267,IF(INDEX('Surface DEET'!$Q$9:$W$38,COLUMN(T260)-COLUMN($E$5),1)&gt;0,INDEX('Surface DEET'!$Q$9:$W$38,COLUMN(T260)-COLUMN($E$5),1),$E267),0)</f>
        <v>0</v>
      </c>
      <c r="U267" s="295">
        <f>IF(U$6=$C267,IF(INDEX('Surface DEET'!$Q$9:$W$38,COLUMN(U260)-COLUMN($E$5),1)&gt;0,INDEX('Surface DEET'!$Q$9:$W$38,COLUMN(U260)-COLUMN($E$5),1),$E267),0)</f>
        <v>0</v>
      </c>
      <c r="V267" s="295">
        <f>IF(V$6=$C267,IF(INDEX('Surface DEET'!$Q$9:$W$38,COLUMN(V260)-COLUMN($E$5),1)&gt;0,INDEX('Surface DEET'!$Q$9:$W$38,COLUMN(V260)-COLUMN($E$5),1),$E267),0)</f>
        <v>0</v>
      </c>
      <c r="W267" s="295">
        <f>IF(W$6=$C267,IF(INDEX('Surface DEET'!$Q$9:$W$38,COLUMN(W260)-COLUMN($E$5),1)&gt;0,INDEX('Surface DEET'!$Q$9:$W$38,COLUMN(W260)-COLUMN($E$5),1),$E267),0)</f>
        <v>0</v>
      </c>
      <c r="X267" s="295">
        <f>IF(X$6=$C267,IF(INDEX('Surface DEET'!$Q$9:$W$38,COLUMN(X260)-COLUMN($E$5),1)&gt;0,INDEX('Surface DEET'!$Q$9:$W$38,COLUMN(X260)-COLUMN($E$5),1),$E267),0)</f>
        <v>0</v>
      </c>
      <c r="Y267" s="295">
        <f>IF(Y$6=$C267,IF(INDEX('Surface DEET'!$Q$9:$W$38,COLUMN(Y260)-COLUMN($E$5),1)&gt;0,INDEX('Surface DEET'!$Q$9:$W$38,COLUMN(Y260)-COLUMN($E$5),1),$E267),0)</f>
        <v>0</v>
      </c>
      <c r="Z267" s="295">
        <f>IF(Z$6=$C267,IF(INDEX('Surface DEET'!$Q$9:$W$38,COLUMN(Z260)-COLUMN($E$5),1)&gt;0,INDEX('Surface DEET'!$Q$9:$W$38,COLUMN(Z260)-COLUMN($E$5),1),$E267),0)</f>
        <v>0</v>
      </c>
      <c r="AA267" s="295">
        <f>IF(AA$6=$C267,IF(INDEX('Surface DEET'!$Q$9:$W$38,COLUMN(AA260)-COLUMN($E$5),1)&gt;0,INDEX('Surface DEET'!$Q$9:$W$38,COLUMN(AA260)-COLUMN($E$5),1),$E267),0)</f>
        <v>0</v>
      </c>
      <c r="AB267" s="295">
        <f>IF(AB$6=$C267,IF(INDEX('Surface DEET'!$Q$9:$W$38,COLUMN(AB260)-COLUMN($E$5),1)&gt;0,INDEX('Surface DEET'!$Q$9:$W$38,COLUMN(AB260)-COLUMN($E$5),1),$E267),0)</f>
        <v>0</v>
      </c>
      <c r="AC267" s="295">
        <f>IF(AC$6=$C267,IF(INDEX('Surface DEET'!$Q$9:$W$38,COLUMN(AC260)-COLUMN($E$5),1)&gt;0,INDEX('Surface DEET'!$Q$9:$W$38,COLUMN(AC260)-COLUMN($E$5),1),$E267),0)</f>
        <v>0</v>
      </c>
      <c r="AD267" s="295">
        <f>IF(AD$6=$C267,IF(INDEX('Surface DEET'!$Q$9:$W$38,COLUMN(AD260)-COLUMN($E$5),1)&gt;0,INDEX('Surface DEET'!$Q$9:$W$38,COLUMN(AD260)-COLUMN($E$5),1),$E267),0)</f>
        <v>0</v>
      </c>
      <c r="AE267" s="295">
        <f>IF(AE$6=$C267,IF(INDEX('Surface DEET'!$Q$9:$W$38,COLUMN(AE260)-COLUMN($E$5),1)&gt;0,INDEX('Surface DEET'!$Q$9:$W$38,COLUMN(AE260)-COLUMN($E$5),1),$E267),0)</f>
        <v>0</v>
      </c>
      <c r="AF267" s="295">
        <f>IF(AF$6=$C267,IF(INDEX('Surface DEET'!$Q$9:$W$38,COLUMN(AF260)-COLUMN($E$5),1)&gt;0,INDEX('Surface DEET'!$Q$9:$W$38,COLUMN(AF260)-COLUMN($E$5),1),$E267),0)</f>
        <v>0</v>
      </c>
      <c r="AG267" s="295">
        <f>IF(AG$6=$C267,IF(INDEX('Surface DEET'!$Q$9:$W$38,COLUMN(AG260)-COLUMN($E$5),1)&gt;0,INDEX('Surface DEET'!$Q$9:$W$38,COLUMN(AG260)-COLUMN($E$5),1),$E267),0)</f>
        <v>0</v>
      </c>
      <c r="AH267" s="295">
        <f>IF(AH$6=$C267,IF(INDEX('Surface DEET'!$Q$9:$W$38,COLUMN(AH260)-COLUMN($E$5),1)&gt;0,INDEX('Surface DEET'!$Q$9:$W$38,COLUMN(AH260)-COLUMN($E$5),1),$E267),0)</f>
        <v>0</v>
      </c>
      <c r="AI267" s="295">
        <f>IF(AI$6=$C267,IF(INDEX('Surface DEET'!$Q$9:$W$38,COLUMN(AI260)-COLUMN($E$5),1)&gt;0,INDEX('Surface DEET'!$Q$9:$W$38,COLUMN(AI260)-COLUMN($E$5),1),$E267),0)</f>
        <v>0</v>
      </c>
    </row>
    <row r="268" spans="2:35">
      <c r="B268" s="295" t="s">
        <v>549</v>
      </c>
      <c r="C268" s="295" t="s">
        <v>663</v>
      </c>
      <c r="D268" s="343" t="s">
        <v>664</v>
      </c>
      <c r="E268" s="295">
        <v>25</v>
      </c>
      <c r="F268" s="295">
        <f>IF(F$6=$C268,IF(INDEX('Surface DEET'!$Q$9:$W$38,COLUMN(F261)-COLUMN($E$5),4)&gt;0,INDEX('Surface DEET'!$Q$9:$W$38,COLUMN(F261)-COLUMN($E$5),4),$E268),0)</f>
        <v>0</v>
      </c>
      <c r="G268" s="295">
        <f>IF(G$6=$C268,IF(INDEX('Surface DEET'!$Q$9:$W$38,COLUMN(G261)-COLUMN($E$5),4)&gt;0,INDEX('Surface DEET'!$Q$9:$W$38,COLUMN(G261)-COLUMN($E$5),4),$E268),0)</f>
        <v>0</v>
      </c>
      <c r="H268" s="295">
        <f>IF(H$6=$C268,IF(INDEX('Surface DEET'!$Q$9:$W$38,COLUMN(H261)-COLUMN($E$5),4)&gt;0,INDEX('Surface DEET'!$Q$9:$W$38,COLUMN(H261)-COLUMN($E$5),4),$E268),0)</f>
        <v>0</v>
      </c>
      <c r="I268" s="295">
        <f>IF(I$6=$C268,IF(INDEX('Surface DEET'!$Q$9:$W$38,COLUMN(I261)-COLUMN($E$5),4)&gt;0,INDEX('Surface DEET'!$Q$9:$W$38,COLUMN(I261)-COLUMN($E$5),4),$E268),0)</f>
        <v>0</v>
      </c>
      <c r="J268" s="295">
        <f>IF(J$6=$C268,IF(INDEX('Surface DEET'!$Q$9:$W$38,COLUMN(J261)-COLUMN($E$5),4)&gt;0,INDEX('Surface DEET'!$Q$9:$W$38,COLUMN(J261)-COLUMN($E$5),4),$E268),0)</f>
        <v>0</v>
      </c>
      <c r="K268" s="295">
        <f>IF(K$6=$C268,IF(INDEX('Surface DEET'!$Q$9:$W$38,COLUMN(K261)-COLUMN($E$5),4)&gt;0,INDEX('Surface DEET'!$Q$9:$W$38,COLUMN(K261)-COLUMN($E$5),4),$E268),0)</f>
        <v>0</v>
      </c>
      <c r="L268" s="295">
        <f>IF(L$6=$C268,IF(INDEX('Surface DEET'!$Q$9:$W$38,COLUMN(L261)-COLUMN($E$5),4)&gt;0,INDEX('Surface DEET'!$Q$9:$W$38,COLUMN(L261)-COLUMN($E$5),4),$E268),0)</f>
        <v>0</v>
      </c>
      <c r="M268" s="295">
        <f>IF(M$6=$C268,IF(INDEX('Surface DEET'!$Q$9:$W$38,COLUMN(M261)-COLUMN($E$5),4)&gt;0,INDEX('Surface DEET'!$Q$9:$W$38,COLUMN(M261)-COLUMN($E$5),4),$E268),0)</f>
        <v>0</v>
      </c>
      <c r="N268" s="295">
        <f>IF(N$6=$C268,IF(INDEX('Surface DEET'!$Q$9:$W$38,COLUMN(N261)-COLUMN($E$5),4)&gt;0,INDEX('Surface DEET'!$Q$9:$W$38,COLUMN(N261)-COLUMN($E$5),4),$E268),0)</f>
        <v>0</v>
      </c>
      <c r="O268" s="295">
        <f>IF(O$6=$C268,IF(INDEX('Surface DEET'!$Q$9:$W$38,COLUMN(O261)-COLUMN($E$5),4)&gt;0,INDEX('Surface DEET'!$Q$9:$W$38,COLUMN(O261)-COLUMN($E$5),4),$E268),0)</f>
        <v>0</v>
      </c>
      <c r="P268" s="295">
        <f>IF(P$6=$C268,IF(INDEX('Surface DEET'!$Q$9:$W$38,COLUMN(P261)-COLUMN($E$5),4)&gt;0,INDEX('Surface DEET'!$Q$9:$W$38,COLUMN(P261)-COLUMN($E$5),4),$E268),0)</f>
        <v>0</v>
      </c>
      <c r="Q268" s="295">
        <f>IF(Q$6=$C268,IF(INDEX('Surface DEET'!$Q$9:$W$38,COLUMN(Q261)-COLUMN($E$5),4)&gt;0,INDEX('Surface DEET'!$Q$9:$W$38,COLUMN(Q261)-COLUMN($E$5),4),$E268),0)</f>
        <v>0</v>
      </c>
      <c r="R268" s="295">
        <f>IF(R$6=$C268,IF(INDEX('Surface DEET'!$Q$9:$W$38,COLUMN(R261)-COLUMN($E$5),4)&gt;0,INDEX('Surface DEET'!$Q$9:$W$38,COLUMN(R261)-COLUMN($E$5),4),$E268),0)</f>
        <v>0</v>
      </c>
      <c r="S268" s="295">
        <f>IF(S$6=$C268,IF(INDEX('Surface DEET'!$Q$9:$W$38,COLUMN(S261)-COLUMN($E$5),4)&gt;0,INDEX('Surface DEET'!$Q$9:$W$38,COLUMN(S261)-COLUMN($E$5),4),$E268),0)</f>
        <v>0</v>
      </c>
      <c r="T268" s="295">
        <f>IF(T$6=$C268,IF(INDEX('Surface DEET'!$Q$9:$W$38,COLUMN(T261)-COLUMN($E$5),4)&gt;0,INDEX('Surface DEET'!$Q$9:$W$38,COLUMN(T261)-COLUMN($E$5),4),$E268),0)</f>
        <v>0</v>
      </c>
      <c r="U268" s="295">
        <f>IF(U$6=$C268,IF(INDEX('Surface DEET'!$Q$9:$W$38,COLUMN(U261)-COLUMN($E$5),4)&gt;0,INDEX('Surface DEET'!$Q$9:$W$38,COLUMN(U261)-COLUMN($E$5),4),$E268),0)</f>
        <v>0</v>
      </c>
      <c r="V268" s="295">
        <f>IF(V$6=$C268,IF(INDEX('Surface DEET'!$Q$9:$W$38,COLUMN(V261)-COLUMN($E$5),4)&gt;0,INDEX('Surface DEET'!$Q$9:$W$38,COLUMN(V261)-COLUMN($E$5),4),$E268),0)</f>
        <v>0</v>
      </c>
      <c r="W268" s="295">
        <f>IF(W$6=$C268,IF(INDEX('Surface DEET'!$Q$9:$W$38,COLUMN(W261)-COLUMN($E$5),4)&gt;0,INDEX('Surface DEET'!$Q$9:$W$38,COLUMN(W261)-COLUMN($E$5),4),$E268),0)</f>
        <v>0</v>
      </c>
      <c r="X268" s="295">
        <f>IF(X$6=$C268,IF(INDEX('Surface DEET'!$Q$9:$W$38,COLUMN(X261)-COLUMN($E$5),4)&gt;0,INDEX('Surface DEET'!$Q$9:$W$38,COLUMN(X261)-COLUMN($E$5),4),$E268),0)</f>
        <v>0</v>
      </c>
      <c r="Y268" s="295">
        <f>IF(Y$6=$C268,IF(INDEX('Surface DEET'!$Q$9:$W$38,COLUMN(Y261)-COLUMN($E$5),4)&gt;0,INDEX('Surface DEET'!$Q$9:$W$38,COLUMN(Y261)-COLUMN($E$5),4),$E268),0)</f>
        <v>0</v>
      </c>
      <c r="Z268" s="295">
        <f>IF(Z$6=$C268,IF(INDEX('Surface DEET'!$Q$9:$W$38,COLUMN(Z261)-COLUMN($E$5),4)&gt;0,INDEX('Surface DEET'!$Q$9:$W$38,COLUMN(Z261)-COLUMN($E$5),4),$E268),0)</f>
        <v>0</v>
      </c>
      <c r="AA268" s="295">
        <f>IF(AA$6=$C268,IF(INDEX('Surface DEET'!$Q$9:$W$38,COLUMN(AA261)-COLUMN($E$5),4)&gt;0,INDEX('Surface DEET'!$Q$9:$W$38,COLUMN(AA261)-COLUMN($E$5),4),$E268),0)</f>
        <v>0</v>
      </c>
      <c r="AB268" s="295">
        <f>IF(AB$6=$C268,IF(INDEX('Surface DEET'!$Q$9:$W$38,COLUMN(AB261)-COLUMN($E$5),4)&gt;0,INDEX('Surface DEET'!$Q$9:$W$38,COLUMN(AB261)-COLUMN($E$5),4),$E268),0)</f>
        <v>0</v>
      </c>
      <c r="AC268" s="295">
        <f>IF(AC$6=$C268,IF(INDEX('Surface DEET'!$Q$9:$W$38,COLUMN(AC261)-COLUMN($E$5),4)&gt;0,INDEX('Surface DEET'!$Q$9:$W$38,COLUMN(AC261)-COLUMN($E$5),4),$E268),0)</f>
        <v>0</v>
      </c>
      <c r="AD268" s="295">
        <f>IF(AD$6=$C268,IF(INDEX('Surface DEET'!$Q$9:$W$38,COLUMN(AD261)-COLUMN($E$5),4)&gt;0,INDEX('Surface DEET'!$Q$9:$W$38,COLUMN(AD261)-COLUMN($E$5),4),$E268),0)</f>
        <v>0</v>
      </c>
      <c r="AE268" s="295">
        <f>IF(AE$6=$C268,IF(INDEX('Surface DEET'!$Q$9:$W$38,COLUMN(AE261)-COLUMN($E$5),4)&gt;0,INDEX('Surface DEET'!$Q$9:$W$38,COLUMN(AE261)-COLUMN($E$5),4),$E268),0)</f>
        <v>0</v>
      </c>
      <c r="AF268" s="295">
        <f>IF(AF$6=$C268,IF(INDEX('Surface DEET'!$Q$9:$W$38,COLUMN(AF261)-COLUMN($E$5),4)&gt;0,INDEX('Surface DEET'!$Q$9:$W$38,COLUMN(AF261)-COLUMN($E$5),4),$E268),0)</f>
        <v>0</v>
      </c>
      <c r="AG268" s="295">
        <f>IF(AG$6=$C268,IF(INDEX('Surface DEET'!$Q$9:$W$38,COLUMN(AG261)-COLUMN($E$5),4)&gt;0,INDEX('Surface DEET'!$Q$9:$W$38,COLUMN(AG261)-COLUMN($E$5),4),$E268),0)</f>
        <v>0</v>
      </c>
      <c r="AH268" s="295">
        <f>IF(AH$6=$C268,IF(INDEX('Surface DEET'!$Q$9:$W$38,COLUMN(AH261)-COLUMN($E$5),4)&gt;0,INDEX('Surface DEET'!$Q$9:$W$38,COLUMN(AH261)-COLUMN($E$5),4),$E268),0)</f>
        <v>0</v>
      </c>
      <c r="AI268" s="295">
        <f>IF(AI$6=$C268,IF(INDEX('Surface DEET'!$Q$9:$W$38,COLUMN(AI261)-COLUMN($E$5),4)&gt;0,INDEX('Surface DEET'!$Q$9:$W$38,COLUMN(AI261)-COLUMN($E$5),4),$E268),0)</f>
        <v>0</v>
      </c>
    </row>
    <row r="269" spans="2:35">
      <c r="B269" s="295" t="s">
        <v>552</v>
      </c>
      <c r="C269" s="295" t="s">
        <v>663</v>
      </c>
      <c r="D269" s="343" t="s">
        <v>594</v>
      </c>
      <c r="E269" s="295">
        <v>70</v>
      </c>
      <c r="F269" s="295">
        <f>IF(F$6=$C269,IF(INDEX('Surface DEET'!$Q$9:$W$38,COLUMN(F262)-COLUMN($E$5),7)&gt;0,INDEX('Surface DEET'!$Q$9:$W$38,COLUMN(F262)-COLUMN($E$5),7),$E269),0)</f>
        <v>0</v>
      </c>
      <c r="G269" s="295">
        <f>IF(G$6=$C269,IF(INDEX('Surface DEET'!$Q$9:$W$38,COLUMN(G262)-COLUMN($E$5),7)&gt;0,INDEX('Surface DEET'!$Q$9:$W$38,COLUMN(G262)-COLUMN($E$5),7),$E269),0)</f>
        <v>0</v>
      </c>
      <c r="H269" s="295">
        <f>IF(H$6=$C269,IF(INDEX('Surface DEET'!$Q$9:$W$38,COLUMN(H262)-COLUMN($E$5),7)&gt;0,INDEX('Surface DEET'!$Q$9:$W$38,COLUMN(H262)-COLUMN($E$5),7),$E269),0)</f>
        <v>0</v>
      </c>
      <c r="I269" s="295">
        <f>IF(I$6=$C269,IF(INDEX('Surface DEET'!$Q$9:$W$38,COLUMN(I262)-COLUMN($E$5),7)&gt;0,INDEX('Surface DEET'!$Q$9:$W$38,COLUMN(I262)-COLUMN($E$5),7),$E269),0)</f>
        <v>0</v>
      </c>
      <c r="J269" s="295">
        <f>IF(J$6=$C269,IF(INDEX('Surface DEET'!$Q$9:$W$38,COLUMN(J262)-COLUMN($E$5),7)&gt;0,INDEX('Surface DEET'!$Q$9:$W$38,COLUMN(J262)-COLUMN($E$5),7),$E269),0)</f>
        <v>0</v>
      </c>
      <c r="K269" s="295">
        <f>IF(K$6=$C269,IF(INDEX('Surface DEET'!$Q$9:$W$38,COLUMN(K262)-COLUMN($E$5),7)&gt;0,INDEX('Surface DEET'!$Q$9:$W$38,COLUMN(K262)-COLUMN($E$5),7),$E269),0)</f>
        <v>0</v>
      </c>
      <c r="L269" s="295">
        <f>IF(L$6=$C269,IF(INDEX('Surface DEET'!$Q$9:$W$38,COLUMN(L262)-COLUMN($E$5),7)&gt;0,INDEX('Surface DEET'!$Q$9:$W$38,COLUMN(L262)-COLUMN($E$5),7),$E269),0)</f>
        <v>0</v>
      </c>
      <c r="M269" s="295">
        <f>IF(M$6=$C269,IF(INDEX('Surface DEET'!$Q$9:$W$38,COLUMN(M262)-COLUMN($E$5),7)&gt;0,INDEX('Surface DEET'!$Q$9:$W$38,COLUMN(M262)-COLUMN($E$5),7),$E269),0)</f>
        <v>0</v>
      </c>
      <c r="N269" s="295">
        <f>IF(N$6=$C269,IF(INDEX('Surface DEET'!$Q$9:$W$38,COLUMN(N262)-COLUMN($E$5),7)&gt;0,INDEX('Surface DEET'!$Q$9:$W$38,COLUMN(N262)-COLUMN($E$5),7),$E269),0)</f>
        <v>0</v>
      </c>
      <c r="O269" s="295">
        <f>IF(O$6=$C269,IF(INDEX('Surface DEET'!$Q$9:$W$38,COLUMN(O262)-COLUMN($E$5),7)&gt;0,INDEX('Surface DEET'!$Q$9:$W$38,COLUMN(O262)-COLUMN($E$5),7),$E269),0)</f>
        <v>0</v>
      </c>
      <c r="P269" s="295">
        <f>IF(P$6=$C269,IF(INDEX('Surface DEET'!$Q$9:$W$38,COLUMN(P262)-COLUMN($E$5),7)&gt;0,INDEX('Surface DEET'!$Q$9:$W$38,COLUMN(P262)-COLUMN($E$5),7),$E269),0)</f>
        <v>0</v>
      </c>
      <c r="Q269" s="295">
        <f>IF(Q$6=$C269,IF(INDEX('Surface DEET'!$Q$9:$W$38,COLUMN(Q262)-COLUMN($E$5),7)&gt;0,INDEX('Surface DEET'!$Q$9:$W$38,COLUMN(Q262)-COLUMN($E$5),7),$E269),0)</f>
        <v>0</v>
      </c>
      <c r="R269" s="295">
        <f>IF(R$6=$C269,IF(INDEX('Surface DEET'!$Q$9:$W$38,COLUMN(R262)-COLUMN($E$5),7)&gt;0,INDEX('Surface DEET'!$Q$9:$W$38,COLUMN(R262)-COLUMN($E$5),7),$E269),0)</f>
        <v>0</v>
      </c>
      <c r="S269" s="295">
        <f>IF(S$6=$C269,IF(INDEX('Surface DEET'!$Q$9:$W$38,COLUMN(S262)-COLUMN($E$5),7)&gt;0,INDEX('Surface DEET'!$Q$9:$W$38,COLUMN(S262)-COLUMN($E$5),7),$E269),0)</f>
        <v>0</v>
      </c>
      <c r="T269" s="295">
        <f>IF(T$6=$C269,IF(INDEX('Surface DEET'!$Q$9:$W$38,COLUMN(T262)-COLUMN($E$5),7)&gt;0,INDEX('Surface DEET'!$Q$9:$W$38,COLUMN(T262)-COLUMN($E$5),7),$E269),0)</f>
        <v>0</v>
      </c>
      <c r="U269" s="295">
        <f>IF(U$6=$C269,IF(INDEX('Surface DEET'!$Q$9:$W$38,COLUMN(U262)-COLUMN($E$5),7)&gt;0,INDEX('Surface DEET'!$Q$9:$W$38,COLUMN(U262)-COLUMN($E$5),7),$E269),0)</f>
        <v>0</v>
      </c>
      <c r="V269" s="295">
        <f>IF(V$6=$C269,IF(INDEX('Surface DEET'!$Q$9:$W$38,COLUMN(V262)-COLUMN($E$5),7)&gt;0,INDEX('Surface DEET'!$Q$9:$W$38,COLUMN(V262)-COLUMN($E$5),7),$E269),0)</f>
        <v>0</v>
      </c>
      <c r="W269" s="295">
        <f>IF(W$6=$C269,IF(INDEX('Surface DEET'!$Q$9:$W$38,COLUMN(W262)-COLUMN($E$5),7)&gt;0,INDEX('Surface DEET'!$Q$9:$W$38,COLUMN(W262)-COLUMN($E$5),7),$E269),0)</f>
        <v>0</v>
      </c>
      <c r="X269" s="295">
        <f>IF(X$6=$C269,IF(INDEX('Surface DEET'!$Q$9:$W$38,COLUMN(X262)-COLUMN($E$5),7)&gt;0,INDEX('Surface DEET'!$Q$9:$W$38,COLUMN(X262)-COLUMN($E$5),7),$E269),0)</f>
        <v>0</v>
      </c>
      <c r="Y269" s="295">
        <f>IF(Y$6=$C269,IF(INDEX('Surface DEET'!$Q$9:$W$38,COLUMN(Y262)-COLUMN($E$5),7)&gt;0,INDEX('Surface DEET'!$Q$9:$W$38,COLUMN(Y262)-COLUMN($E$5),7),$E269),0)</f>
        <v>0</v>
      </c>
      <c r="Z269" s="295">
        <f>IF(Z$6=$C269,IF(INDEX('Surface DEET'!$Q$9:$W$38,COLUMN(Z262)-COLUMN($E$5),7)&gt;0,INDEX('Surface DEET'!$Q$9:$W$38,COLUMN(Z262)-COLUMN($E$5),7),$E269),0)</f>
        <v>0</v>
      </c>
      <c r="AA269" s="295">
        <f>IF(AA$6=$C269,IF(INDEX('Surface DEET'!$Q$9:$W$38,COLUMN(AA262)-COLUMN($E$5),7)&gt;0,INDEX('Surface DEET'!$Q$9:$W$38,COLUMN(AA262)-COLUMN($E$5),7),$E269),0)</f>
        <v>0</v>
      </c>
      <c r="AB269" s="295">
        <f>IF(AB$6=$C269,IF(INDEX('Surface DEET'!$Q$9:$W$38,COLUMN(AB262)-COLUMN($E$5),7)&gt;0,INDEX('Surface DEET'!$Q$9:$W$38,COLUMN(AB262)-COLUMN($E$5),7),$E269),0)</f>
        <v>0</v>
      </c>
      <c r="AC269" s="295">
        <f>IF(AC$6=$C269,IF(INDEX('Surface DEET'!$Q$9:$W$38,COLUMN(AC262)-COLUMN($E$5),7)&gt;0,INDEX('Surface DEET'!$Q$9:$W$38,COLUMN(AC262)-COLUMN($E$5),7),$E269),0)</f>
        <v>0</v>
      </c>
      <c r="AD269" s="295">
        <f>IF(AD$6=$C269,IF(INDEX('Surface DEET'!$Q$9:$W$38,COLUMN(AD262)-COLUMN($E$5),7)&gt;0,INDEX('Surface DEET'!$Q$9:$W$38,COLUMN(AD262)-COLUMN($E$5),7),$E269),0)</f>
        <v>0</v>
      </c>
      <c r="AE269" s="295">
        <f>IF(AE$6=$C269,IF(INDEX('Surface DEET'!$Q$9:$W$38,COLUMN(AE262)-COLUMN($E$5),7)&gt;0,INDEX('Surface DEET'!$Q$9:$W$38,COLUMN(AE262)-COLUMN($E$5),7),$E269),0)</f>
        <v>0</v>
      </c>
      <c r="AF269" s="295">
        <f>IF(AF$6=$C269,IF(INDEX('Surface DEET'!$Q$9:$W$38,COLUMN(AF262)-COLUMN($E$5),7)&gt;0,INDEX('Surface DEET'!$Q$9:$W$38,COLUMN(AF262)-COLUMN($E$5),7),$E269),0)</f>
        <v>0</v>
      </c>
      <c r="AG269" s="295">
        <f>IF(AG$6=$C269,IF(INDEX('Surface DEET'!$Q$9:$W$38,COLUMN(AG262)-COLUMN($E$5),7)&gt;0,INDEX('Surface DEET'!$Q$9:$W$38,COLUMN(AG262)-COLUMN($E$5),7),$E269),0)</f>
        <v>0</v>
      </c>
      <c r="AH269" s="295">
        <f>IF(AH$6=$C269,IF(INDEX('Surface DEET'!$Q$9:$W$38,COLUMN(AH262)-COLUMN($E$5),7)&gt;0,INDEX('Surface DEET'!$Q$9:$W$38,COLUMN(AH262)-COLUMN($E$5),7),$E269),0)</f>
        <v>0</v>
      </c>
      <c r="AI269" s="295">
        <f>IF(AI$6=$C269,IF(INDEX('Surface DEET'!$Q$9:$W$38,COLUMN(AI262)-COLUMN($E$5),7)&gt;0,INDEX('Surface DEET'!$Q$9:$W$38,COLUMN(AI262)-COLUMN($E$5),7),$E269),0)</f>
        <v>0</v>
      </c>
    </row>
    <row r="270" spans="2:35">
      <c r="B270" s="295" t="s">
        <v>542</v>
      </c>
      <c r="C270" s="295" t="s">
        <v>663</v>
      </c>
      <c r="D270" s="295" t="s">
        <v>542</v>
      </c>
      <c r="F270" s="295">
        <f>$E$264*(F267/$E$267)*($E$266*(F268/$E$268)*(F269/$E$269)+(1-$E$266))+0.28*$E$263*(F267-$E$267)/$E$267</f>
        <v>-14.000000000000002</v>
      </c>
      <c r="G270" s="295">
        <f t="shared" ref="G270:AI270" si="32">$E$264*(G267/$E$267)*($E$266*(G268/$E$268)*(G269/$E$269)+(1-$E$266))+0.28*$E$263*(G267-$E$267)/$E$267</f>
        <v>-14.000000000000002</v>
      </c>
      <c r="H270" s="295">
        <f t="shared" si="32"/>
        <v>-14.000000000000002</v>
      </c>
      <c r="I270" s="295">
        <f t="shared" si="32"/>
        <v>-14.000000000000002</v>
      </c>
      <c r="J270" s="295">
        <f t="shared" si="32"/>
        <v>-14.000000000000002</v>
      </c>
      <c r="K270" s="295">
        <f t="shared" si="32"/>
        <v>-14.000000000000002</v>
      </c>
      <c r="L270" s="295">
        <f t="shared" si="32"/>
        <v>-14.000000000000002</v>
      </c>
      <c r="M270" s="295">
        <f t="shared" si="32"/>
        <v>-14.000000000000002</v>
      </c>
      <c r="N270" s="295">
        <f t="shared" si="32"/>
        <v>-14.000000000000002</v>
      </c>
      <c r="O270" s="295">
        <f t="shared" si="32"/>
        <v>-14.000000000000002</v>
      </c>
      <c r="P270" s="295">
        <f t="shared" si="32"/>
        <v>-14.000000000000002</v>
      </c>
      <c r="Q270" s="295">
        <f t="shared" si="32"/>
        <v>-14.000000000000002</v>
      </c>
      <c r="R270" s="295">
        <f t="shared" si="32"/>
        <v>-14.000000000000002</v>
      </c>
      <c r="S270" s="295">
        <f t="shared" si="32"/>
        <v>-14.000000000000002</v>
      </c>
      <c r="T270" s="295">
        <f t="shared" si="32"/>
        <v>-14.000000000000002</v>
      </c>
      <c r="U270" s="295">
        <f t="shared" si="32"/>
        <v>-14.000000000000002</v>
      </c>
      <c r="V270" s="295">
        <f t="shared" si="32"/>
        <v>-14.000000000000002</v>
      </c>
      <c r="W270" s="295">
        <f t="shared" si="32"/>
        <v>-14.000000000000002</v>
      </c>
      <c r="X270" s="295">
        <f t="shared" si="32"/>
        <v>-14.000000000000002</v>
      </c>
      <c r="Y270" s="295">
        <f t="shared" si="32"/>
        <v>-14.000000000000002</v>
      </c>
      <c r="Z270" s="295">
        <f t="shared" si="32"/>
        <v>-14.000000000000002</v>
      </c>
      <c r="AA270" s="295">
        <f t="shared" si="32"/>
        <v>-14.000000000000002</v>
      </c>
      <c r="AB270" s="295">
        <f t="shared" si="32"/>
        <v>-14.000000000000002</v>
      </c>
      <c r="AC270" s="295">
        <f t="shared" si="32"/>
        <v>-14.000000000000002</v>
      </c>
      <c r="AD270" s="295">
        <f t="shared" si="32"/>
        <v>-14.000000000000002</v>
      </c>
      <c r="AE270" s="295">
        <f t="shared" si="32"/>
        <v>-14.000000000000002</v>
      </c>
      <c r="AF270" s="295">
        <f t="shared" si="32"/>
        <v>-14.000000000000002</v>
      </c>
      <c r="AG270" s="295">
        <f t="shared" si="32"/>
        <v>-14.000000000000002</v>
      </c>
      <c r="AH270" s="295">
        <f t="shared" si="32"/>
        <v>-14.000000000000002</v>
      </c>
      <c r="AI270" s="295">
        <f t="shared" si="32"/>
        <v>-14.000000000000002</v>
      </c>
    </row>
    <row r="271" spans="2:35">
      <c r="B271" s="93" t="s">
        <v>301</v>
      </c>
      <c r="C271" s="295" t="s">
        <v>665</v>
      </c>
      <c r="D271" s="93" t="s">
        <v>301</v>
      </c>
      <c r="E271" s="295">
        <f t="array" ref="E271">INDEX(CABS_CVC!$C$3:$O$894,MATCH(1, (CABS_CVC!$A$3:$A$894=Calculs_CABS!C271)*(CABS_CVC!$B$3:$B$894=Calculs_CABS!$D$2),0),MATCH(Calculs_CABS!$D$1,Liste_CABS!$B$3:$B$15,0))</f>
        <v>50</v>
      </c>
    </row>
    <row r="272" spans="2:35">
      <c r="B272" s="295" t="s">
        <v>543</v>
      </c>
      <c r="C272" s="295" t="s">
        <v>665</v>
      </c>
      <c r="D272" s="295" t="s">
        <v>543</v>
      </c>
      <c r="E272" s="295">
        <v>5</v>
      </c>
    </row>
    <row r="273" spans="2:35">
      <c r="B273" s="295" t="s">
        <v>544</v>
      </c>
      <c r="C273" s="295" t="s">
        <v>665</v>
      </c>
      <c r="D273" s="295" t="s">
        <v>544</v>
      </c>
      <c r="E273" s="295">
        <f>E271+E272</f>
        <v>55</v>
      </c>
    </row>
    <row r="274" spans="2:35">
      <c r="B274" s="295" t="s">
        <v>545</v>
      </c>
      <c r="C274" s="295" t="s">
        <v>665</v>
      </c>
      <c r="D274" s="295" t="s">
        <v>545</v>
      </c>
      <c r="E274" s="295">
        <v>0.95</v>
      </c>
    </row>
    <row r="275" spans="2:35">
      <c r="B275" s="295" t="s">
        <v>546</v>
      </c>
      <c r="C275" s="295" t="s">
        <v>665</v>
      </c>
      <c r="D275" s="343" t="s">
        <v>592</v>
      </c>
      <c r="E275" s="295">
        <v>3120</v>
      </c>
      <c r="F275" s="295">
        <f>IF(F$6=$C275,IF(INDEX('Surface DEET'!$Q$9:$W$38,COLUMN(F268)-COLUMN($E$5),1)&gt;0,INDEX('Surface DEET'!$Q$9:$W$38,COLUMN(F268)-COLUMN($E$5),1),$E275),0)</f>
        <v>0</v>
      </c>
      <c r="G275" s="295">
        <f>IF(G$6=$C275,IF(INDEX('Surface DEET'!$Q$9:$W$38,COLUMN(G268)-COLUMN($E$5),1)&gt;0,INDEX('Surface DEET'!$Q$9:$W$38,COLUMN(G268)-COLUMN($E$5),1),$E275),0)</f>
        <v>0</v>
      </c>
      <c r="H275" s="295">
        <f>IF(H$6=$C275,IF(INDEX('Surface DEET'!$Q$9:$W$38,COLUMN(H268)-COLUMN($E$5),1)&gt;0,INDEX('Surface DEET'!$Q$9:$W$38,COLUMN(H268)-COLUMN($E$5),1),$E275),0)</f>
        <v>0</v>
      </c>
      <c r="I275" s="295">
        <f>IF(I$6=$C275,IF(INDEX('Surface DEET'!$Q$9:$W$38,COLUMN(I268)-COLUMN($E$5),1)&gt;0,INDEX('Surface DEET'!$Q$9:$W$38,COLUMN(I268)-COLUMN($E$5),1),$E275),0)</f>
        <v>0</v>
      </c>
      <c r="J275" s="295">
        <f>IF(J$6=$C275,IF(INDEX('Surface DEET'!$Q$9:$W$38,COLUMN(J268)-COLUMN($E$5),1)&gt;0,INDEX('Surface DEET'!$Q$9:$W$38,COLUMN(J268)-COLUMN($E$5),1),$E275),0)</f>
        <v>0</v>
      </c>
      <c r="K275" s="295">
        <f>IF(K$6=$C275,IF(INDEX('Surface DEET'!$Q$9:$W$38,COLUMN(K268)-COLUMN($E$5),1)&gt;0,INDEX('Surface DEET'!$Q$9:$W$38,COLUMN(K268)-COLUMN($E$5),1),$E275),0)</f>
        <v>0</v>
      </c>
      <c r="L275" s="295">
        <f>IF(L$6=$C275,IF(INDEX('Surface DEET'!$Q$9:$W$38,COLUMN(L268)-COLUMN($E$5),1)&gt;0,INDEX('Surface DEET'!$Q$9:$W$38,COLUMN(L268)-COLUMN($E$5),1),$E275),0)</f>
        <v>0</v>
      </c>
      <c r="M275" s="295">
        <f>IF(M$6=$C275,IF(INDEX('Surface DEET'!$Q$9:$W$38,COLUMN(M268)-COLUMN($E$5),1)&gt;0,INDEX('Surface DEET'!$Q$9:$W$38,COLUMN(M268)-COLUMN($E$5),1),$E275),0)</f>
        <v>0</v>
      </c>
      <c r="N275" s="295">
        <f>IF(N$6=$C275,IF(INDEX('Surface DEET'!$Q$9:$W$38,COLUMN(N268)-COLUMN($E$5),1)&gt;0,INDEX('Surface DEET'!$Q$9:$W$38,COLUMN(N268)-COLUMN($E$5),1),$E275),0)</f>
        <v>0</v>
      </c>
      <c r="O275" s="295">
        <f>IF(O$6=$C275,IF(INDEX('Surface DEET'!$Q$9:$W$38,COLUMN(O268)-COLUMN($E$5),1)&gt;0,INDEX('Surface DEET'!$Q$9:$W$38,COLUMN(O268)-COLUMN($E$5),1),$E275),0)</f>
        <v>0</v>
      </c>
      <c r="P275" s="295">
        <f>IF(P$6=$C275,IF(INDEX('Surface DEET'!$Q$9:$W$38,COLUMN(P268)-COLUMN($E$5),1)&gt;0,INDEX('Surface DEET'!$Q$9:$W$38,COLUMN(P268)-COLUMN($E$5),1),$E275),0)</f>
        <v>0</v>
      </c>
      <c r="Q275" s="295">
        <f>IF(Q$6=$C275,IF(INDEX('Surface DEET'!$Q$9:$W$38,COLUMN(Q268)-COLUMN($E$5),1)&gt;0,INDEX('Surface DEET'!$Q$9:$W$38,COLUMN(Q268)-COLUMN($E$5),1),$E275),0)</f>
        <v>0</v>
      </c>
      <c r="R275" s="295">
        <f>IF(R$6=$C275,IF(INDEX('Surface DEET'!$Q$9:$W$38,COLUMN(R268)-COLUMN($E$5),1)&gt;0,INDEX('Surface DEET'!$Q$9:$W$38,COLUMN(R268)-COLUMN($E$5),1),$E275),0)</f>
        <v>0</v>
      </c>
      <c r="S275" s="295">
        <f>IF(S$6=$C275,IF(INDEX('Surface DEET'!$Q$9:$W$38,COLUMN(S268)-COLUMN($E$5),1)&gt;0,INDEX('Surface DEET'!$Q$9:$W$38,COLUMN(S268)-COLUMN($E$5),1),$E275),0)</f>
        <v>0</v>
      </c>
      <c r="T275" s="295">
        <f>IF(T$6=$C275,IF(INDEX('Surface DEET'!$Q$9:$W$38,COLUMN(T268)-COLUMN($E$5),1)&gt;0,INDEX('Surface DEET'!$Q$9:$W$38,COLUMN(T268)-COLUMN($E$5),1),$E275),0)</f>
        <v>0</v>
      </c>
      <c r="U275" s="295">
        <f>IF(U$6=$C275,IF(INDEX('Surface DEET'!$Q$9:$W$38,COLUMN(U268)-COLUMN($E$5),1)&gt;0,INDEX('Surface DEET'!$Q$9:$W$38,COLUMN(U268)-COLUMN($E$5),1),$E275),0)</f>
        <v>0</v>
      </c>
      <c r="V275" s="295">
        <f>IF(V$6=$C275,IF(INDEX('Surface DEET'!$Q$9:$W$38,COLUMN(V268)-COLUMN($E$5),1)&gt;0,INDEX('Surface DEET'!$Q$9:$W$38,COLUMN(V268)-COLUMN($E$5),1),$E275),0)</f>
        <v>0</v>
      </c>
      <c r="W275" s="295">
        <f>IF(W$6=$C275,IF(INDEX('Surface DEET'!$Q$9:$W$38,COLUMN(W268)-COLUMN($E$5),1)&gt;0,INDEX('Surface DEET'!$Q$9:$W$38,COLUMN(W268)-COLUMN($E$5),1),$E275),0)</f>
        <v>0</v>
      </c>
      <c r="X275" s="295">
        <f>IF(X$6=$C275,IF(INDEX('Surface DEET'!$Q$9:$W$38,COLUMN(X268)-COLUMN($E$5),1)&gt;0,INDEX('Surface DEET'!$Q$9:$W$38,COLUMN(X268)-COLUMN($E$5),1),$E275),0)</f>
        <v>0</v>
      </c>
      <c r="Y275" s="295">
        <f>IF(Y$6=$C275,IF(INDEX('Surface DEET'!$Q$9:$W$38,COLUMN(Y268)-COLUMN($E$5),1)&gt;0,INDEX('Surface DEET'!$Q$9:$W$38,COLUMN(Y268)-COLUMN($E$5),1),$E275),0)</f>
        <v>0</v>
      </c>
      <c r="Z275" s="295">
        <f>IF(Z$6=$C275,IF(INDEX('Surface DEET'!$Q$9:$W$38,COLUMN(Z268)-COLUMN($E$5),1)&gt;0,INDEX('Surface DEET'!$Q$9:$W$38,COLUMN(Z268)-COLUMN($E$5),1),$E275),0)</f>
        <v>0</v>
      </c>
      <c r="AA275" s="295">
        <f>IF(AA$6=$C275,IF(INDEX('Surface DEET'!$Q$9:$W$38,COLUMN(AA268)-COLUMN($E$5),1)&gt;0,INDEX('Surface DEET'!$Q$9:$W$38,COLUMN(AA268)-COLUMN($E$5),1),$E275),0)</f>
        <v>0</v>
      </c>
      <c r="AB275" s="295">
        <f>IF(AB$6=$C275,IF(INDEX('Surface DEET'!$Q$9:$W$38,COLUMN(AB268)-COLUMN($E$5),1)&gt;0,INDEX('Surface DEET'!$Q$9:$W$38,COLUMN(AB268)-COLUMN($E$5),1),$E275),0)</f>
        <v>0</v>
      </c>
      <c r="AC275" s="295">
        <f>IF(AC$6=$C275,IF(INDEX('Surface DEET'!$Q$9:$W$38,COLUMN(AC268)-COLUMN($E$5),1)&gt;0,INDEX('Surface DEET'!$Q$9:$W$38,COLUMN(AC268)-COLUMN($E$5),1),$E275),0)</f>
        <v>0</v>
      </c>
      <c r="AD275" s="295">
        <f>IF(AD$6=$C275,IF(INDEX('Surface DEET'!$Q$9:$W$38,COLUMN(AD268)-COLUMN($E$5),1)&gt;0,INDEX('Surface DEET'!$Q$9:$W$38,COLUMN(AD268)-COLUMN($E$5),1),$E275),0)</f>
        <v>0</v>
      </c>
      <c r="AE275" s="295">
        <f>IF(AE$6=$C275,IF(INDEX('Surface DEET'!$Q$9:$W$38,COLUMN(AE268)-COLUMN($E$5),1)&gt;0,INDEX('Surface DEET'!$Q$9:$W$38,COLUMN(AE268)-COLUMN($E$5),1),$E275),0)</f>
        <v>0</v>
      </c>
      <c r="AF275" s="295">
        <f>IF(AF$6=$C275,IF(INDEX('Surface DEET'!$Q$9:$W$38,COLUMN(AF268)-COLUMN($E$5),1)&gt;0,INDEX('Surface DEET'!$Q$9:$W$38,COLUMN(AF268)-COLUMN($E$5),1),$E275),0)</f>
        <v>0</v>
      </c>
      <c r="AG275" s="295">
        <f>IF(AG$6=$C275,IF(INDEX('Surface DEET'!$Q$9:$W$38,COLUMN(AG268)-COLUMN($E$5),1)&gt;0,INDEX('Surface DEET'!$Q$9:$W$38,COLUMN(AG268)-COLUMN($E$5),1),$E275),0)</f>
        <v>0</v>
      </c>
      <c r="AH275" s="295">
        <f>IF(AH$6=$C275,IF(INDEX('Surface DEET'!$Q$9:$W$38,COLUMN(AH268)-COLUMN($E$5),1)&gt;0,INDEX('Surface DEET'!$Q$9:$W$38,COLUMN(AH268)-COLUMN($E$5),1),$E275),0)</f>
        <v>0</v>
      </c>
      <c r="AI275" s="295">
        <f>IF(AI$6=$C275,IF(INDEX('Surface DEET'!$Q$9:$W$38,COLUMN(AI268)-COLUMN($E$5),1)&gt;0,INDEX('Surface DEET'!$Q$9:$W$38,COLUMN(AI268)-COLUMN($E$5),1),$E275),0)</f>
        <v>0</v>
      </c>
    </row>
    <row r="276" spans="2:35">
      <c r="B276" s="295" t="s">
        <v>549</v>
      </c>
      <c r="C276" s="295" t="s">
        <v>665</v>
      </c>
      <c r="D276" s="343" t="s">
        <v>666</v>
      </c>
      <c r="E276" s="295">
        <v>5</v>
      </c>
      <c r="F276" s="295">
        <f>IF(F$6=$C276,IF(INDEX('Surface DEET'!$Q$9:$W$38,COLUMN(F269)-COLUMN($E$5),4)&gt;0,INDEX('Surface DEET'!$Q$9:$W$38,COLUMN(F269)-COLUMN($E$5),4),$E276),0)</f>
        <v>0</v>
      </c>
      <c r="G276" s="295">
        <f>IF(G$6=$C276,IF(INDEX('Surface DEET'!$Q$9:$W$38,COLUMN(G269)-COLUMN($E$5),4)&gt;0,INDEX('Surface DEET'!$Q$9:$W$38,COLUMN(G269)-COLUMN($E$5),4),$E276),0)</f>
        <v>0</v>
      </c>
      <c r="H276" s="295">
        <f>IF(H$6=$C276,IF(INDEX('Surface DEET'!$Q$9:$W$38,COLUMN(H269)-COLUMN($E$5),4)&gt;0,INDEX('Surface DEET'!$Q$9:$W$38,COLUMN(H269)-COLUMN($E$5),4),$E276),0)</f>
        <v>0</v>
      </c>
      <c r="I276" s="295">
        <f>IF(I$6=$C276,IF(INDEX('Surface DEET'!$Q$9:$W$38,COLUMN(I269)-COLUMN($E$5),4)&gt;0,INDEX('Surface DEET'!$Q$9:$W$38,COLUMN(I269)-COLUMN($E$5),4),$E276),0)</f>
        <v>0</v>
      </c>
      <c r="J276" s="295">
        <f>IF(J$6=$C276,IF(INDEX('Surface DEET'!$Q$9:$W$38,COLUMN(J269)-COLUMN($E$5),4)&gt;0,INDEX('Surface DEET'!$Q$9:$W$38,COLUMN(J269)-COLUMN($E$5),4),$E276),0)</f>
        <v>0</v>
      </c>
      <c r="K276" s="295">
        <f>IF(K$6=$C276,IF(INDEX('Surface DEET'!$Q$9:$W$38,COLUMN(K269)-COLUMN($E$5),4)&gt;0,INDEX('Surface DEET'!$Q$9:$W$38,COLUMN(K269)-COLUMN($E$5),4),$E276),0)</f>
        <v>0</v>
      </c>
      <c r="L276" s="295">
        <f>IF(L$6=$C276,IF(INDEX('Surface DEET'!$Q$9:$W$38,COLUMN(L269)-COLUMN($E$5),4)&gt;0,INDEX('Surface DEET'!$Q$9:$W$38,COLUMN(L269)-COLUMN($E$5),4),$E276),0)</f>
        <v>0</v>
      </c>
      <c r="M276" s="295">
        <f>IF(M$6=$C276,IF(INDEX('Surface DEET'!$Q$9:$W$38,COLUMN(M269)-COLUMN($E$5),4)&gt;0,INDEX('Surface DEET'!$Q$9:$W$38,COLUMN(M269)-COLUMN($E$5),4),$E276),0)</f>
        <v>0</v>
      </c>
      <c r="N276" s="295">
        <f>IF(N$6=$C276,IF(INDEX('Surface DEET'!$Q$9:$W$38,COLUMN(N269)-COLUMN($E$5),4)&gt;0,INDEX('Surface DEET'!$Q$9:$W$38,COLUMN(N269)-COLUMN($E$5),4),$E276),0)</f>
        <v>0</v>
      </c>
      <c r="O276" s="295">
        <f>IF(O$6=$C276,IF(INDEX('Surface DEET'!$Q$9:$W$38,COLUMN(O269)-COLUMN($E$5),4)&gt;0,INDEX('Surface DEET'!$Q$9:$W$38,COLUMN(O269)-COLUMN($E$5),4),$E276),0)</f>
        <v>0</v>
      </c>
      <c r="P276" s="295">
        <f>IF(P$6=$C276,IF(INDEX('Surface DEET'!$Q$9:$W$38,COLUMN(P269)-COLUMN($E$5),4)&gt;0,INDEX('Surface DEET'!$Q$9:$W$38,COLUMN(P269)-COLUMN($E$5),4),$E276),0)</f>
        <v>0</v>
      </c>
      <c r="Q276" s="295">
        <f>IF(Q$6=$C276,IF(INDEX('Surface DEET'!$Q$9:$W$38,COLUMN(Q269)-COLUMN($E$5),4)&gt;0,INDEX('Surface DEET'!$Q$9:$W$38,COLUMN(Q269)-COLUMN($E$5),4),$E276),0)</f>
        <v>0</v>
      </c>
      <c r="R276" s="295">
        <f>IF(R$6=$C276,IF(INDEX('Surface DEET'!$Q$9:$W$38,COLUMN(R269)-COLUMN($E$5),4)&gt;0,INDEX('Surface DEET'!$Q$9:$W$38,COLUMN(R269)-COLUMN($E$5),4),$E276),0)</f>
        <v>0</v>
      </c>
      <c r="S276" s="295">
        <f>IF(S$6=$C276,IF(INDEX('Surface DEET'!$Q$9:$W$38,COLUMN(S269)-COLUMN($E$5),4)&gt;0,INDEX('Surface DEET'!$Q$9:$W$38,COLUMN(S269)-COLUMN($E$5),4),$E276),0)</f>
        <v>0</v>
      </c>
      <c r="T276" s="295">
        <f>IF(T$6=$C276,IF(INDEX('Surface DEET'!$Q$9:$W$38,COLUMN(T269)-COLUMN($E$5),4)&gt;0,INDEX('Surface DEET'!$Q$9:$W$38,COLUMN(T269)-COLUMN($E$5),4),$E276),0)</f>
        <v>0</v>
      </c>
      <c r="U276" s="295">
        <f>IF(U$6=$C276,IF(INDEX('Surface DEET'!$Q$9:$W$38,COLUMN(U269)-COLUMN($E$5),4)&gt;0,INDEX('Surface DEET'!$Q$9:$W$38,COLUMN(U269)-COLUMN($E$5),4),$E276),0)</f>
        <v>0</v>
      </c>
      <c r="V276" s="295">
        <f>IF(V$6=$C276,IF(INDEX('Surface DEET'!$Q$9:$W$38,COLUMN(V269)-COLUMN($E$5),4)&gt;0,INDEX('Surface DEET'!$Q$9:$W$38,COLUMN(V269)-COLUMN($E$5),4),$E276),0)</f>
        <v>0</v>
      </c>
      <c r="W276" s="295">
        <f>IF(W$6=$C276,IF(INDEX('Surface DEET'!$Q$9:$W$38,COLUMN(W269)-COLUMN($E$5),4)&gt;0,INDEX('Surface DEET'!$Q$9:$W$38,COLUMN(W269)-COLUMN($E$5),4),$E276),0)</f>
        <v>0</v>
      </c>
      <c r="X276" s="295">
        <f>IF(X$6=$C276,IF(INDEX('Surface DEET'!$Q$9:$W$38,COLUMN(X269)-COLUMN($E$5),4)&gt;0,INDEX('Surface DEET'!$Q$9:$W$38,COLUMN(X269)-COLUMN($E$5),4),$E276),0)</f>
        <v>0</v>
      </c>
      <c r="Y276" s="295">
        <f>IF(Y$6=$C276,IF(INDEX('Surface DEET'!$Q$9:$W$38,COLUMN(Y269)-COLUMN($E$5),4)&gt;0,INDEX('Surface DEET'!$Q$9:$W$38,COLUMN(Y269)-COLUMN($E$5),4),$E276),0)</f>
        <v>0</v>
      </c>
      <c r="Z276" s="295">
        <f>IF(Z$6=$C276,IF(INDEX('Surface DEET'!$Q$9:$W$38,COLUMN(Z269)-COLUMN($E$5),4)&gt;0,INDEX('Surface DEET'!$Q$9:$W$38,COLUMN(Z269)-COLUMN($E$5),4),$E276),0)</f>
        <v>0</v>
      </c>
      <c r="AA276" s="295">
        <f>IF(AA$6=$C276,IF(INDEX('Surface DEET'!$Q$9:$W$38,COLUMN(AA269)-COLUMN($E$5),4)&gt;0,INDEX('Surface DEET'!$Q$9:$W$38,COLUMN(AA269)-COLUMN($E$5),4),$E276),0)</f>
        <v>0</v>
      </c>
      <c r="AB276" s="295">
        <f>IF(AB$6=$C276,IF(INDEX('Surface DEET'!$Q$9:$W$38,COLUMN(AB269)-COLUMN($E$5),4)&gt;0,INDEX('Surface DEET'!$Q$9:$W$38,COLUMN(AB269)-COLUMN($E$5),4),$E276),0)</f>
        <v>0</v>
      </c>
      <c r="AC276" s="295">
        <f>IF(AC$6=$C276,IF(INDEX('Surface DEET'!$Q$9:$W$38,COLUMN(AC269)-COLUMN($E$5),4)&gt;0,INDEX('Surface DEET'!$Q$9:$W$38,COLUMN(AC269)-COLUMN($E$5),4),$E276),0)</f>
        <v>0</v>
      </c>
      <c r="AD276" s="295">
        <f>IF(AD$6=$C276,IF(INDEX('Surface DEET'!$Q$9:$W$38,COLUMN(AD269)-COLUMN($E$5),4)&gt;0,INDEX('Surface DEET'!$Q$9:$W$38,COLUMN(AD269)-COLUMN($E$5),4),$E276),0)</f>
        <v>0</v>
      </c>
      <c r="AE276" s="295">
        <f>IF(AE$6=$C276,IF(INDEX('Surface DEET'!$Q$9:$W$38,COLUMN(AE269)-COLUMN($E$5),4)&gt;0,INDEX('Surface DEET'!$Q$9:$W$38,COLUMN(AE269)-COLUMN($E$5),4),$E276),0)</f>
        <v>0</v>
      </c>
      <c r="AF276" s="295">
        <f>IF(AF$6=$C276,IF(INDEX('Surface DEET'!$Q$9:$W$38,COLUMN(AF269)-COLUMN($E$5),4)&gt;0,INDEX('Surface DEET'!$Q$9:$W$38,COLUMN(AF269)-COLUMN($E$5),4),$E276),0)</f>
        <v>0</v>
      </c>
      <c r="AG276" s="295">
        <f>IF(AG$6=$C276,IF(INDEX('Surface DEET'!$Q$9:$W$38,COLUMN(AG269)-COLUMN($E$5),4)&gt;0,INDEX('Surface DEET'!$Q$9:$W$38,COLUMN(AG269)-COLUMN($E$5),4),$E276),0)</f>
        <v>0</v>
      </c>
      <c r="AH276" s="295">
        <f>IF(AH$6=$C276,IF(INDEX('Surface DEET'!$Q$9:$W$38,COLUMN(AH269)-COLUMN($E$5),4)&gt;0,INDEX('Surface DEET'!$Q$9:$W$38,COLUMN(AH269)-COLUMN($E$5),4),$E276),0)</f>
        <v>0</v>
      </c>
      <c r="AI276" s="295">
        <f>IF(AI$6=$C276,IF(INDEX('Surface DEET'!$Q$9:$W$38,COLUMN(AI269)-COLUMN($E$5),4)&gt;0,INDEX('Surface DEET'!$Q$9:$W$38,COLUMN(AI269)-COLUMN($E$5),4),$E276),0)</f>
        <v>0</v>
      </c>
    </row>
    <row r="277" spans="2:35">
      <c r="B277" s="295" t="s">
        <v>552</v>
      </c>
      <c r="C277" s="295" t="s">
        <v>665</v>
      </c>
      <c r="D277" s="343" t="s">
        <v>594</v>
      </c>
      <c r="E277" s="295">
        <v>70</v>
      </c>
      <c r="F277" s="295">
        <f>IF(F$6=$C277,IF(INDEX('Surface DEET'!$Q$9:$W$38,COLUMN(F270)-COLUMN($E$5),7)&gt;0,INDEX('Surface DEET'!$Q$9:$W$38,COLUMN(F270)-COLUMN($E$5),7),$E277),0)</f>
        <v>0</v>
      </c>
      <c r="G277" s="295">
        <f>IF(G$6=$C277,IF(INDEX('Surface DEET'!$Q$9:$W$38,COLUMN(G270)-COLUMN($E$5),7)&gt;0,INDEX('Surface DEET'!$Q$9:$W$38,COLUMN(G270)-COLUMN($E$5),7),$E277),0)</f>
        <v>0</v>
      </c>
      <c r="H277" s="295">
        <f>IF(H$6=$C277,IF(INDEX('Surface DEET'!$Q$9:$W$38,COLUMN(H270)-COLUMN($E$5),7)&gt;0,INDEX('Surface DEET'!$Q$9:$W$38,COLUMN(H270)-COLUMN($E$5),7),$E277),0)</f>
        <v>0</v>
      </c>
      <c r="I277" s="295">
        <f>IF(I$6=$C277,IF(INDEX('Surface DEET'!$Q$9:$W$38,COLUMN(I270)-COLUMN($E$5),7)&gt;0,INDEX('Surface DEET'!$Q$9:$W$38,COLUMN(I270)-COLUMN($E$5),7),$E277),0)</f>
        <v>0</v>
      </c>
      <c r="J277" s="295">
        <f>IF(J$6=$C277,IF(INDEX('Surface DEET'!$Q$9:$W$38,COLUMN(J270)-COLUMN($E$5),7)&gt;0,INDEX('Surface DEET'!$Q$9:$W$38,COLUMN(J270)-COLUMN($E$5),7),$E277),0)</f>
        <v>0</v>
      </c>
      <c r="K277" s="295">
        <f>IF(K$6=$C277,IF(INDEX('Surface DEET'!$Q$9:$W$38,COLUMN(K270)-COLUMN($E$5),7)&gt;0,INDEX('Surface DEET'!$Q$9:$W$38,COLUMN(K270)-COLUMN($E$5),7),$E277),0)</f>
        <v>0</v>
      </c>
      <c r="L277" s="295">
        <f>IF(L$6=$C277,IF(INDEX('Surface DEET'!$Q$9:$W$38,COLUMN(L270)-COLUMN($E$5),7)&gt;0,INDEX('Surface DEET'!$Q$9:$W$38,COLUMN(L270)-COLUMN($E$5),7),$E277),0)</f>
        <v>0</v>
      </c>
      <c r="M277" s="295">
        <f>IF(M$6=$C277,IF(INDEX('Surface DEET'!$Q$9:$W$38,COLUMN(M270)-COLUMN($E$5),7)&gt;0,INDEX('Surface DEET'!$Q$9:$W$38,COLUMN(M270)-COLUMN($E$5),7),$E277),0)</f>
        <v>0</v>
      </c>
      <c r="N277" s="295">
        <f>IF(N$6=$C277,IF(INDEX('Surface DEET'!$Q$9:$W$38,COLUMN(N270)-COLUMN($E$5),7)&gt;0,INDEX('Surface DEET'!$Q$9:$W$38,COLUMN(N270)-COLUMN($E$5),7),$E277),0)</f>
        <v>0</v>
      </c>
      <c r="O277" s="295">
        <f>IF(O$6=$C277,IF(INDEX('Surface DEET'!$Q$9:$W$38,COLUMN(O270)-COLUMN($E$5),7)&gt;0,INDEX('Surface DEET'!$Q$9:$W$38,COLUMN(O270)-COLUMN($E$5),7),$E277),0)</f>
        <v>0</v>
      </c>
      <c r="P277" s="295">
        <f>IF(P$6=$C277,IF(INDEX('Surface DEET'!$Q$9:$W$38,COLUMN(P270)-COLUMN($E$5),7)&gt;0,INDEX('Surface DEET'!$Q$9:$W$38,COLUMN(P270)-COLUMN($E$5),7),$E277),0)</f>
        <v>0</v>
      </c>
      <c r="Q277" s="295">
        <f>IF(Q$6=$C277,IF(INDEX('Surface DEET'!$Q$9:$W$38,COLUMN(Q270)-COLUMN($E$5),7)&gt;0,INDEX('Surface DEET'!$Q$9:$W$38,COLUMN(Q270)-COLUMN($E$5),7),$E277),0)</f>
        <v>0</v>
      </c>
      <c r="R277" s="295">
        <f>IF(R$6=$C277,IF(INDEX('Surface DEET'!$Q$9:$W$38,COLUMN(R270)-COLUMN($E$5),7)&gt;0,INDEX('Surface DEET'!$Q$9:$W$38,COLUMN(R270)-COLUMN($E$5),7),$E277),0)</f>
        <v>0</v>
      </c>
      <c r="S277" s="295">
        <f>IF(S$6=$C277,IF(INDEX('Surface DEET'!$Q$9:$W$38,COLUMN(S270)-COLUMN($E$5),7)&gt;0,INDEX('Surface DEET'!$Q$9:$W$38,COLUMN(S270)-COLUMN($E$5),7),$E277),0)</f>
        <v>0</v>
      </c>
      <c r="T277" s="295">
        <f>IF(T$6=$C277,IF(INDEX('Surface DEET'!$Q$9:$W$38,COLUMN(T270)-COLUMN($E$5),7)&gt;0,INDEX('Surface DEET'!$Q$9:$W$38,COLUMN(T270)-COLUMN($E$5),7),$E277),0)</f>
        <v>0</v>
      </c>
      <c r="U277" s="295">
        <f>IF(U$6=$C277,IF(INDEX('Surface DEET'!$Q$9:$W$38,COLUMN(U270)-COLUMN($E$5),7)&gt;0,INDEX('Surface DEET'!$Q$9:$W$38,COLUMN(U270)-COLUMN($E$5),7),$E277),0)</f>
        <v>0</v>
      </c>
      <c r="V277" s="295">
        <f>IF(V$6=$C277,IF(INDEX('Surface DEET'!$Q$9:$W$38,COLUMN(V270)-COLUMN($E$5),7)&gt;0,INDEX('Surface DEET'!$Q$9:$W$38,COLUMN(V270)-COLUMN($E$5),7),$E277),0)</f>
        <v>0</v>
      </c>
      <c r="W277" s="295">
        <f>IF(W$6=$C277,IF(INDEX('Surface DEET'!$Q$9:$W$38,COLUMN(W270)-COLUMN($E$5),7)&gt;0,INDEX('Surface DEET'!$Q$9:$W$38,COLUMN(W270)-COLUMN($E$5),7),$E277),0)</f>
        <v>0</v>
      </c>
      <c r="X277" s="295">
        <f>IF(X$6=$C277,IF(INDEX('Surface DEET'!$Q$9:$W$38,COLUMN(X270)-COLUMN($E$5),7)&gt;0,INDEX('Surface DEET'!$Q$9:$W$38,COLUMN(X270)-COLUMN($E$5),7),$E277),0)</f>
        <v>0</v>
      </c>
      <c r="Y277" s="295">
        <f>IF(Y$6=$C277,IF(INDEX('Surface DEET'!$Q$9:$W$38,COLUMN(Y270)-COLUMN($E$5),7)&gt;0,INDEX('Surface DEET'!$Q$9:$W$38,COLUMN(Y270)-COLUMN($E$5),7),$E277),0)</f>
        <v>0</v>
      </c>
      <c r="Z277" s="295">
        <f>IF(Z$6=$C277,IF(INDEX('Surface DEET'!$Q$9:$W$38,COLUMN(Z270)-COLUMN($E$5),7)&gt;0,INDEX('Surface DEET'!$Q$9:$W$38,COLUMN(Z270)-COLUMN($E$5),7),$E277),0)</f>
        <v>0</v>
      </c>
      <c r="AA277" s="295">
        <f>IF(AA$6=$C277,IF(INDEX('Surface DEET'!$Q$9:$W$38,COLUMN(AA270)-COLUMN($E$5),7)&gt;0,INDEX('Surface DEET'!$Q$9:$W$38,COLUMN(AA270)-COLUMN($E$5),7),$E277),0)</f>
        <v>0</v>
      </c>
      <c r="AB277" s="295">
        <f>IF(AB$6=$C277,IF(INDEX('Surface DEET'!$Q$9:$W$38,COLUMN(AB270)-COLUMN($E$5),7)&gt;0,INDEX('Surface DEET'!$Q$9:$W$38,COLUMN(AB270)-COLUMN($E$5),7),$E277),0)</f>
        <v>0</v>
      </c>
      <c r="AC277" s="295">
        <f>IF(AC$6=$C277,IF(INDEX('Surface DEET'!$Q$9:$W$38,COLUMN(AC270)-COLUMN($E$5),7)&gt;0,INDEX('Surface DEET'!$Q$9:$W$38,COLUMN(AC270)-COLUMN($E$5),7),$E277),0)</f>
        <v>0</v>
      </c>
      <c r="AD277" s="295">
        <f>IF(AD$6=$C277,IF(INDEX('Surface DEET'!$Q$9:$W$38,COLUMN(AD270)-COLUMN($E$5),7)&gt;0,INDEX('Surface DEET'!$Q$9:$W$38,COLUMN(AD270)-COLUMN($E$5),7),$E277),0)</f>
        <v>0</v>
      </c>
      <c r="AE277" s="295">
        <f>IF(AE$6=$C277,IF(INDEX('Surface DEET'!$Q$9:$W$38,COLUMN(AE270)-COLUMN($E$5),7)&gt;0,INDEX('Surface DEET'!$Q$9:$W$38,COLUMN(AE270)-COLUMN($E$5),7),$E277),0)</f>
        <v>0</v>
      </c>
      <c r="AF277" s="295">
        <f>IF(AF$6=$C277,IF(INDEX('Surface DEET'!$Q$9:$W$38,COLUMN(AF270)-COLUMN($E$5),7)&gt;0,INDEX('Surface DEET'!$Q$9:$W$38,COLUMN(AF270)-COLUMN($E$5),7),$E277),0)</f>
        <v>0</v>
      </c>
      <c r="AG277" s="295">
        <f>IF(AG$6=$C277,IF(INDEX('Surface DEET'!$Q$9:$W$38,COLUMN(AG270)-COLUMN($E$5),7)&gt;0,INDEX('Surface DEET'!$Q$9:$W$38,COLUMN(AG270)-COLUMN($E$5),7),$E277),0)</f>
        <v>0</v>
      </c>
      <c r="AH277" s="295">
        <f>IF(AH$6=$C277,IF(INDEX('Surface DEET'!$Q$9:$W$38,COLUMN(AH270)-COLUMN($E$5),7)&gt;0,INDEX('Surface DEET'!$Q$9:$W$38,COLUMN(AH270)-COLUMN($E$5),7),$E277),0)</f>
        <v>0</v>
      </c>
      <c r="AI277" s="295">
        <f>IF(AI$6=$C277,IF(INDEX('Surface DEET'!$Q$9:$W$38,COLUMN(AI270)-COLUMN($E$5),7)&gt;0,INDEX('Surface DEET'!$Q$9:$W$38,COLUMN(AI270)-COLUMN($E$5),7),$E277),0)</f>
        <v>0</v>
      </c>
    </row>
    <row r="278" spans="2:35">
      <c r="B278" s="295" t="s">
        <v>542</v>
      </c>
      <c r="C278" s="295" t="s">
        <v>665</v>
      </c>
      <c r="D278" s="295" t="s">
        <v>542</v>
      </c>
      <c r="F278" s="295">
        <f>$E$272*(F275/$E$275)*($E$274*(F276/$E$276)*(F277/$E$277)+(1-$E$274))+0.28*$E$271*(F275-$E$275)/$E$275</f>
        <v>-14.000000000000002</v>
      </c>
      <c r="G278" s="295">
        <f t="shared" ref="G278:AI278" si="33">$E$272*(G275/$E$275)*($E$274*(G276/$E$276)*(G277/$E$277)+(1-$E$274))+0.28*$E$271*(G275-$E$275)/$E$275</f>
        <v>-14.000000000000002</v>
      </c>
      <c r="H278" s="295">
        <f t="shared" si="33"/>
        <v>-14.000000000000002</v>
      </c>
      <c r="I278" s="295">
        <f t="shared" si="33"/>
        <v>-14.000000000000002</v>
      </c>
      <c r="J278" s="295">
        <f t="shared" si="33"/>
        <v>-14.000000000000002</v>
      </c>
      <c r="K278" s="295">
        <f t="shared" si="33"/>
        <v>-14.000000000000002</v>
      </c>
      <c r="L278" s="295">
        <f t="shared" si="33"/>
        <v>-14.000000000000002</v>
      </c>
      <c r="M278" s="295">
        <f t="shared" si="33"/>
        <v>-14.000000000000002</v>
      </c>
      <c r="N278" s="295">
        <f t="shared" si="33"/>
        <v>-14.000000000000002</v>
      </c>
      <c r="O278" s="295">
        <f t="shared" si="33"/>
        <v>-14.000000000000002</v>
      </c>
      <c r="P278" s="295">
        <f t="shared" si="33"/>
        <v>-14.000000000000002</v>
      </c>
      <c r="Q278" s="295">
        <f t="shared" si="33"/>
        <v>-14.000000000000002</v>
      </c>
      <c r="R278" s="295">
        <f t="shared" si="33"/>
        <v>-14.000000000000002</v>
      </c>
      <c r="S278" s="295">
        <f t="shared" si="33"/>
        <v>-14.000000000000002</v>
      </c>
      <c r="T278" s="295">
        <f t="shared" si="33"/>
        <v>-14.000000000000002</v>
      </c>
      <c r="U278" s="295">
        <f t="shared" si="33"/>
        <v>-14.000000000000002</v>
      </c>
      <c r="V278" s="295">
        <f t="shared" si="33"/>
        <v>-14.000000000000002</v>
      </c>
      <c r="W278" s="295">
        <f t="shared" si="33"/>
        <v>-14.000000000000002</v>
      </c>
      <c r="X278" s="295">
        <f t="shared" si="33"/>
        <v>-14.000000000000002</v>
      </c>
      <c r="Y278" s="295">
        <f t="shared" si="33"/>
        <v>-14.000000000000002</v>
      </c>
      <c r="Z278" s="295">
        <f t="shared" si="33"/>
        <v>-14.000000000000002</v>
      </c>
      <c r="AA278" s="295">
        <f t="shared" si="33"/>
        <v>-14.000000000000002</v>
      </c>
      <c r="AB278" s="295">
        <f t="shared" si="33"/>
        <v>-14.000000000000002</v>
      </c>
      <c r="AC278" s="295">
        <f t="shared" si="33"/>
        <v>-14.000000000000002</v>
      </c>
      <c r="AD278" s="295">
        <f t="shared" si="33"/>
        <v>-14.000000000000002</v>
      </c>
      <c r="AE278" s="295">
        <f t="shared" si="33"/>
        <v>-14.000000000000002</v>
      </c>
      <c r="AF278" s="295">
        <f t="shared" si="33"/>
        <v>-14.000000000000002</v>
      </c>
      <c r="AG278" s="295">
        <f t="shared" si="33"/>
        <v>-14.000000000000002</v>
      </c>
      <c r="AH278" s="295">
        <f t="shared" si="33"/>
        <v>-14.000000000000002</v>
      </c>
      <c r="AI278" s="295">
        <f t="shared" si="33"/>
        <v>-14.000000000000002</v>
      </c>
    </row>
    <row r="279" spans="2:35">
      <c r="B279" s="93" t="s">
        <v>301</v>
      </c>
      <c r="C279" s="295" t="s">
        <v>667</v>
      </c>
      <c r="D279" s="93" t="s">
        <v>301</v>
      </c>
      <c r="E279" s="295">
        <f t="array" ref="E279">INDEX(CABS_CVC!$C$3:$O$894,MATCH(1, (CABS_CVC!$A$3:$A$894=Calculs_CABS!C279)*(CABS_CVC!$B$3:$B$894=Calculs_CABS!$D$2),0),MATCH(Calculs_CABS!$D$1,Liste_CABS!$B$3:$B$15,0))</f>
        <v>60</v>
      </c>
    </row>
    <row r="280" spans="2:35">
      <c r="B280" s="295" t="s">
        <v>543</v>
      </c>
      <c r="C280" s="295" t="s">
        <v>667</v>
      </c>
      <c r="D280" s="295" t="s">
        <v>543</v>
      </c>
      <c r="E280" s="295">
        <v>15</v>
      </c>
    </row>
    <row r="281" spans="2:35">
      <c r="B281" s="295" t="s">
        <v>544</v>
      </c>
      <c r="C281" s="295" t="s">
        <v>667</v>
      </c>
      <c r="D281" s="295" t="s">
        <v>544</v>
      </c>
      <c r="E281" s="295">
        <f>E279+E280</f>
        <v>75</v>
      </c>
    </row>
    <row r="282" spans="2:35">
      <c r="B282" s="295" t="s">
        <v>545</v>
      </c>
      <c r="C282" s="295" t="s">
        <v>667</v>
      </c>
      <c r="D282" s="295" t="s">
        <v>545</v>
      </c>
      <c r="E282" s="295">
        <v>0</v>
      </c>
    </row>
    <row r="283" spans="2:35">
      <c r="B283" s="295" t="s">
        <v>546</v>
      </c>
      <c r="C283" s="295" t="s">
        <v>667</v>
      </c>
      <c r="D283" s="295" t="s">
        <v>668</v>
      </c>
      <c r="E283" s="295">
        <v>1900</v>
      </c>
      <c r="F283" s="295">
        <f>IF(F$6=$C283,IF(INDEX('Surface DEET'!$Q$9:$W$38,COLUMN(F276)-COLUMN($E$5),1)&gt;0,INDEX('Surface DEET'!$Q$9:$W$38,COLUMN(F276)-COLUMN($E$5),1),0),0)</f>
        <v>0</v>
      </c>
      <c r="G283" s="295">
        <f>IF(G$6=$C283,IF(INDEX('Surface DEET'!$Q$9:$W$38,COLUMN(G276)-COLUMN($E$5),1)&gt;0,INDEX('Surface DEET'!$Q$9:$W$38,COLUMN(G276)-COLUMN($E$5),1),0),0)</f>
        <v>0</v>
      </c>
      <c r="H283" s="295">
        <f>IF(H$6=$C283,IF(INDEX('Surface DEET'!$Q$9:$W$38,COLUMN(H276)-COLUMN($E$5),1)&gt;0,INDEX('Surface DEET'!$Q$9:$W$38,COLUMN(H276)-COLUMN($E$5),1),0),0)</f>
        <v>0</v>
      </c>
      <c r="I283" s="295">
        <f>IF(I$6=$C283,IF(INDEX('Surface DEET'!$Q$9:$W$38,COLUMN(I276)-COLUMN($E$5),1)&gt;0,INDEX('Surface DEET'!$Q$9:$W$38,COLUMN(I276)-COLUMN($E$5),1),0),0)</f>
        <v>0</v>
      </c>
      <c r="J283" s="295">
        <f>IF(J$6=$C283,IF(INDEX('Surface DEET'!$Q$9:$W$38,COLUMN(J276)-COLUMN($E$5),1)&gt;0,INDEX('Surface DEET'!$Q$9:$W$38,COLUMN(J276)-COLUMN($E$5),1),0),0)</f>
        <v>0</v>
      </c>
      <c r="K283" s="295">
        <f>IF(K$6=$C283,IF(INDEX('Surface DEET'!$Q$9:$W$38,COLUMN(K276)-COLUMN($E$5),1)&gt;0,INDEX('Surface DEET'!$Q$9:$W$38,COLUMN(K276)-COLUMN($E$5),1),0),0)</f>
        <v>0</v>
      </c>
      <c r="L283" s="295">
        <f>IF(L$6=$C283,IF(INDEX('Surface DEET'!$Q$9:$W$38,COLUMN(L276)-COLUMN($E$5),1)&gt;0,INDEX('Surface DEET'!$Q$9:$W$38,COLUMN(L276)-COLUMN($E$5),1),0),0)</f>
        <v>0</v>
      </c>
      <c r="M283" s="295">
        <f>IF(M$6=$C283,IF(INDEX('Surface DEET'!$Q$9:$W$38,COLUMN(M276)-COLUMN($E$5),1)&gt;0,INDEX('Surface DEET'!$Q$9:$W$38,COLUMN(M276)-COLUMN($E$5),1),0),0)</f>
        <v>0</v>
      </c>
      <c r="N283" s="295">
        <f>IF(N$6=$C283,IF(INDEX('Surface DEET'!$Q$9:$W$38,COLUMN(N276)-COLUMN($E$5),1)&gt;0,INDEX('Surface DEET'!$Q$9:$W$38,COLUMN(N276)-COLUMN($E$5),1),0),0)</f>
        <v>0</v>
      </c>
      <c r="O283" s="295">
        <f>IF(O$6=$C283,IF(INDEX('Surface DEET'!$Q$9:$W$38,COLUMN(O276)-COLUMN($E$5),1)&gt;0,INDEX('Surface DEET'!$Q$9:$W$38,COLUMN(O276)-COLUMN($E$5),1),0),0)</f>
        <v>0</v>
      </c>
      <c r="P283" s="295">
        <f>IF(P$6=$C283,IF(INDEX('Surface DEET'!$Q$9:$W$38,COLUMN(P276)-COLUMN($E$5),1)&gt;0,INDEX('Surface DEET'!$Q$9:$W$38,COLUMN(P276)-COLUMN($E$5),1),0),0)</f>
        <v>0</v>
      </c>
      <c r="Q283" s="295">
        <f>IF(Q$6=$C283,IF(INDEX('Surface DEET'!$Q$9:$W$38,COLUMN(Q276)-COLUMN($E$5),1)&gt;0,INDEX('Surface DEET'!$Q$9:$W$38,COLUMN(Q276)-COLUMN($E$5),1),0),0)</f>
        <v>0</v>
      </c>
      <c r="R283" s="295">
        <f>IF(R$6=$C283,IF(INDEX('Surface DEET'!$Q$9:$W$38,COLUMN(R276)-COLUMN($E$5),1)&gt;0,INDEX('Surface DEET'!$Q$9:$W$38,COLUMN(R276)-COLUMN($E$5),1),0),0)</f>
        <v>0</v>
      </c>
      <c r="S283" s="295">
        <f>IF(S$6=$C283,IF(INDEX('Surface DEET'!$Q$9:$W$38,COLUMN(S276)-COLUMN($E$5),1)&gt;0,INDEX('Surface DEET'!$Q$9:$W$38,COLUMN(S276)-COLUMN($E$5),1),0),0)</f>
        <v>0</v>
      </c>
      <c r="T283" s="295">
        <f>IF(T$6=$C283,IF(INDEX('Surface DEET'!$Q$9:$W$38,COLUMN(T276)-COLUMN($E$5),1)&gt;0,INDEX('Surface DEET'!$Q$9:$W$38,COLUMN(T276)-COLUMN($E$5),1),0),0)</f>
        <v>0</v>
      </c>
      <c r="U283" s="295">
        <f>IF(U$6=$C283,IF(INDEX('Surface DEET'!$Q$9:$W$38,COLUMN(U276)-COLUMN($E$5),1)&gt;0,INDEX('Surface DEET'!$Q$9:$W$38,COLUMN(U276)-COLUMN($E$5),1),0),0)</f>
        <v>0</v>
      </c>
      <c r="V283" s="295">
        <f>IF(V$6=$C283,IF(INDEX('Surface DEET'!$Q$9:$W$38,COLUMN(V276)-COLUMN($E$5),1)&gt;0,INDEX('Surface DEET'!$Q$9:$W$38,COLUMN(V276)-COLUMN($E$5),1),0),0)</f>
        <v>0</v>
      </c>
      <c r="W283" s="295">
        <f>IF(W$6=$C283,IF(INDEX('Surface DEET'!$Q$9:$W$38,COLUMN(W276)-COLUMN($E$5),1)&gt;0,INDEX('Surface DEET'!$Q$9:$W$38,COLUMN(W276)-COLUMN($E$5),1),0),0)</f>
        <v>0</v>
      </c>
      <c r="X283" s="295">
        <f>IF(X$6=$C283,IF(INDEX('Surface DEET'!$Q$9:$W$38,COLUMN(X276)-COLUMN($E$5),1)&gt;0,INDEX('Surface DEET'!$Q$9:$W$38,COLUMN(X276)-COLUMN($E$5),1),0),0)</f>
        <v>0</v>
      </c>
      <c r="Y283" s="295">
        <f>IF(Y$6=$C283,IF(INDEX('Surface DEET'!$Q$9:$W$38,COLUMN(Y276)-COLUMN($E$5),1)&gt;0,INDEX('Surface DEET'!$Q$9:$W$38,COLUMN(Y276)-COLUMN($E$5),1),0),0)</f>
        <v>0</v>
      </c>
      <c r="Z283" s="295">
        <f>IF(Z$6=$C283,IF(INDEX('Surface DEET'!$Q$9:$W$38,COLUMN(Z276)-COLUMN($E$5),1)&gt;0,INDEX('Surface DEET'!$Q$9:$W$38,COLUMN(Z276)-COLUMN($E$5),1),0),0)</f>
        <v>0</v>
      </c>
      <c r="AA283" s="295">
        <f>IF(AA$6=$C283,IF(INDEX('Surface DEET'!$Q$9:$W$38,COLUMN(AA276)-COLUMN($E$5),1)&gt;0,INDEX('Surface DEET'!$Q$9:$W$38,COLUMN(AA276)-COLUMN($E$5),1),0),0)</f>
        <v>0</v>
      </c>
      <c r="AB283" s="295">
        <f>IF(AB$6=$C283,IF(INDEX('Surface DEET'!$Q$9:$W$38,COLUMN(AB276)-COLUMN($E$5),1)&gt;0,INDEX('Surface DEET'!$Q$9:$W$38,COLUMN(AB276)-COLUMN($E$5),1),0),0)</f>
        <v>0</v>
      </c>
      <c r="AC283" s="295">
        <f>IF(AC$6=$C283,IF(INDEX('Surface DEET'!$Q$9:$W$38,COLUMN(AC276)-COLUMN($E$5),1)&gt;0,INDEX('Surface DEET'!$Q$9:$W$38,COLUMN(AC276)-COLUMN($E$5),1),0),0)</f>
        <v>0</v>
      </c>
      <c r="AD283" s="295">
        <f>IF(AD$6=$C283,IF(INDEX('Surface DEET'!$Q$9:$W$38,COLUMN(AD276)-COLUMN($E$5),1)&gt;0,INDEX('Surface DEET'!$Q$9:$W$38,COLUMN(AD276)-COLUMN($E$5),1),0),0)</f>
        <v>0</v>
      </c>
      <c r="AE283" s="295">
        <f>IF(AE$6=$C283,IF(INDEX('Surface DEET'!$Q$9:$W$38,COLUMN(AE276)-COLUMN($E$5),1)&gt;0,INDEX('Surface DEET'!$Q$9:$W$38,COLUMN(AE276)-COLUMN($E$5),1),0),0)</f>
        <v>0</v>
      </c>
      <c r="AF283" s="295">
        <f>IF(AF$6=$C283,IF(INDEX('Surface DEET'!$Q$9:$W$38,COLUMN(AF276)-COLUMN($E$5),1)&gt;0,INDEX('Surface DEET'!$Q$9:$W$38,COLUMN(AF276)-COLUMN($E$5),1),0),0)</f>
        <v>0</v>
      </c>
      <c r="AG283" s="295">
        <f>IF(AG$6=$C283,IF(INDEX('Surface DEET'!$Q$9:$W$38,COLUMN(AG276)-COLUMN($E$5),1)&gt;0,INDEX('Surface DEET'!$Q$9:$W$38,COLUMN(AG276)-COLUMN($E$5),1),0),0)</f>
        <v>0</v>
      </c>
      <c r="AH283" s="295">
        <f>IF(AH$6=$C283,IF(INDEX('Surface DEET'!$Q$9:$W$38,COLUMN(AH276)-COLUMN($E$5),1)&gt;0,INDEX('Surface DEET'!$Q$9:$W$38,COLUMN(AH276)-COLUMN($E$5),1),0),0)</f>
        <v>0</v>
      </c>
      <c r="AI283" s="295">
        <f>IF(AI$6=$C283,IF(INDEX('Surface DEET'!$Q$9:$W$38,COLUMN(AI276)-COLUMN($E$5),1)&gt;0,INDEX('Surface DEET'!$Q$9:$W$38,COLUMN(AI276)-COLUMN($E$5),1),0),0)</f>
        <v>0</v>
      </c>
    </row>
    <row r="284" spans="2:35">
      <c r="B284" s="295" t="s">
        <v>549</v>
      </c>
      <c r="C284" s="295" t="s">
        <v>667</v>
      </c>
      <c r="D284" s="295" t="s">
        <v>669</v>
      </c>
      <c r="E284" s="295">
        <v>1900</v>
      </c>
      <c r="F284" s="295">
        <f>IF(F$6=$C284,IF(INDEX('Surface DEET'!$Q$9:$W$38,COLUMN(F277)-COLUMN($E$5),4)&gt;0,INDEX('Surface DEET'!$Q$9:$W$38,COLUMN(F277)-COLUMN($E$5),4),0),0)</f>
        <v>0</v>
      </c>
      <c r="G284" s="295">
        <f>IF(G$6=$C284,IF(INDEX('Surface DEET'!$Q$9:$W$38,COLUMN(G277)-COLUMN($E$5),4)&gt;0,INDEX('Surface DEET'!$Q$9:$W$38,COLUMN(G277)-COLUMN($E$5),4),0),0)</f>
        <v>0</v>
      </c>
      <c r="H284" s="295">
        <f>IF(H$6=$C284,IF(INDEX('Surface DEET'!$Q$9:$W$38,COLUMN(H277)-COLUMN($E$5),4)&gt;0,INDEX('Surface DEET'!$Q$9:$W$38,COLUMN(H277)-COLUMN($E$5),4),0),0)</f>
        <v>0</v>
      </c>
      <c r="I284" s="295">
        <f>IF(I$6=$C284,IF(INDEX('Surface DEET'!$Q$9:$W$38,COLUMN(I277)-COLUMN($E$5),4)&gt;0,INDEX('Surface DEET'!$Q$9:$W$38,COLUMN(I277)-COLUMN($E$5),4),0),0)</f>
        <v>0</v>
      </c>
      <c r="J284" s="295">
        <f>IF(J$6=$C284,IF(INDEX('Surface DEET'!$Q$9:$W$38,COLUMN(J277)-COLUMN($E$5),4)&gt;0,INDEX('Surface DEET'!$Q$9:$W$38,COLUMN(J277)-COLUMN($E$5),4),0),0)</f>
        <v>0</v>
      </c>
      <c r="K284" s="295">
        <f>IF(K$6=$C284,IF(INDEX('Surface DEET'!$Q$9:$W$38,COLUMN(K277)-COLUMN($E$5),4)&gt;0,INDEX('Surface DEET'!$Q$9:$W$38,COLUMN(K277)-COLUMN($E$5),4),0),0)</f>
        <v>0</v>
      </c>
      <c r="L284" s="295">
        <f>IF(L$6=$C284,IF(INDEX('Surface DEET'!$Q$9:$W$38,COLUMN(L277)-COLUMN($E$5),4)&gt;0,INDEX('Surface DEET'!$Q$9:$W$38,COLUMN(L277)-COLUMN($E$5),4),0),0)</f>
        <v>0</v>
      </c>
      <c r="M284" s="295">
        <f>IF(M$6=$C284,IF(INDEX('Surface DEET'!$Q$9:$W$38,COLUMN(M277)-COLUMN($E$5),4)&gt;0,INDEX('Surface DEET'!$Q$9:$W$38,COLUMN(M277)-COLUMN($E$5),4),0),0)</f>
        <v>0</v>
      </c>
      <c r="N284" s="295">
        <f>IF(N$6=$C284,IF(INDEX('Surface DEET'!$Q$9:$W$38,COLUMN(N277)-COLUMN($E$5),4)&gt;0,INDEX('Surface DEET'!$Q$9:$W$38,COLUMN(N277)-COLUMN($E$5),4),0),0)</f>
        <v>0</v>
      </c>
      <c r="O284" s="295">
        <f>IF(O$6=$C284,IF(INDEX('Surface DEET'!$Q$9:$W$38,COLUMN(O277)-COLUMN($E$5),4)&gt;0,INDEX('Surface DEET'!$Q$9:$W$38,COLUMN(O277)-COLUMN($E$5),4),0),0)</f>
        <v>0</v>
      </c>
      <c r="P284" s="295">
        <f>IF(P$6=$C284,IF(INDEX('Surface DEET'!$Q$9:$W$38,COLUMN(P277)-COLUMN($E$5),4)&gt;0,INDEX('Surface DEET'!$Q$9:$W$38,COLUMN(P277)-COLUMN($E$5),4),0),0)</f>
        <v>0</v>
      </c>
      <c r="Q284" s="295">
        <f>IF(Q$6=$C284,IF(INDEX('Surface DEET'!$Q$9:$W$38,COLUMN(Q277)-COLUMN($E$5),4)&gt;0,INDEX('Surface DEET'!$Q$9:$W$38,COLUMN(Q277)-COLUMN($E$5),4),0),0)</f>
        <v>0</v>
      </c>
      <c r="R284" s="295">
        <f>IF(R$6=$C284,IF(INDEX('Surface DEET'!$Q$9:$W$38,COLUMN(R277)-COLUMN($E$5),4)&gt;0,INDEX('Surface DEET'!$Q$9:$W$38,COLUMN(R277)-COLUMN($E$5),4),0),0)</f>
        <v>0</v>
      </c>
      <c r="S284" s="295">
        <f>IF(S$6=$C284,IF(INDEX('Surface DEET'!$Q$9:$W$38,COLUMN(S277)-COLUMN($E$5),4)&gt;0,INDEX('Surface DEET'!$Q$9:$W$38,COLUMN(S277)-COLUMN($E$5),4),0),0)</f>
        <v>0</v>
      </c>
      <c r="T284" s="295">
        <f>IF(T$6=$C284,IF(INDEX('Surface DEET'!$Q$9:$W$38,COLUMN(T277)-COLUMN($E$5),4)&gt;0,INDEX('Surface DEET'!$Q$9:$W$38,COLUMN(T277)-COLUMN($E$5),4),0),0)</f>
        <v>0</v>
      </c>
      <c r="U284" s="295">
        <f>IF(U$6=$C284,IF(INDEX('Surface DEET'!$Q$9:$W$38,COLUMN(U277)-COLUMN($E$5),4)&gt;0,INDEX('Surface DEET'!$Q$9:$W$38,COLUMN(U277)-COLUMN($E$5),4),0),0)</f>
        <v>0</v>
      </c>
      <c r="V284" s="295">
        <f>IF(V$6=$C284,IF(INDEX('Surface DEET'!$Q$9:$W$38,COLUMN(V277)-COLUMN($E$5),4)&gt;0,INDEX('Surface DEET'!$Q$9:$W$38,COLUMN(V277)-COLUMN($E$5),4),0),0)</f>
        <v>0</v>
      </c>
      <c r="W284" s="295">
        <f>IF(W$6=$C284,IF(INDEX('Surface DEET'!$Q$9:$W$38,COLUMN(W277)-COLUMN($E$5),4)&gt;0,INDEX('Surface DEET'!$Q$9:$W$38,COLUMN(W277)-COLUMN($E$5),4),0),0)</f>
        <v>0</v>
      </c>
      <c r="X284" s="295">
        <f>IF(X$6=$C284,IF(INDEX('Surface DEET'!$Q$9:$W$38,COLUMN(X277)-COLUMN($E$5),4)&gt;0,INDEX('Surface DEET'!$Q$9:$W$38,COLUMN(X277)-COLUMN($E$5),4),0),0)</f>
        <v>0</v>
      </c>
      <c r="Y284" s="295">
        <f>IF(Y$6=$C284,IF(INDEX('Surface DEET'!$Q$9:$W$38,COLUMN(Y277)-COLUMN($E$5),4)&gt;0,INDEX('Surface DEET'!$Q$9:$W$38,COLUMN(Y277)-COLUMN($E$5),4),0),0)</f>
        <v>0</v>
      </c>
      <c r="Z284" s="295">
        <f>IF(Z$6=$C284,IF(INDEX('Surface DEET'!$Q$9:$W$38,COLUMN(Z277)-COLUMN($E$5),4)&gt;0,INDEX('Surface DEET'!$Q$9:$W$38,COLUMN(Z277)-COLUMN($E$5),4),0),0)</f>
        <v>0</v>
      </c>
      <c r="AA284" s="295">
        <f>IF(AA$6=$C284,IF(INDEX('Surface DEET'!$Q$9:$W$38,COLUMN(AA277)-COLUMN($E$5),4)&gt;0,INDEX('Surface DEET'!$Q$9:$W$38,COLUMN(AA277)-COLUMN($E$5),4),0),0)</f>
        <v>0</v>
      </c>
      <c r="AB284" s="295">
        <f>IF(AB$6=$C284,IF(INDEX('Surface DEET'!$Q$9:$W$38,COLUMN(AB277)-COLUMN($E$5),4)&gt;0,INDEX('Surface DEET'!$Q$9:$W$38,COLUMN(AB277)-COLUMN($E$5),4),0),0)</f>
        <v>0</v>
      </c>
      <c r="AC284" s="295">
        <f>IF(AC$6=$C284,IF(INDEX('Surface DEET'!$Q$9:$W$38,COLUMN(AC277)-COLUMN($E$5),4)&gt;0,INDEX('Surface DEET'!$Q$9:$W$38,COLUMN(AC277)-COLUMN($E$5),4),0),0)</f>
        <v>0</v>
      </c>
      <c r="AD284" s="295">
        <f>IF(AD$6=$C284,IF(INDEX('Surface DEET'!$Q$9:$W$38,COLUMN(AD277)-COLUMN($E$5),4)&gt;0,INDEX('Surface DEET'!$Q$9:$W$38,COLUMN(AD277)-COLUMN($E$5),4),0),0)</f>
        <v>0</v>
      </c>
      <c r="AE284" s="295">
        <f>IF(AE$6=$C284,IF(INDEX('Surface DEET'!$Q$9:$W$38,COLUMN(AE277)-COLUMN($E$5),4)&gt;0,INDEX('Surface DEET'!$Q$9:$W$38,COLUMN(AE277)-COLUMN($E$5),4),0),0)</f>
        <v>0</v>
      </c>
      <c r="AF284" s="295">
        <f>IF(AF$6=$C284,IF(INDEX('Surface DEET'!$Q$9:$W$38,COLUMN(AF277)-COLUMN($E$5),4)&gt;0,INDEX('Surface DEET'!$Q$9:$W$38,COLUMN(AF277)-COLUMN($E$5),4),0),0)</f>
        <v>0</v>
      </c>
      <c r="AG284" s="295">
        <f>IF(AG$6=$C284,IF(INDEX('Surface DEET'!$Q$9:$W$38,COLUMN(AG277)-COLUMN($E$5),4)&gt;0,INDEX('Surface DEET'!$Q$9:$W$38,COLUMN(AG277)-COLUMN($E$5),4),0),0)</f>
        <v>0</v>
      </c>
      <c r="AH284" s="295">
        <f>IF(AH$6=$C284,IF(INDEX('Surface DEET'!$Q$9:$W$38,COLUMN(AH277)-COLUMN($E$5),4)&gt;0,INDEX('Surface DEET'!$Q$9:$W$38,COLUMN(AH277)-COLUMN($E$5),4),0),0)</f>
        <v>0</v>
      </c>
      <c r="AI284" s="295">
        <f>IF(AI$6=$C284,IF(INDEX('Surface DEET'!$Q$9:$W$38,COLUMN(AI277)-COLUMN($E$5),4)&gt;0,INDEX('Surface DEET'!$Q$9:$W$38,COLUMN(AI277)-COLUMN($E$5),4),0),0)</f>
        <v>0</v>
      </c>
    </row>
    <row r="285" spans="2:35">
      <c r="B285" s="295" t="s">
        <v>552</v>
      </c>
      <c r="C285" s="295" t="s">
        <v>667</v>
      </c>
    </row>
    <row r="286" spans="2:35">
      <c r="B286" s="295" t="s">
        <v>542</v>
      </c>
      <c r="C286" s="295" t="s">
        <v>667</v>
      </c>
      <c r="D286" s="295" t="s">
        <v>542</v>
      </c>
      <c r="F286" s="295">
        <f>$E$280*(1+2*F283/$E$283+F284/$E$284)</f>
        <v>15</v>
      </c>
      <c r="G286" s="295">
        <f t="shared" ref="G286:AI286" si="34">$E$280*(1+2*G283/$E$283+G284/$E$284)</f>
        <v>15</v>
      </c>
      <c r="H286" s="295">
        <f t="shared" si="34"/>
        <v>15</v>
      </c>
      <c r="I286" s="295">
        <f t="shared" si="34"/>
        <v>15</v>
      </c>
      <c r="J286" s="295">
        <f t="shared" si="34"/>
        <v>15</v>
      </c>
      <c r="K286" s="295">
        <f t="shared" si="34"/>
        <v>15</v>
      </c>
      <c r="L286" s="295">
        <f t="shared" si="34"/>
        <v>15</v>
      </c>
      <c r="M286" s="295">
        <f t="shared" si="34"/>
        <v>15</v>
      </c>
      <c r="N286" s="295">
        <f t="shared" si="34"/>
        <v>15</v>
      </c>
      <c r="O286" s="295">
        <f t="shared" si="34"/>
        <v>15</v>
      </c>
      <c r="P286" s="295">
        <f t="shared" si="34"/>
        <v>15</v>
      </c>
      <c r="Q286" s="295">
        <f t="shared" si="34"/>
        <v>15</v>
      </c>
      <c r="R286" s="295">
        <f t="shared" si="34"/>
        <v>15</v>
      </c>
      <c r="S286" s="295">
        <f t="shared" si="34"/>
        <v>15</v>
      </c>
      <c r="T286" s="295">
        <f t="shared" si="34"/>
        <v>15</v>
      </c>
      <c r="U286" s="295">
        <f t="shared" si="34"/>
        <v>15</v>
      </c>
      <c r="V286" s="295">
        <f t="shared" si="34"/>
        <v>15</v>
      </c>
      <c r="W286" s="295">
        <f t="shared" si="34"/>
        <v>15</v>
      </c>
      <c r="X286" s="295">
        <f t="shared" si="34"/>
        <v>15</v>
      </c>
      <c r="Y286" s="295">
        <f t="shared" si="34"/>
        <v>15</v>
      </c>
      <c r="Z286" s="295">
        <f t="shared" si="34"/>
        <v>15</v>
      </c>
      <c r="AA286" s="295">
        <f t="shared" si="34"/>
        <v>15</v>
      </c>
      <c r="AB286" s="295">
        <f t="shared" si="34"/>
        <v>15</v>
      </c>
      <c r="AC286" s="295">
        <f t="shared" si="34"/>
        <v>15</v>
      </c>
      <c r="AD286" s="295">
        <f t="shared" si="34"/>
        <v>15</v>
      </c>
      <c r="AE286" s="295">
        <f t="shared" si="34"/>
        <v>15</v>
      </c>
      <c r="AF286" s="295">
        <f t="shared" si="34"/>
        <v>15</v>
      </c>
      <c r="AG286" s="295">
        <f t="shared" si="34"/>
        <v>15</v>
      </c>
      <c r="AH286" s="295">
        <f t="shared" si="34"/>
        <v>15</v>
      </c>
      <c r="AI286" s="295">
        <f t="shared" si="34"/>
        <v>15</v>
      </c>
    </row>
    <row r="287" spans="2:35">
      <c r="B287" s="93" t="s">
        <v>301</v>
      </c>
      <c r="C287" s="295" t="s">
        <v>670</v>
      </c>
      <c r="D287" s="93" t="s">
        <v>301</v>
      </c>
      <c r="E287" s="295">
        <f t="array" ref="E287">INDEX(CABS_CVC!$C$3:$O$894,MATCH(1, (CABS_CVC!$A$3:$A$894=Calculs_CABS!C287)*(CABS_CVC!$B$3:$B$894=Calculs_CABS!$D$2),0),MATCH(Calculs_CABS!$D$1,Liste_CABS!$B$3:$B$15,0))</f>
        <v>60</v>
      </c>
    </row>
    <row r="288" spans="2:35">
      <c r="B288" s="295" t="s">
        <v>543</v>
      </c>
      <c r="C288" s="295" t="s">
        <v>670</v>
      </c>
      <c r="D288" s="295" t="s">
        <v>543</v>
      </c>
      <c r="E288" s="295">
        <v>20</v>
      </c>
    </row>
    <row r="289" spans="2:35">
      <c r="B289" s="295" t="s">
        <v>544</v>
      </c>
      <c r="C289" s="295" t="s">
        <v>670</v>
      </c>
      <c r="D289" s="295" t="s">
        <v>544</v>
      </c>
      <c r="E289" s="295">
        <f>E287+E288</f>
        <v>80</v>
      </c>
    </row>
    <row r="290" spans="2:35">
      <c r="B290" s="295" t="s">
        <v>545</v>
      </c>
      <c r="C290" s="295" t="s">
        <v>670</v>
      </c>
      <c r="D290" s="295" t="s">
        <v>545</v>
      </c>
      <c r="E290" s="295">
        <v>0</v>
      </c>
    </row>
    <row r="291" spans="2:35">
      <c r="B291" s="295" t="s">
        <v>546</v>
      </c>
      <c r="C291" s="295" t="s">
        <v>670</v>
      </c>
      <c r="D291" s="295" t="s">
        <v>668</v>
      </c>
      <c r="E291" s="295">
        <v>1900</v>
      </c>
      <c r="F291" s="295">
        <f>IF(F$6=$C291,IF(INDEX('Surface DEET'!$Q$9:$W$38,COLUMN(F284)-COLUMN($E$5),1)&gt;0,INDEX('Surface DEET'!$Q$9:$W$38,COLUMN(F284)-COLUMN($E$5),1),0),0)</f>
        <v>0</v>
      </c>
      <c r="G291" s="295">
        <f>IF(G$6=$C291,IF(INDEX('Surface DEET'!$Q$9:$W$38,COLUMN(G284)-COLUMN($E$5),1)&gt;0,INDEX('Surface DEET'!$Q$9:$W$38,COLUMN(G284)-COLUMN($E$5),1),0),0)</f>
        <v>0</v>
      </c>
      <c r="H291" s="295">
        <f>IF(H$6=$C291,IF(INDEX('Surface DEET'!$Q$9:$W$38,COLUMN(H284)-COLUMN($E$5),1)&gt;0,INDEX('Surface DEET'!$Q$9:$W$38,COLUMN(H284)-COLUMN($E$5),1),0),0)</f>
        <v>0</v>
      </c>
      <c r="I291" s="295">
        <f>IF(I$6=$C291,IF(INDEX('Surface DEET'!$Q$9:$W$38,COLUMN(I284)-COLUMN($E$5),1)&gt;0,INDEX('Surface DEET'!$Q$9:$W$38,COLUMN(I284)-COLUMN($E$5),1),0),0)</f>
        <v>0</v>
      </c>
      <c r="J291" s="295">
        <f>IF(J$6=$C291,IF(INDEX('Surface DEET'!$Q$9:$W$38,COLUMN(J284)-COLUMN($E$5),1)&gt;0,INDEX('Surface DEET'!$Q$9:$W$38,COLUMN(J284)-COLUMN($E$5),1),0),0)</f>
        <v>0</v>
      </c>
      <c r="K291" s="295">
        <f>IF(K$6=$C291,IF(INDEX('Surface DEET'!$Q$9:$W$38,COLUMN(K284)-COLUMN($E$5),1)&gt;0,INDEX('Surface DEET'!$Q$9:$W$38,COLUMN(K284)-COLUMN($E$5),1),0),0)</f>
        <v>0</v>
      </c>
      <c r="L291" s="295">
        <f>IF(L$6=$C291,IF(INDEX('Surface DEET'!$Q$9:$W$38,COLUMN(L284)-COLUMN($E$5),1)&gt;0,INDEX('Surface DEET'!$Q$9:$W$38,COLUMN(L284)-COLUMN($E$5),1),0),0)</f>
        <v>0</v>
      </c>
      <c r="M291" s="295">
        <f>IF(M$6=$C291,IF(INDEX('Surface DEET'!$Q$9:$W$38,COLUMN(M284)-COLUMN($E$5),1)&gt;0,INDEX('Surface DEET'!$Q$9:$W$38,COLUMN(M284)-COLUMN($E$5),1),0),0)</f>
        <v>0</v>
      </c>
      <c r="N291" s="295">
        <f>IF(N$6=$C291,IF(INDEX('Surface DEET'!$Q$9:$W$38,COLUMN(N284)-COLUMN($E$5),1)&gt;0,INDEX('Surface DEET'!$Q$9:$W$38,COLUMN(N284)-COLUMN($E$5),1),0),0)</f>
        <v>0</v>
      </c>
      <c r="O291" s="295">
        <f>IF(O$6=$C291,IF(INDEX('Surface DEET'!$Q$9:$W$38,COLUMN(O284)-COLUMN($E$5),1)&gt;0,INDEX('Surface DEET'!$Q$9:$W$38,COLUMN(O284)-COLUMN($E$5),1),0),0)</f>
        <v>0</v>
      </c>
      <c r="P291" s="295">
        <f>IF(P$6=$C291,IF(INDEX('Surface DEET'!$Q$9:$W$38,COLUMN(P284)-COLUMN($E$5),1)&gt;0,INDEX('Surface DEET'!$Q$9:$W$38,COLUMN(P284)-COLUMN($E$5),1),0),0)</f>
        <v>0</v>
      </c>
      <c r="Q291" s="295">
        <f>IF(Q$6=$C291,IF(INDEX('Surface DEET'!$Q$9:$W$38,COLUMN(Q284)-COLUMN($E$5),1)&gt;0,INDEX('Surface DEET'!$Q$9:$W$38,COLUMN(Q284)-COLUMN($E$5),1),0),0)</f>
        <v>0</v>
      </c>
      <c r="R291" s="295">
        <f>IF(R$6=$C291,IF(INDEX('Surface DEET'!$Q$9:$W$38,COLUMN(R284)-COLUMN($E$5),1)&gt;0,INDEX('Surface DEET'!$Q$9:$W$38,COLUMN(R284)-COLUMN($E$5),1),0),0)</f>
        <v>0</v>
      </c>
      <c r="S291" s="295">
        <f>IF(S$6=$C291,IF(INDEX('Surface DEET'!$Q$9:$W$38,COLUMN(S284)-COLUMN($E$5),1)&gt;0,INDEX('Surface DEET'!$Q$9:$W$38,COLUMN(S284)-COLUMN($E$5),1),0),0)</f>
        <v>0</v>
      </c>
      <c r="T291" s="295">
        <f>IF(T$6=$C291,IF(INDEX('Surface DEET'!$Q$9:$W$38,COLUMN(T284)-COLUMN($E$5),1)&gt;0,INDEX('Surface DEET'!$Q$9:$W$38,COLUMN(T284)-COLUMN($E$5),1),0),0)</f>
        <v>0</v>
      </c>
      <c r="U291" s="295">
        <f>IF(U$6=$C291,IF(INDEX('Surface DEET'!$Q$9:$W$38,COLUMN(U284)-COLUMN($E$5),1)&gt;0,INDEX('Surface DEET'!$Q$9:$W$38,COLUMN(U284)-COLUMN($E$5),1),0),0)</f>
        <v>0</v>
      </c>
      <c r="V291" s="295">
        <f>IF(V$6=$C291,IF(INDEX('Surface DEET'!$Q$9:$W$38,COLUMN(V284)-COLUMN($E$5),1)&gt;0,INDEX('Surface DEET'!$Q$9:$W$38,COLUMN(V284)-COLUMN($E$5),1),0),0)</f>
        <v>0</v>
      </c>
      <c r="W291" s="295">
        <f>IF(W$6=$C291,IF(INDEX('Surface DEET'!$Q$9:$W$38,COLUMN(W284)-COLUMN($E$5),1)&gt;0,INDEX('Surface DEET'!$Q$9:$W$38,COLUMN(W284)-COLUMN($E$5),1),0),0)</f>
        <v>0</v>
      </c>
      <c r="X291" s="295">
        <f>IF(X$6=$C291,IF(INDEX('Surface DEET'!$Q$9:$W$38,COLUMN(X284)-COLUMN($E$5),1)&gt;0,INDEX('Surface DEET'!$Q$9:$W$38,COLUMN(X284)-COLUMN($E$5),1),0),0)</f>
        <v>0</v>
      </c>
      <c r="Y291" s="295">
        <f>IF(Y$6=$C291,IF(INDEX('Surface DEET'!$Q$9:$W$38,COLUMN(Y284)-COLUMN($E$5),1)&gt;0,INDEX('Surface DEET'!$Q$9:$W$38,COLUMN(Y284)-COLUMN($E$5),1),0),0)</f>
        <v>0</v>
      </c>
      <c r="Z291" s="295">
        <f>IF(Z$6=$C291,IF(INDEX('Surface DEET'!$Q$9:$W$38,COLUMN(Z284)-COLUMN($E$5),1)&gt;0,INDEX('Surface DEET'!$Q$9:$W$38,COLUMN(Z284)-COLUMN($E$5),1),0),0)</f>
        <v>0</v>
      </c>
      <c r="AA291" s="295">
        <f>IF(AA$6=$C291,IF(INDEX('Surface DEET'!$Q$9:$W$38,COLUMN(AA284)-COLUMN($E$5),1)&gt;0,INDEX('Surface DEET'!$Q$9:$W$38,COLUMN(AA284)-COLUMN($E$5),1),0),0)</f>
        <v>0</v>
      </c>
      <c r="AB291" s="295">
        <f>IF(AB$6=$C291,IF(INDEX('Surface DEET'!$Q$9:$W$38,COLUMN(AB284)-COLUMN($E$5),1)&gt;0,INDEX('Surface DEET'!$Q$9:$W$38,COLUMN(AB284)-COLUMN($E$5),1),0),0)</f>
        <v>0</v>
      </c>
      <c r="AC291" s="295">
        <f>IF(AC$6=$C291,IF(INDEX('Surface DEET'!$Q$9:$W$38,COLUMN(AC284)-COLUMN($E$5),1)&gt;0,INDEX('Surface DEET'!$Q$9:$W$38,COLUMN(AC284)-COLUMN($E$5),1),0),0)</f>
        <v>0</v>
      </c>
      <c r="AD291" s="295">
        <f>IF(AD$6=$C291,IF(INDEX('Surface DEET'!$Q$9:$W$38,COLUMN(AD284)-COLUMN($E$5),1)&gt;0,INDEX('Surface DEET'!$Q$9:$W$38,COLUMN(AD284)-COLUMN($E$5),1),0),0)</f>
        <v>0</v>
      </c>
      <c r="AE291" s="295">
        <f>IF(AE$6=$C291,IF(INDEX('Surface DEET'!$Q$9:$W$38,COLUMN(AE284)-COLUMN($E$5),1)&gt;0,INDEX('Surface DEET'!$Q$9:$W$38,COLUMN(AE284)-COLUMN($E$5),1),0),0)</f>
        <v>0</v>
      </c>
      <c r="AF291" s="295">
        <f>IF(AF$6=$C291,IF(INDEX('Surface DEET'!$Q$9:$W$38,COLUMN(AF284)-COLUMN($E$5),1)&gt;0,INDEX('Surface DEET'!$Q$9:$W$38,COLUMN(AF284)-COLUMN($E$5),1),0),0)</f>
        <v>0</v>
      </c>
      <c r="AG291" s="295">
        <f>IF(AG$6=$C291,IF(INDEX('Surface DEET'!$Q$9:$W$38,COLUMN(AG284)-COLUMN($E$5),1)&gt;0,INDEX('Surface DEET'!$Q$9:$W$38,COLUMN(AG284)-COLUMN($E$5),1),0),0)</f>
        <v>0</v>
      </c>
      <c r="AH291" s="295">
        <f>IF(AH$6=$C291,IF(INDEX('Surface DEET'!$Q$9:$W$38,COLUMN(AH284)-COLUMN($E$5),1)&gt;0,INDEX('Surface DEET'!$Q$9:$W$38,COLUMN(AH284)-COLUMN($E$5),1),0),0)</f>
        <v>0</v>
      </c>
      <c r="AI291" s="295">
        <f>IF(AI$6=$C291,IF(INDEX('Surface DEET'!$Q$9:$W$38,COLUMN(AI284)-COLUMN($E$5),1)&gt;0,INDEX('Surface DEET'!$Q$9:$W$38,COLUMN(AI284)-COLUMN($E$5),1),0),0)</f>
        <v>0</v>
      </c>
    </row>
    <row r="292" spans="2:35">
      <c r="B292" s="295" t="s">
        <v>549</v>
      </c>
      <c r="C292" s="295" t="s">
        <v>670</v>
      </c>
      <c r="D292" s="295" t="s">
        <v>669</v>
      </c>
      <c r="E292" s="295">
        <v>1900</v>
      </c>
      <c r="F292" s="295">
        <f>IF(F$6=$C292,IF(INDEX('Surface DEET'!$Q$9:$W$38,COLUMN(F285)-COLUMN($E$5),4)&gt;0,INDEX('Surface DEET'!$Q$9:$W$38,COLUMN(F285)-COLUMN($E$5),4),0),0)</f>
        <v>0</v>
      </c>
      <c r="G292" s="295">
        <f>IF(G$6=$C292,IF(INDEX('Surface DEET'!$Q$9:$W$38,COLUMN(G285)-COLUMN($E$5),4)&gt;0,INDEX('Surface DEET'!$Q$9:$W$38,COLUMN(G285)-COLUMN($E$5),4),0),0)</f>
        <v>0</v>
      </c>
      <c r="H292" s="295">
        <f>IF(H$6=$C292,IF(INDEX('Surface DEET'!$Q$9:$W$38,COLUMN(H285)-COLUMN($E$5),4)&gt;0,INDEX('Surface DEET'!$Q$9:$W$38,COLUMN(H285)-COLUMN($E$5),4),0),0)</f>
        <v>0</v>
      </c>
      <c r="I292" s="295">
        <f>IF(I$6=$C292,IF(INDEX('Surface DEET'!$Q$9:$W$38,COLUMN(I285)-COLUMN($E$5),4)&gt;0,INDEX('Surface DEET'!$Q$9:$W$38,COLUMN(I285)-COLUMN($E$5),4),0),0)</f>
        <v>0</v>
      </c>
      <c r="J292" s="295">
        <f>IF(J$6=$C292,IF(INDEX('Surface DEET'!$Q$9:$W$38,COLUMN(J285)-COLUMN($E$5),4)&gt;0,INDEX('Surface DEET'!$Q$9:$W$38,COLUMN(J285)-COLUMN($E$5),4),0),0)</f>
        <v>0</v>
      </c>
      <c r="K292" s="295">
        <f>IF(K$6=$C292,IF(INDEX('Surface DEET'!$Q$9:$W$38,COLUMN(K285)-COLUMN($E$5),4)&gt;0,INDEX('Surface DEET'!$Q$9:$W$38,COLUMN(K285)-COLUMN($E$5),4),0),0)</f>
        <v>0</v>
      </c>
      <c r="L292" s="295">
        <f>IF(L$6=$C292,IF(INDEX('Surface DEET'!$Q$9:$W$38,COLUMN(L285)-COLUMN($E$5),4)&gt;0,INDEX('Surface DEET'!$Q$9:$W$38,COLUMN(L285)-COLUMN($E$5),4),0),0)</f>
        <v>0</v>
      </c>
      <c r="M292" s="295">
        <f>IF(M$6=$C292,IF(INDEX('Surface DEET'!$Q$9:$W$38,COLUMN(M285)-COLUMN($E$5),4)&gt;0,INDEX('Surface DEET'!$Q$9:$W$38,COLUMN(M285)-COLUMN($E$5),4),0),0)</f>
        <v>0</v>
      </c>
      <c r="N292" s="295">
        <f>IF(N$6=$C292,IF(INDEX('Surface DEET'!$Q$9:$W$38,COLUMN(N285)-COLUMN($E$5),4)&gt;0,INDEX('Surface DEET'!$Q$9:$W$38,COLUMN(N285)-COLUMN($E$5),4),0),0)</f>
        <v>0</v>
      </c>
      <c r="O292" s="295">
        <f>IF(O$6=$C292,IF(INDEX('Surface DEET'!$Q$9:$W$38,COLUMN(O285)-COLUMN($E$5),4)&gt;0,INDEX('Surface DEET'!$Q$9:$W$38,COLUMN(O285)-COLUMN($E$5),4),0),0)</f>
        <v>0</v>
      </c>
      <c r="P292" s="295">
        <f>IF(P$6=$C292,IF(INDEX('Surface DEET'!$Q$9:$W$38,COLUMN(P285)-COLUMN($E$5),4)&gt;0,INDEX('Surface DEET'!$Q$9:$W$38,COLUMN(P285)-COLUMN($E$5),4),0),0)</f>
        <v>0</v>
      </c>
      <c r="Q292" s="295">
        <f>IF(Q$6=$C292,IF(INDEX('Surface DEET'!$Q$9:$W$38,COLUMN(Q285)-COLUMN($E$5),4)&gt;0,INDEX('Surface DEET'!$Q$9:$W$38,COLUMN(Q285)-COLUMN($E$5),4),0),0)</f>
        <v>0</v>
      </c>
      <c r="R292" s="295">
        <f>IF(R$6=$C292,IF(INDEX('Surface DEET'!$Q$9:$W$38,COLUMN(R285)-COLUMN($E$5),4)&gt;0,INDEX('Surface DEET'!$Q$9:$W$38,COLUMN(R285)-COLUMN($E$5),4),0),0)</f>
        <v>0</v>
      </c>
      <c r="S292" s="295">
        <f>IF(S$6=$C292,IF(INDEX('Surface DEET'!$Q$9:$W$38,COLUMN(S285)-COLUMN($E$5),4)&gt;0,INDEX('Surface DEET'!$Q$9:$W$38,COLUMN(S285)-COLUMN($E$5),4),0),0)</f>
        <v>0</v>
      </c>
      <c r="T292" s="295">
        <f>IF(T$6=$C292,IF(INDEX('Surface DEET'!$Q$9:$W$38,COLUMN(T285)-COLUMN($E$5),4)&gt;0,INDEX('Surface DEET'!$Q$9:$W$38,COLUMN(T285)-COLUMN($E$5),4),0),0)</f>
        <v>0</v>
      </c>
      <c r="U292" s="295">
        <f>IF(U$6=$C292,IF(INDEX('Surface DEET'!$Q$9:$W$38,COLUMN(U285)-COLUMN($E$5),4)&gt;0,INDEX('Surface DEET'!$Q$9:$W$38,COLUMN(U285)-COLUMN($E$5),4),0),0)</f>
        <v>0</v>
      </c>
      <c r="V292" s="295">
        <f>IF(V$6=$C292,IF(INDEX('Surface DEET'!$Q$9:$W$38,COLUMN(V285)-COLUMN($E$5),4)&gt;0,INDEX('Surface DEET'!$Q$9:$W$38,COLUMN(V285)-COLUMN($E$5),4),0),0)</f>
        <v>0</v>
      </c>
      <c r="W292" s="295">
        <f>IF(W$6=$C292,IF(INDEX('Surface DEET'!$Q$9:$W$38,COLUMN(W285)-COLUMN($E$5),4)&gt;0,INDEX('Surface DEET'!$Q$9:$W$38,COLUMN(W285)-COLUMN($E$5),4),0),0)</f>
        <v>0</v>
      </c>
      <c r="X292" s="295">
        <f>IF(X$6=$C292,IF(INDEX('Surface DEET'!$Q$9:$W$38,COLUMN(X285)-COLUMN($E$5),4)&gt;0,INDEX('Surface DEET'!$Q$9:$W$38,COLUMN(X285)-COLUMN($E$5),4),0),0)</f>
        <v>0</v>
      </c>
      <c r="Y292" s="295">
        <f>IF(Y$6=$C292,IF(INDEX('Surface DEET'!$Q$9:$W$38,COLUMN(Y285)-COLUMN($E$5),4)&gt;0,INDEX('Surface DEET'!$Q$9:$W$38,COLUMN(Y285)-COLUMN($E$5),4),0),0)</f>
        <v>0</v>
      </c>
      <c r="Z292" s="295">
        <f>IF(Z$6=$C292,IF(INDEX('Surface DEET'!$Q$9:$W$38,COLUMN(Z285)-COLUMN($E$5),4)&gt;0,INDEX('Surface DEET'!$Q$9:$W$38,COLUMN(Z285)-COLUMN($E$5),4),0),0)</f>
        <v>0</v>
      </c>
      <c r="AA292" s="295">
        <f>IF(AA$6=$C292,IF(INDEX('Surface DEET'!$Q$9:$W$38,COLUMN(AA285)-COLUMN($E$5),4)&gt;0,INDEX('Surface DEET'!$Q$9:$W$38,COLUMN(AA285)-COLUMN($E$5),4),0),0)</f>
        <v>0</v>
      </c>
      <c r="AB292" s="295">
        <f>IF(AB$6=$C292,IF(INDEX('Surface DEET'!$Q$9:$W$38,COLUMN(AB285)-COLUMN($E$5),4)&gt;0,INDEX('Surface DEET'!$Q$9:$W$38,COLUMN(AB285)-COLUMN($E$5),4),0),0)</f>
        <v>0</v>
      </c>
      <c r="AC292" s="295">
        <f>IF(AC$6=$C292,IF(INDEX('Surface DEET'!$Q$9:$W$38,COLUMN(AC285)-COLUMN($E$5),4)&gt;0,INDEX('Surface DEET'!$Q$9:$W$38,COLUMN(AC285)-COLUMN($E$5),4),0),0)</f>
        <v>0</v>
      </c>
      <c r="AD292" s="295">
        <f>IF(AD$6=$C292,IF(INDEX('Surface DEET'!$Q$9:$W$38,COLUMN(AD285)-COLUMN($E$5),4)&gt;0,INDEX('Surface DEET'!$Q$9:$W$38,COLUMN(AD285)-COLUMN($E$5),4),0),0)</f>
        <v>0</v>
      </c>
      <c r="AE292" s="295">
        <f>IF(AE$6=$C292,IF(INDEX('Surface DEET'!$Q$9:$W$38,COLUMN(AE285)-COLUMN($E$5),4)&gt;0,INDEX('Surface DEET'!$Q$9:$W$38,COLUMN(AE285)-COLUMN($E$5),4),0),0)</f>
        <v>0</v>
      </c>
      <c r="AF292" s="295">
        <f>IF(AF$6=$C292,IF(INDEX('Surface DEET'!$Q$9:$W$38,COLUMN(AF285)-COLUMN($E$5),4)&gt;0,INDEX('Surface DEET'!$Q$9:$W$38,COLUMN(AF285)-COLUMN($E$5),4),0),0)</f>
        <v>0</v>
      </c>
      <c r="AG292" s="295">
        <f>IF(AG$6=$C292,IF(INDEX('Surface DEET'!$Q$9:$W$38,COLUMN(AG285)-COLUMN($E$5),4)&gt;0,INDEX('Surface DEET'!$Q$9:$W$38,COLUMN(AG285)-COLUMN($E$5),4),0),0)</f>
        <v>0</v>
      </c>
      <c r="AH292" s="295">
        <f>IF(AH$6=$C292,IF(INDEX('Surface DEET'!$Q$9:$W$38,COLUMN(AH285)-COLUMN($E$5),4)&gt;0,INDEX('Surface DEET'!$Q$9:$W$38,COLUMN(AH285)-COLUMN($E$5),4),0),0)</f>
        <v>0</v>
      </c>
      <c r="AI292" s="295">
        <f>IF(AI$6=$C292,IF(INDEX('Surface DEET'!$Q$9:$W$38,COLUMN(AI285)-COLUMN($E$5),4)&gt;0,INDEX('Surface DEET'!$Q$9:$W$38,COLUMN(AI285)-COLUMN($E$5),4),0),0)</f>
        <v>0</v>
      </c>
    </row>
    <row r="293" spans="2:35">
      <c r="B293" s="295" t="s">
        <v>552</v>
      </c>
      <c r="C293" s="295" t="s">
        <v>670</v>
      </c>
    </row>
    <row r="294" spans="2:35">
      <c r="B294" s="295" t="s">
        <v>542</v>
      </c>
      <c r="C294" s="295" t="s">
        <v>670</v>
      </c>
      <c r="D294" s="295" t="s">
        <v>542</v>
      </c>
      <c r="F294" s="295">
        <f>$E$288*(1+2*F291/$E$291+F292/$E$292)</f>
        <v>20</v>
      </c>
      <c r="G294" s="295">
        <f t="shared" ref="G294:AI294" si="35">$E$288*(1+2*G291/$E$291+G292/$E$292)</f>
        <v>20</v>
      </c>
      <c r="H294" s="295">
        <f t="shared" si="35"/>
        <v>20</v>
      </c>
      <c r="I294" s="295">
        <f t="shared" si="35"/>
        <v>20</v>
      </c>
      <c r="J294" s="295">
        <f t="shared" si="35"/>
        <v>20</v>
      </c>
      <c r="K294" s="295">
        <f t="shared" si="35"/>
        <v>20</v>
      </c>
      <c r="L294" s="295">
        <f t="shared" si="35"/>
        <v>20</v>
      </c>
      <c r="M294" s="295">
        <f t="shared" si="35"/>
        <v>20</v>
      </c>
      <c r="N294" s="295">
        <f t="shared" si="35"/>
        <v>20</v>
      </c>
      <c r="O294" s="295">
        <f t="shared" si="35"/>
        <v>20</v>
      </c>
      <c r="P294" s="295">
        <f t="shared" si="35"/>
        <v>20</v>
      </c>
      <c r="Q294" s="295">
        <f t="shared" si="35"/>
        <v>20</v>
      </c>
      <c r="R294" s="295">
        <f t="shared" si="35"/>
        <v>20</v>
      </c>
      <c r="S294" s="295">
        <f t="shared" si="35"/>
        <v>20</v>
      </c>
      <c r="T294" s="295">
        <f t="shared" si="35"/>
        <v>20</v>
      </c>
      <c r="U294" s="295">
        <f t="shared" si="35"/>
        <v>20</v>
      </c>
      <c r="V294" s="295">
        <f t="shared" si="35"/>
        <v>20</v>
      </c>
      <c r="W294" s="295">
        <f t="shared" si="35"/>
        <v>20</v>
      </c>
      <c r="X294" s="295">
        <f t="shared" si="35"/>
        <v>20</v>
      </c>
      <c r="Y294" s="295">
        <f t="shared" si="35"/>
        <v>20</v>
      </c>
      <c r="Z294" s="295">
        <f t="shared" si="35"/>
        <v>20</v>
      </c>
      <c r="AA294" s="295">
        <f t="shared" si="35"/>
        <v>20</v>
      </c>
      <c r="AB294" s="295">
        <f t="shared" si="35"/>
        <v>20</v>
      </c>
      <c r="AC294" s="295">
        <f t="shared" si="35"/>
        <v>20</v>
      </c>
      <c r="AD294" s="295">
        <f t="shared" si="35"/>
        <v>20</v>
      </c>
      <c r="AE294" s="295">
        <f t="shared" si="35"/>
        <v>20</v>
      </c>
      <c r="AF294" s="295">
        <f t="shared" si="35"/>
        <v>20</v>
      </c>
      <c r="AG294" s="295">
        <f t="shared" si="35"/>
        <v>20</v>
      </c>
      <c r="AH294" s="295">
        <f t="shared" si="35"/>
        <v>20</v>
      </c>
      <c r="AI294" s="295">
        <f t="shared" si="35"/>
        <v>20</v>
      </c>
    </row>
    <row r="295" spans="2:35">
      <c r="B295" s="93" t="s">
        <v>301</v>
      </c>
      <c r="C295" s="295" t="s">
        <v>671</v>
      </c>
      <c r="D295" s="93" t="s">
        <v>301</v>
      </c>
      <c r="E295" s="295">
        <f t="array" ref="E295">INDEX(CABS_CVC!$C$3:$O$894,MATCH(1, (CABS_CVC!$A$3:$A$894=Calculs_CABS!C295)*(CABS_CVC!$B$3:$B$894=Calculs_CABS!$D$2),0),MATCH(Calculs_CABS!$D$1,Liste_CABS!$B$3:$B$15,0))</f>
        <v>60</v>
      </c>
    </row>
    <row r="296" spans="2:35">
      <c r="B296" s="295" t="s">
        <v>543</v>
      </c>
      <c r="C296" s="295" t="s">
        <v>671</v>
      </c>
      <c r="D296" s="295" t="s">
        <v>543</v>
      </c>
      <c r="E296" s="295">
        <v>15</v>
      </c>
    </row>
    <row r="297" spans="2:35">
      <c r="B297" s="295" t="s">
        <v>544</v>
      </c>
      <c r="C297" s="295" t="s">
        <v>671</v>
      </c>
      <c r="D297" s="295" t="s">
        <v>544</v>
      </c>
      <c r="E297" s="295">
        <f>E295+E296</f>
        <v>75</v>
      </c>
    </row>
    <row r="298" spans="2:35">
      <c r="B298" s="295" t="s">
        <v>545</v>
      </c>
      <c r="C298" s="295" t="s">
        <v>671</v>
      </c>
      <c r="D298" s="295" t="s">
        <v>545</v>
      </c>
      <c r="E298" s="295">
        <v>0</v>
      </c>
    </row>
    <row r="299" spans="2:35">
      <c r="B299" s="295" t="s">
        <v>546</v>
      </c>
      <c r="C299" s="295" t="s">
        <v>671</v>
      </c>
      <c r="D299" s="295" t="s">
        <v>668</v>
      </c>
      <c r="E299" s="295">
        <v>1900</v>
      </c>
      <c r="F299" s="295">
        <f>IF(F$6=$C299,IF(INDEX('Surface DEET'!$Q$9:$W$38,COLUMN(F292)-COLUMN($E$5),1)&gt;0,INDEX('Surface DEET'!$Q$9:$W$38,COLUMN(F292)-COLUMN($E$5),1),0),0)</f>
        <v>0</v>
      </c>
      <c r="G299" s="295">
        <f>IF(G$6=$C299,IF(INDEX('Surface DEET'!$Q$9:$W$38,COLUMN(G292)-COLUMN($E$5),1)&gt;0,INDEX('Surface DEET'!$Q$9:$W$38,COLUMN(G292)-COLUMN($E$5),1),0),0)</f>
        <v>0</v>
      </c>
      <c r="H299" s="295">
        <f>IF(H$6=$C299,IF(INDEX('Surface DEET'!$Q$9:$W$38,COLUMN(H292)-COLUMN($E$5),1)&gt;0,INDEX('Surface DEET'!$Q$9:$W$38,COLUMN(H292)-COLUMN($E$5),1),0),0)</f>
        <v>0</v>
      </c>
      <c r="I299" s="295">
        <f>IF(I$6=$C299,IF(INDEX('Surface DEET'!$Q$9:$W$38,COLUMN(I292)-COLUMN($E$5),1)&gt;0,INDEX('Surface DEET'!$Q$9:$W$38,COLUMN(I292)-COLUMN($E$5),1),0),0)</f>
        <v>0</v>
      </c>
      <c r="J299" s="295">
        <f>IF(J$6=$C299,IF(INDEX('Surface DEET'!$Q$9:$W$38,COLUMN(J292)-COLUMN($E$5),1)&gt;0,INDEX('Surface DEET'!$Q$9:$W$38,COLUMN(J292)-COLUMN($E$5),1),0),0)</f>
        <v>0</v>
      </c>
      <c r="K299" s="295">
        <f>IF(K$6=$C299,IF(INDEX('Surface DEET'!$Q$9:$W$38,COLUMN(K292)-COLUMN($E$5),1)&gt;0,INDEX('Surface DEET'!$Q$9:$W$38,COLUMN(K292)-COLUMN($E$5),1),0),0)</f>
        <v>0</v>
      </c>
      <c r="L299" s="295">
        <f>IF(L$6=$C299,IF(INDEX('Surface DEET'!$Q$9:$W$38,COLUMN(L292)-COLUMN($E$5),1)&gt;0,INDEX('Surface DEET'!$Q$9:$W$38,COLUMN(L292)-COLUMN($E$5),1),0),0)</f>
        <v>0</v>
      </c>
      <c r="M299" s="295">
        <f>IF(M$6=$C299,IF(INDEX('Surface DEET'!$Q$9:$W$38,COLUMN(M292)-COLUMN($E$5),1)&gt;0,INDEX('Surface DEET'!$Q$9:$W$38,COLUMN(M292)-COLUMN($E$5),1),0),0)</f>
        <v>0</v>
      </c>
      <c r="N299" s="295">
        <f>IF(N$6=$C299,IF(INDEX('Surface DEET'!$Q$9:$W$38,COLUMN(N292)-COLUMN($E$5),1)&gt;0,INDEX('Surface DEET'!$Q$9:$W$38,COLUMN(N292)-COLUMN($E$5),1),0),0)</f>
        <v>0</v>
      </c>
      <c r="O299" s="295">
        <f>IF(O$6=$C299,IF(INDEX('Surface DEET'!$Q$9:$W$38,COLUMN(O292)-COLUMN($E$5),1)&gt;0,INDEX('Surface DEET'!$Q$9:$W$38,COLUMN(O292)-COLUMN($E$5),1),0),0)</f>
        <v>0</v>
      </c>
      <c r="P299" s="295">
        <f>IF(P$6=$C299,IF(INDEX('Surface DEET'!$Q$9:$W$38,COLUMN(P292)-COLUMN($E$5),1)&gt;0,INDEX('Surface DEET'!$Q$9:$W$38,COLUMN(P292)-COLUMN($E$5),1),0),0)</f>
        <v>0</v>
      </c>
      <c r="Q299" s="295">
        <f>IF(Q$6=$C299,IF(INDEX('Surface DEET'!$Q$9:$W$38,COLUMN(Q292)-COLUMN($E$5),1)&gt;0,INDEX('Surface DEET'!$Q$9:$W$38,COLUMN(Q292)-COLUMN($E$5),1),0),0)</f>
        <v>0</v>
      </c>
      <c r="R299" s="295">
        <f>IF(R$6=$C299,IF(INDEX('Surface DEET'!$Q$9:$W$38,COLUMN(R292)-COLUMN($E$5),1)&gt;0,INDEX('Surface DEET'!$Q$9:$W$38,COLUMN(R292)-COLUMN($E$5),1),0),0)</f>
        <v>0</v>
      </c>
      <c r="S299" s="295">
        <f>IF(S$6=$C299,IF(INDEX('Surface DEET'!$Q$9:$W$38,COLUMN(S292)-COLUMN($E$5),1)&gt;0,INDEX('Surface DEET'!$Q$9:$W$38,COLUMN(S292)-COLUMN($E$5),1),0),0)</f>
        <v>0</v>
      </c>
      <c r="T299" s="295">
        <f>IF(T$6=$C299,IF(INDEX('Surface DEET'!$Q$9:$W$38,COLUMN(T292)-COLUMN($E$5),1)&gt;0,INDEX('Surface DEET'!$Q$9:$W$38,COLUMN(T292)-COLUMN($E$5),1),0),0)</f>
        <v>0</v>
      </c>
      <c r="U299" s="295">
        <f>IF(U$6=$C299,IF(INDEX('Surface DEET'!$Q$9:$W$38,COLUMN(U292)-COLUMN($E$5),1)&gt;0,INDEX('Surface DEET'!$Q$9:$W$38,COLUMN(U292)-COLUMN($E$5),1),0),0)</f>
        <v>0</v>
      </c>
      <c r="V299" s="295">
        <f>IF(V$6=$C299,IF(INDEX('Surface DEET'!$Q$9:$W$38,COLUMN(V292)-COLUMN($E$5),1)&gt;0,INDEX('Surface DEET'!$Q$9:$W$38,COLUMN(V292)-COLUMN($E$5),1),0),0)</f>
        <v>0</v>
      </c>
      <c r="W299" s="295">
        <f>IF(W$6=$C299,IF(INDEX('Surface DEET'!$Q$9:$W$38,COLUMN(W292)-COLUMN($E$5),1)&gt;0,INDEX('Surface DEET'!$Q$9:$W$38,COLUMN(W292)-COLUMN($E$5),1),0),0)</f>
        <v>0</v>
      </c>
      <c r="X299" s="295">
        <f>IF(X$6=$C299,IF(INDEX('Surface DEET'!$Q$9:$W$38,COLUMN(X292)-COLUMN($E$5),1)&gt;0,INDEX('Surface DEET'!$Q$9:$W$38,COLUMN(X292)-COLUMN($E$5),1),0),0)</f>
        <v>0</v>
      </c>
      <c r="Y299" s="295">
        <f>IF(Y$6=$C299,IF(INDEX('Surface DEET'!$Q$9:$W$38,COLUMN(Y292)-COLUMN($E$5),1)&gt;0,INDEX('Surface DEET'!$Q$9:$W$38,COLUMN(Y292)-COLUMN($E$5),1),0),0)</f>
        <v>0</v>
      </c>
      <c r="Z299" s="295">
        <f>IF(Z$6=$C299,IF(INDEX('Surface DEET'!$Q$9:$W$38,COLUMN(Z292)-COLUMN($E$5),1)&gt;0,INDEX('Surface DEET'!$Q$9:$W$38,COLUMN(Z292)-COLUMN($E$5),1),0),0)</f>
        <v>0</v>
      </c>
      <c r="AA299" s="295">
        <f>IF(AA$6=$C299,IF(INDEX('Surface DEET'!$Q$9:$W$38,COLUMN(AA292)-COLUMN($E$5),1)&gt;0,INDEX('Surface DEET'!$Q$9:$W$38,COLUMN(AA292)-COLUMN($E$5),1),0),0)</f>
        <v>0</v>
      </c>
      <c r="AB299" s="295">
        <f>IF(AB$6=$C299,IF(INDEX('Surface DEET'!$Q$9:$W$38,COLUMN(AB292)-COLUMN($E$5),1)&gt;0,INDEX('Surface DEET'!$Q$9:$W$38,COLUMN(AB292)-COLUMN($E$5),1),0),0)</f>
        <v>0</v>
      </c>
      <c r="AC299" s="295">
        <f>IF(AC$6=$C299,IF(INDEX('Surface DEET'!$Q$9:$W$38,COLUMN(AC292)-COLUMN($E$5),1)&gt;0,INDEX('Surface DEET'!$Q$9:$W$38,COLUMN(AC292)-COLUMN($E$5),1),0),0)</f>
        <v>0</v>
      </c>
      <c r="AD299" s="295">
        <f>IF(AD$6=$C299,IF(INDEX('Surface DEET'!$Q$9:$W$38,COLUMN(AD292)-COLUMN($E$5),1)&gt;0,INDEX('Surface DEET'!$Q$9:$W$38,COLUMN(AD292)-COLUMN($E$5),1),0),0)</f>
        <v>0</v>
      </c>
      <c r="AE299" s="295">
        <f>IF(AE$6=$C299,IF(INDEX('Surface DEET'!$Q$9:$W$38,COLUMN(AE292)-COLUMN($E$5),1)&gt;0,INDEX('Surface DEET'!$Q$9:$W$38,COLUMN(AE292)-COLUMN($E$5),1),0),0)</f>
        <v>0</v>
      </c>
      <c r="AF299" s="295">
        <f>IF(AF$6=$C299,IF(INDEX('Surface DEET'!$Q$9:$W$38,COLUMN(AF292)-COLUMN($E$5),1)&gt;0,INDEX('Surface DEET'!$Q$9:$W$38,COLUMN(AF292)-COLUMN($E$5),1),0),0)</f>
        <v>0</v>
      </c>
      <c r="AG299" s="295">
        <f>IF(AG$6=$C299,IF(INDEX('Surface DEET'!$Q$9:$W$38,COLUMN(AG292)-COLUMN($E$5),1)&gt;0,INDEX('Surface DEET'!$Q$9:$W$38,COLUMN(AG292)-COLUMN($E$5),1),0),0)</f>
        <v>0</v>
      </c>
      <c r="AH299" s="295">
        <f>IF(AH$6=$C299,IF(INDEX('Surface DEET'!$Q$9:$W$38,COLUMN(AH292)-COLUMN($E$5),1)&gt;0,INDEX('Surface DEET'!$Q$9:$W$38,COLUMN(AH292)-COLUMN($E$5),1),0),0)</f>
        <v>0</v>
      </c>
      <c r="AI299" s="295">
        <f>IF(AI$6=$C299,IF(INDEX('Surface DEET'!$Q$9:$W$38,COLUMN(AI292)-COLUMN($E$5),1)&gt;0,INDEX('Surface DEET'!$Q$9:$W$38,COLUMN(AI292)-COLUMN($E$5),1),0),0)</f>
        <v>0</v>
      </c>
    </row>
    <row r="300" spans="2:35">
      <c r="B300" s="295" t="s">
        <v>549</v>
      </c>
      <c r="C300" s="295" t="s">
        <v>671</v>
      </c>
      <c r="D300" s="295" t="s">
        <v>669</v>
      </c>
      <c r="E300" s="295">
        <v>1900</v>
      </c>
      <c r="F300" s="295">
        <f>IF(F$6=$C300,IF(INDEX('Surface DEET'!$Q$9:$W$38,COLUMN(F293)-COLUMN($E$5),4)&gt;0,INDEX('Surface DEET'!$Q$9:$W$38,COLUMN(F293)-COLUMN($E$5),4),0),0)</f>
        <v>0</v>
      </c>
      <c r="G300" s="295">
        <f>IF(G$6=$C300,IF(INDEX('Surface DEET'!$Q$9:$W$38,COLUMN(G293)-COLUMN($E$5),4)&gt;0,INDEX('Surface DEET'!$Q$9:$W$38,COLUMN(G293)-COLUMN($E$5),4),0),0)</f>
        <v>0</v>
      </c>
      <c r="H300" s="295">
        <f>IF(H$6=$C300,IF(INDEX('Surface DEET'!$Q$9:$W$38,COLUMN(H293)-COLUMN($E$5),4)&gt;0,INDEX('Surface DEET'!$Q$9:$W$38,COLUMN(H293)-COLUMN($E$5),4),0),0)</f>
        <v>0</v>
      </c>
      <c r="I300" s="295">
        <f>IF(I$6=$C300,IF(INDEX('Surface DEET'!$Q$9:$W$38,COLUMN(I293)-COLUMN($E$5),4)&gt;0,INDEX('Surface DEET'!$Q$9:$W$38,COLUMN(I293)-COLUMN($E$5),4),0),0)</f>
        <v>0</v>
      </c>
      <c r="J300" s="295">
        <f>IF(J$6=$C300,IF(INDEX('Surface DEET'!$Q$9:$W$38,COLUMN(J293)-COLUMN($E$5),4)&gt;0,INDEX('Surface DEET'!$Q$9:$W$38,COLUMN(J293)-COLUMN($E$5),4),0),0)</f>
        <v>0</v>
      </c>
      <c r="K300" s="295">
        <f>IF(K$6=$C300,IF(INDEX('Surface DEET'!$Q$9:$W$38,COLUMN(K293)-COLUMN($E$5),4)&gt;0,INDEX('Surface DEET'!$Q$9:$W$38,COLUMN(K293)-COLUMN($E$5),4),0),0)</f>
        <v>0</v>
      </c>
      <c r="L300" s="295">
        <f>IF(L$6=$C300,IF(INDEX('Surface DEET'!$Q$9:$W$38,COLUMN(L293)-COLUMN($E$5),4)&gt;0,INDEX('Surface DEET'!$Q$9:$W$38,COLUMN(L293)-COLUMN($E$5),4),0),0)</f>
        <v>0</v>
      </c>
      <c r="M300" s="295">
        <f>IF(M$6=$C300,IF(INDEX('Surface DEET'!$Q$9:$W$38,COLUMN(M293)-COLUMN($E$5),4)&gt;0,INDEX('Surface DEET'!$Q$9:$W$38,COLUMN(M293)-COLUMN($E$5),4),0),0)</f>
        <v>0</v>
      </c>
      <c r="N300" s="295">
        <f>IF(N$6=$C300,IF(INDEX('Surface DEET'!$Q$9:$W$38,COLUMN(N293)-COLUMN($E$5),4)&gt;0,INDEX('Surface DEET'!$Q$9:$W$38,COLUMN(N293)-COLUMN($E$5),4),0),0)</f>
        <v>0</v>
      </c>
      <c r="O300" s="295">
        <f>IF(O$6=$C300,IF(INDEX('Surface DEET'!$Q$9:$W$38,COLUMN(O293)-COLUMN($E$5),4)&gt;0,INDEX('Surface DEET'!$Q$9:$W$38,COLUMN(O293)-COLUMN($E$5),4),0),0)</f>
        <v>0</v>
      </c>
      <c r="P300" s="295">
        <f>IF(P$6=$C300,IF(INDEX('Surface DEET'!$Q$9:$W$38,COLUMN(P293)-COLUMN($E$5),4)&gt;0,INDEX('Surface DEET'!$Q$9:$W$38,COLUMN(P293)-COLUMN($E$5),4),0),0)</f>
        <v>0</v>
      </c>
      <c r="Q300" s="295">
        <f>IF(Q$6=$C300,IF(INDEX('Surface DEET'!$Q$9:$W$38,COLUMN(Q293)-COLUMN($E$5),4)&gt;0,INDEX('Surface DEET'!$Q$9:$W$38,COLUMN(Q293)-COLUMN($E$5),4),0),0)</f>
        <v>0</v>
      </c>
      <c r="R300" s="295">
        <f>IF(R$6=$C300,IF(INDEX('Surface DEET'!$Q$9:$W$38,COLUMN(R293)-COLUMN($E$5),4)&gt;0,INDEX('Surface DEET'!$Q$9:$W$38,COLUMN(R293)-COLUMN($E$5),4),0),0)</f>
        <v>0</v>
      </c>
      <c r="S300" s="295">
        <f>IF(S$6=$C300,IF(INDEX('Surface DEET'!$Q$9:$W$38,COLUMN(S293)-COLUMN($E$5),4)&gt;0,INDEX('Surface DEET'!$Q$9:$W$38,COLUMN(S293)-COLUMN($E$5),4),0),0)</f>
        <v>0</v>
      </c>
      <c r="T300" s="295">
        <f>IF(T$6=$C300,IF(INDEX('Surface DEET'!$Q$9:$W$38,COLUMN(T293)-COLUMN($E$5),4)&gt;0,INDEX('Surface DEET'!$Q$9:$W$38,COLUMN(T293)-COLUMN($E$5),4),0),0)</f>
        <v>0</v>
      </c>
      <c r="U300" s="295">
        <f>IF(U$6=$C300,IF(INDEX('Surface DEET'!$Q$9:$W$38,COLUMN(U293)-COLUMN($E$5),4)&gt;0,INDEX('Surface DEET'!$Q$9:$W$38,COLUMN(U293)-COLUMN($E$5),4),0),0)</f>
        <v>0</v>
      </c>
      <c r="V300" s="295">
        <f>IF(V$6=$C300,IF(INDEX('Surface DEET'!$Q$9:$W$38,COLUMN(V293)-COLUMN($E$5),4)&gt;0,INDEX('Surface DEET'!$Q$9:$W$38,COLUMN(V293)-COLUMN($E$5),4),0),0)</f>
        <v>0</v>
      </c>
      <c r="W300" s="295">
        <f>IF(W$6=$C300,IF(INDEX('Surface DEET'!$Q$9:$W$38,COLUMN(W293)-COLUMN($E$5),4)&gt;0,INDEX('Surface DEET'!$Q$9:$W$38,COLUMN(W293)-COLUMN($E$5),4),0),0)</f>
        <v>0</v>
      </c>
      <c r="X300" s="295">
        <f>IF(X$6=$C300,IF(INDEX('Surface DEET'!$Q$9:$W$38,COLUMN(X293)-COLUMN($E$5),4)&gt;0,INDEX('Surface DEET'!$Q$9:$W$38,COLUMN(X293)-COLUMN($E$5),4),0),0)</f>
        <v>0</v>
      </c>
      <c r="Y300" s="295">
        <f>IF(Y$6=$C300,IF(INDEX('Surface DEET'!$Q$9:$W$38,COLUMN(Y293)-COLUMN($E$5),4)&gt;0,INDEX('Surface DEET'!$Q$9:$W$38,COLUMN(Y293)-COLUMN($E$5),4),0),0)</f>
        <v>0</v>
      </c>
      <c r="Z300" s="295">
        <f>IF(Z$6=$C300,IF(INDEX('Surface DEET'!$Q$9:$W$38,COLUMN(Z293)-COLUMN($E$5),4)&gt;0,INDEX('Surface DEET'!$Q$9:$W$38,COLUMN(Z293)-COLUMN($E$5),4),0),0)</f>
        <v>0</v>
      </c>
      <c r="AA300" s="295">
        <f>IF(AA$6=$C300,IF(INDEX('Surface DEET'!$Q$9:$W$38,COLUMN(AA293)-COLUMN($E$5),4)&gt;0,INDEX('Surface DEET'!$Q$9:$W$38,COLUMN(AA293)-COLUMN($E$5),4),0),0)</f>
        <v>0</v>
      </c>
      <c r="AB300" s="295">
        <f>IF(AB$6=$C300,IF(INDEX('Surface DEET'!$Q$9:$W$38,COLUMN(AB293)-COLUMN($E$5),4)&gt;0,INDEX('Surface DEET'!$Q$9:$W$38,COLUMN(AB293)-COLUMN($E$5),4),0),0)</f>
        <v>0</v>
      </c>
      <c r="AC300" s="295">
        <f>IF(AC$6=$C300,IF(INDEX('Surface DEET'!$Q$9:$W$38,COLUMN(AC293)-COLUMN($E$5),4)&gt;0,INDEX('Surface DEET'!$Q$9:$W$38,COLUMN(AC293)-COLUMN($E$5),4),0),0)</f>
        <v>0</v>
      </c>
      <c r="AD300" s="295">
        <f>IF(AD$6=$C300,IF(INDEX('Surface DEET'!$Q$9:$W$38,COLUMN(AD293)-COLUMN($E$5),4)&gt;0,INDEX('Surface DEET'!$Q$9:$W$38,COLUMN(AD293)-COLUMN($E$5),4),0),0)</f>
        <v>0</v>
      </c>
      <c r="AE300" s="295">
        <f>IF(AE$6=$C300,IF(INDEX('Surface DEET'!$Q$9:$W$38,COLUMN(AE293)-COLUMN($E$5),4)&gt;0,INDEX('Surface DEET'!$Q$9:$W$38,COLUMN(AE293)-COLUMN($E$5),4),0),0)</f>
        <v>0</v>
      </c>
      <c r="AF300" s="295">
        <f>IF(AF$6=$C300,IF(INDEX('Surface DEET'!$Q$9:$W$38,COLUMN(AF293)-COLUMN($E$5),4)&gt;0,INDEX('Surface DEET'!$Q$9:$W$38,COLUMN(AF293)-COLUMN($E$5),4),0),0)</f>
        <v>0</v>
      </c>
      <c r="AG300" s="295">
        <f>IF(AG$6=$C300,IF(INDEX('Surface DEET'!$Q$9:$W$38,COLUMN(AG293)-COLUMN($E$5),4)&gt;0,INDEX('Surface DEET'!$Q$9:$W$38,COLUMN(AG293)-COLUMN($E$5),4),0),0)</f>
        <v>0</v>
      </c>
      <c r="AH300" s="295">
        <f>IF(AH$6=$C300,IF(INDEX('Surface DEET'!$Q$9:$W$38,COLUMN(AH293)-COLUMN($E$5),4)&gt;0,INDEX('Surface DEET'!$Q$9:$W$38,COLUMN(AH293)-COLUMN($E$5),4),0),0)</f>
        <v>0</v>
      </c>
      <c r="AI300" s="295">
        <f>IF(AI$6=$C300,IF(INDEX('Surface DEET'!$Q$9:$W$38,COLUMN(AI293)-COLUMN($E$5),4)&gt;0,INDEX('Surface DEET'!$Q$9:$W$38,COLUMN(AI293)-COLUMN($E$5),4),0),0)</f>
        <v>0</v>
      </c>
    </row>
    <row r="301" spans="2:35">
      <c r="B301" s="295" t="s">
        <v>552</v>
      </c>
      <c r="C301" s="295" t="s">
        <v>671</v>
      </c>
    </row>
    <row r="302" spans="2:35">
      <c r="B302" s="295" t="s">
        <v>542</v>
      </c>
      <c r="C302" s="295" t="s">
        <v>671</v>
      </c>
      <c r="D302" s="295" t="s">
        <v>542</v>
      </c>
      <c r="F302" s="295">
        <f>$E$296*(1+2*F299/$E$299+F300/$E$300)</f>
        <v>15</v>
      </c>
      <c r="G302" s="295">
        <f t="shared" ref="G302:AI302" si="36">$E$296*(1+2*G299/$E$299+G300/$E$300)</f>
        <v>15</v>
      </c>
      <c r="H302" s="295">
        <f t="shared" si="36"/>
        <v>15</v>
      </c>
      <c r="I302" s="295">
        <f t="shared" si="36"/>
        <v>15</v>
      </c>
      <c r="J302" s="295">
        <f t="shared" si="36"/>
        <v>15</v>
      </c>
      <c r="K302" s="295">
        <f t="shared" si="36"/>
        <v>15</v>
      </c>
      <c r="L302" s="295">
        <f t="shared" si="36"/>
        <v>15</v>
      </c>
      <c r="M302" s="295">
        <f t="shared" si="36"/>
        <v>15</v>
      </c>
      <c r="N302" s="295">
        <f t="shared" si="36"/>
        <v>15</v>
      </c>
      <c r="O302" s="295">
        <f t="shared" si="36"/>
        <v>15</v>
      </c>
      <c r="P302" s="295">
        <f t="shared" si="36"/>
        <v>15</v>
      </c>
      <c r="Q302" s="295">
        <f t="shared" si="36"/>
        <v>15</v>
      </c>
      <c r="R302" s="295">
        <f t="shared" si="36"/>
        <v>15</v>
      </c>
      <c r="S302" s="295">
        <f t="shared" si="36"/>
        <v>15</v>
      </c>
      <c r="T302" s="295">
        <f t="shared" si="36"/>
        <v>15</v>
      </c>
      <c r="U302" s="295">
        <f t="shared" si="36"/>
        <v>15</v>
      </c>
      <c r="V302" s="295">
        <f t="shared" si="36"/>
        <v>15</v>
      </c>
      <c r="W302" s="295">
        <f t="shared" si="36"/>
        <v>15</v>
      </c>
      <c r="X302" s="295">
        <f t="shared" si="36"/>
        <v>15</v>
      </c>
      <c r="Y302" s="295">
        <f t="shared" si="36"/>
        <v>15</v>
      </c>
      <c r="Z302" s="295">
        <f t="shared" si="36"/>
        <v>15</v>
      </c>
      <c r="AA302" s="295">
        <f t="shared" si="36"/>
        <v>15</v>
      </c>
      <c r="AB302" s="295">
        <f t="shared" si="36"/>
        <v>15</v>
      </c>
      <c r="AC302" s="295">
        <f t="shared" si="36"/>
        <v>15</v>
      </c>
      <c r="AD302" s="295">
        <f t="shared" si="36"/>
        <v>15</v>
      </c>
      <c r="AE302" s="295">
        <f t="shared" si="36"/>
        <v>15</v>
      </c>
      <c r="AF302" s="295">
        <f t="shared" si="36"/>
        <v>15</v>
      </c>
      <c r="AG302" s="295">
        <f t="shared" si="36"/>
        <v>15</v>
      </c>
      <c r="AH302" s="295">
        <f t="shared" si="36"/>
        <v>15</v>
      </c>
      <c r="AI302" s="295">
        <f t="shared" si="36"/>
        <v>15</v>
      </c>
    </row>
    <row r="303" spans="2:35">
      <c r="B303" s="93" t="s">
        <v>301</v>
      </c>
      <c r="C303" s="295" t="s">
        <v>672</v>
      </c>
      <c r="D303" s="93" t="s">
        <v>301</v>
      </c>
      <c r="E303" s="295">
        <f t="array" ref="E303">INDEX(CABS_CVC!$C$3:$O$894,MATCH(1, (CABS_CVC!$A$3:$A$894=Calculs_CABS!C303)*(CABS_CVC!$B$3:$B$894=Calculs_CABS!$D$2),0),MATCH(Calculs_CABS!$D$1,Liste_CABS!$B$3:$B$15,0))</f>
        <v>60</v>
      </c>
    </row>
    <row r="304" spans="2:35">
      <c r="B304" s="295" t="s">
        <v>543</v>
      </c>
      <c r="C304" s="295" t="s">
        <v>672</v>
      </c>
      <c r="D304" s="295" t="s">
        <v>543</v>
      </c>
      <c r="E304" s="295">
        <v>20</v>
      </c>
    </row>
    <row r="305" spans="2:35">
      <c r="B305" s="295" t="s">
        <v>544</v>
      </c>
      <c r="C305" s="295" t="s">
        <v>672</v>
      </c>
      <c r="D305" s="295" t="s">
        <v>544</v>
      </c>
      <c r="E305" s="295">
        <f>E303+E304</f>
        <v>80</v>
      </c>
    </row>
    <row r="306" spans="2:35">
      <c r="B306" s="295" t="s">
        <v>545</v>
      </c>
      <c r="C306" s="295" t="s">
        <v>672</v>
      </c>
      <c r="D306" s="295" t="s">
        <v>545</v>
      </c>
      <c r="E306" s="295">
        <v>0</v>
      </c>
    </row>
    <row r="307" spans="2:35">
      <c r="B307" s="295" t="s">
        <v>546</v>
      </c>
      <c r="C307" s="295" t="s">
        <v>672</v>
      </c>
      <c r="D307" s="295" t="s">
        <v>668</v>
      </c>
      <c r="E307" s="295">
        <v>4560</v>
      </c>
      <c r="F307" s="295">
        <f>IF(F$6=$C307,IF(INDEX('Surface DEET'!$Q$9:$W$38,COLUMN(F300)-COLUMN($E$5),1)&gt;0,INDEX('Surface DEET'!$Q$9:$W$38,COLUMN(F300)-COLUMN($E$5),1),0),0)</f>
        <v>0</v>
      </c>
      <c r="G307" s="295">
        <f>IF(G$6=$C307,IF(INDEX('Surface DEET'!$Q$9:$W$38,COLUMN(G300)-COLUMN($E$5),1)&gt;0,INDEX('Surface DEET'!$Q$9:$W$38,COLUMN(G300)-COLUMN($E$5),1),0),0)</f>
        <v>0</v>
      </c>
      <c r="H307" s="295">
        <f>IF(H$6=$C307,IF(INDEX('Surface DEET'!$Q$9:$W$38,COLUMN(H300)-COLUMN($E$5),1)&gt;0,INDEX('Surface DEET'!$Q$9:$W$38,COLUMN(H300)-COLUMN($E$5),1),0),0)</f>
        <v>0</v>
      </c>
      <c r="I307" s="295">
        <f>IF(I$6=$C307,IF(INDEX('Surface DEET'!$Q$9:$W$38,COLUMN(I300)-COLUMN($E$5),1)&gt;0,INDEX('Surface DEET'!$Q$9:$W$38,COLUMN(I300)-COLUMN($E$5),1),0),0)</f>
        <v>0</v>
      </c>
      <c r="J307" s="295">
        <f>IF(J$6=$C307,IF(INDEX('Surface DEET'!$Q$9:$W$38,COLUMN(J300)-COLUMN($E$5),1)&gt;0,INDEX('Surface DEET'!$Q$9:$W$38,COLUMN(J300)-COLUMN($E$5),1),0),0)</f>
        <v>0</v>
      </c>
      <c r="K307" s="295">
        <f>IF(K$6=$C307,IF(INDEX('Surface DEET'!$Q$9:$W$38,COLUMN(K300)-COLUMN($E$5),1)&gt;0,INDEX('Surface DEET'!$Q$9:$W$38,COLUMN(K300)-COLUMN($E$5),1),0),0)</f>
        <v>0</v>
      </c>
      <c r="L307" s="295">
        <f>IF(L$6=$C307,IF(INDEX('Surface DEET'!$Q$9:$W$38,COLUMN(L300)-COLUMN($E$5),1)&gt;0,INDEX('Surface DEET'!$Q$9:$W$38,COLUMN(L300)-COLUMN($E$5),1),0),0)</f>
        <v>0</v>
      </c>
      <c r="M307" s="295">
        <f>IF(M$6=$C307,IF(INDEX('Surface DEET'!$Q$9:$W$38,COLUMN(M300)-COLUMN($E$5),1)&gt;0,INDEX('Surface DEET'!$Q$9:$W$38,COLUMN(M300)-COLUMN($E$5),1),0),0)</f>
        <v>0</v>
      </c>
      <c r="N307" s="295">
        <f>IF(N$6=$C307,IF(INDEX('Surface DEET'!$Q$9:$W$38,COLUMN(N300)-COLUMN($E$5),1)&gt;0,INDEX('Surface DEET'!$Q$9:$W$38,COLUMN(N300)-COLUMN($E$5),1),0),0)</f>
        <v>0</v>
      </c>
      <c r="O307" s="295">
        <f>IF(O$6=$C307,IF(INDEX('Surface DEET'!$Q$9:$W$38,COLUMN(O300)-COLUMN($E$5),1)&gt;0,INDEX('Surface DEET'!$Q$9:$W$38,COLUMN(O300)-COLUMN($E$5),1),0),0)</f>
        <v>0</v>
      </c>
      <c r="P307" s="295">
        <f>IF(P$6=$C307,IF(INDEX('Surface DEET'!$Q$9:$W$38,COLUMN(P300)-COLUMN($E$5),1)&gt;0,INDEX('Surface DEET'!$Q$9:$W$38,COLUMN(P300)-COLUMN($E$5),1),0),0)</f>
        <v>0</v>
      </c>
      <c r="Q307" s="295">
        <f>IF(Q$6=$C307,IF(INDEX('Surface DEET'!$Q$9:$W$38,COLUMN(Q300)-COLUMN($E$5),1)&gt;0,INDEX('Surface DEET'!$Q$9:$W$38,COLUMN(Q300)-COLUMN($E$5),1),0),0)</f>
        <v>0</v>
      </c>
      <c r="R307" s="295">
        <f>IF(R$6=$C307,IF(INDEX('Surface DEET'!$Q$9:$W$38,COLUMN(R300)-COLUMN($E$5),1)&gt;0,INDEX('Surface DEET'!$Q$9:$W$38,COLUMN(R300)-COLUMN($E$5),1),0),0)</f>
        <v>0</v>
      </c>
      <c r="S307" s="295">
        <f>IF(S$6=$C307,IF(INDEX('Surface DEET'!$Q$9:$W$38,COLUMN(S300)-COLUMN($E$5),1)&gt;0,INDEX('Surface DEET'!$Q$9:$W$38,COLUMN(S300)-COLUMN($E$5),1),0),0)</f>
        <v>0</v>
      </c>
      <c r="T307" s="295">
        <f>IF(T$6=$C307,IF(INDEX('Surface DEET'!$Q$9:$W$38,COLUMN(T300)-COLUMN($E$5),1)&gt;0,INDEX('Surface DEET'!$Q$9:$W$38,COLUMN(T300)-COLUMN($E$5),1),0),0)</f>
        <v>0</v>
      </c>
      <c r="U307" s="295">
        <f>IF(U$6=$C307,IF(INDEX('Surface DEET'!$Q$9:$W$38,COLUMN(U300)-COLUMN($E$5),1)&gt;0,INDEX('Surface DEET'!$Q$9:$W$38,COLUMN(U300)-COLUMN($E$5),1),0),0)</f>
        <v>0</v>
      </c>
      <c r="V307" s="295">
        <f>IF(V$6=$C307,IF(INDEX('Surface DEET'!$Q$9:$W$38,COLUMN(V300)-COLUMN($E$5),1)&gt;0,INDEX('Surface DEET'!$Q$9:$W$38,COLUMN(V300)-COLUMN($E$5),1),0),0)</f>
        <v>0</v>
      </c>
      <c r="W307" s="295">
        <f>IF(W$6=$C307,IF(INDEX('Surface DEET'!$Q$9:$W$38,COLUMN(W300)-COLUMN($E$5),1)&gt;0,INDEX('Surface DEET'!$Q$9:$W$38,COLUMN(W300)-COLUMN($E$5),1),0),0)</f>
        <v>0</v>
      </c>
      <c r="X307" s="295">
        <f>IF(X$6=$C307,IF(INDEX('Surface DEET'!$Q$9:$W$38,COLUMN(X300)-COLUMN($E$5),1)&gt;0,INDEX('Surface DEET'!$Q$9:$W$38,COLUMN(X300)-COLUMN($E$5),1),0),0)</f>
        <v>0</v>
      </c>
      <c r="Y307" s="295">
        <f>IF(Y$6=$C307,IF(INDEX('Surface DEET'!$Q$9:$W$38,COLUMN(Y300)-COLUMN($E$5),1)&gt;0,INDEX('Surface DEET'!$Q$9:$W$38,COLUMN(Y300)-COLUMN($E$5),1),0),0)</f>
        <v>0</v>
      </c>
      <c r="Z307" s="295">
        <f>IF(Z$6=$C307,IF(INDEX('Surface DEET'!$Q$9:$W$38,COLUMN(Z300)-COLUMN($E$5),1)&gt;0,INDEX('Surface DEET'!$Q$9:$W$38,COLUMN(Z300)-COLUMN($E$5),1),0),0)</f>
        <v>0</v>
      </c>
      <c r="AA307" s="295">
        <f>IF(AA$6=$C307,IF(INDEX('Surface DEET'!$Q$9:$W$38,COLUMN(AA300)-COLUMN($E$5),1)&gt;0,INDEX('Surface DEET'!$Q$9:$W$38,COLUMN(AA300)-COLUMN($E$5),1),0),0)</f>
        <v>0</v>
      </c>
      <c r="AB307" s="295">
        <f>IF(AB$6=$C307,IF(INDEX('Surface DEET'!$Q$9:$W$38,COLUMN(AB300)-COLUMN($E$5),1)&gt;0,INDEX('Surface DEET'!$Q$9:$W$38,COLUMN(AB300)-COLUMN($E$5),1),0),0)</f>
        <v>0</v>
      </c>
      <c r="AC307" s="295">
        <f>IF(AC$6=$C307,IF(INDEX('Surface DEET'!$Q$9:$W$38,COLUMN(AC300)-COLUMN($E$5),1)&gt;0,INDEX('Surface DEET'!$Q$9:$W$38,COLUMN(AC300)-COLUMN($E$5),1),0),0)</f>
        <v>0</v>
      </c>
      <c r="AD307" s="295">
        <f>IF(AD$6=$C307,IF(INDEX('Surface DEET'!$Q$9:$W$38,COLUMN(AD300)-COLUMN($E$5),1)&gt;0,INDEX('Surface DEET'!$Q$9:$W$38,COLUMN(AD300)-COLUMN($E$5),1),0),0)</f>
        <v>0</v>
      </c>
      <c r="AE307" s="295">
        <f>IF(AE$6=$C307,IF(INDEX('Surface DEET'!$Q$9:$W$38,COLUMN(AE300)-COLUMN($E$5),1)&gt;0,INDEX('Surface DEET'!$Q$9:$W$38,COLUMN(AE300)-COLUMN($E$5),1),0),0)</f>
        <v>0</v>
      </c>
      <c r="AF307" s="295">
        <f>IF(AF$6=$C307,IF(INDEX('Surface DEET'!$Q$9:$W$38,COLUMN(AF300)-COLUMN($E$5),1)&gt;0,INDEX('Surface DEET'!$Q$9:$W$38,COLUMN(AF300)-COLUMN($E$5),1),0),0)</f>
        <v>0</v>
      </c>
      <c r="AG307" s="295">
        <f>IF(AG$6=$C307,IF(INDEX('Surface DEET'!$Q$9:$W$38,COLUMN(AG300)-COLUMN($E$5),1)&gt;0,INDEX('Surface DEET'!$Q$9:$W$38,COLUMN(AG300)-COLUMN($E$5),1),0),0)</f>
        <v>0</v>
      </c>
      <c r="AH307" s="295">
        <f>IF(AH$6=$C307,IF(INDEX('Surface DEET'!$Q$9:$W$38,COLUMN(AH300)-COLUMN($E$5),1)&gt;0,INDEX('Surface DEET'!$Q$9:$W$38,COLUMN(AH300)-COLUMN($E$5),1),0),0)</f>
        <v>0</v>
      </c>
      <c r="AI307" s="295">
        <f>IF(AI$6=$C307,IF(INDEX('Surface DEET'!$Q$9:$W$38,COLUMN(AI300)-COLUMN($E$5),1)&gt;0,INDEX('Surface DEET'!$Q$9:$W$38,COLUMN(AI300)-COLUMN($E$5),1),0),0)</f>
        <v>0</v>
      </c>
    </row>
    <row r="308" spans="2:35">
      <c r="B308" s="295" t="s">
        <v>549</v>
      </c>
      <c r="C308" s="295" t="s">
        <v>672</v>
      </c>
      <c r="D308" s="295" t="s">
        <v>669</v>
      </c>
      <c r="E308" s="295">
        <v>4560</v>
      </c>
      <c r="F308" s="295">
        <f>IF(F$6=$C308,IF(INDEX('Surface DEET'!$Q$9:$W$38,COLUMN(F301)-COLUMN($E$5),4)&gt;0,INDEX('Surface DEET'!$Q$9:$W$38,COLUMN(F301)-COLUMN($E$5),4),0),0)</f>
        <v>0</v>
      </c>
      <c r="G308" s="295">
        <f>IF(G$6=$C308,IF(INDEX('Surface DEET'!$Q$9:$W$38,COLUMN(G301)-COLUMN($E$5),4)&gt;0,INDEX('Surface DEET'!$Q$9:$W$38,COLUMN(G301)-COLUMN($E$5),4),0),0)</f>
        <v>0</v>
      </c>
      <c r="H308" s="295">
        <f>IF(H$6=$C308,IF(INDEX('Surface DEET'!$Q$9:$W$38,COLUMN(H301)-COLUMN($E$5),4)&gt;0,INDEX('Surface DEET'!$Q$9:$W$38,COLUMN(H301)-COLUMN($E$5),4),0),0)</f>
        <v>0</v>
      </c>
      <c r="I308" s="295">
        <f>IF(I$6=$C308,IF(INDEX('Surface DEET'!$Q$9:$W$38,COLUMN(I301)-COLUMN($E$5),4)&gt;0,INDEX('Surface DEET'!$Q$9:$W$38,COLUMN(I301)-COLUMN($E$5),4),0),0)</f>
        <v>0</v>
      </c>
      <c r="J308" s="295">
        <f>IF(J$6=$C308,IF(INDEX('Surface DEET'!$Q$9:$W$38,COLUMN(J301)-COLUMN($E$5),4)&gt;0,INDEX('Surface DEET'!$Q$9:$W$38,COLUMN(J301)-COLUMN($E$5),4),0),0)</f>
        <v>0</v>
      </c>
      <c r="K308" s="295">
        <f>IF(K$6=$C308,IF(INDEX('Surface DEET'!$Q$9:$W$38,COLUMN(K301)-COLUMN($E$5),4)&gt;0,INDEX('Surface DEET'!$Q$9:$W$38,COLUMN(K301)-COLUMN($E$5),4),0),0)</f>
        <v>0</v>
      </c>
      <c r="L308" s="295">
        <f>IF(L$6=$C308,IF(INDEX('Surface DEET'!$Q$9:$W$38,COLUMN(L301)-COLUMN($E$5),4)&gt;0,INDEX('Surface DEET'!$Q$9:$W$38,COLUMN(L301)-COLUMN($E$5),4),0),0)</f>
        <v>0</v>
      </c>
      <c r="M308" s="295">
        <f>IF(M$6=$C308,IF(INDEX('Surface DEET'!$Q$9:$W$38,COLUMN(M301)-COLUMN($E$5),4)&gt;0,INDEX('Surface DEET'!$Q$9:$W$38,COLUMN(M301)-COLUMN($E$5),4),0),0)</f>
        <v>0</v>
      </c>
      <c r="N308" s="295">
        <f>IF(N$6=$C308,IF(INDEX('Surface DEET'!$Q$9:$W$38,COLUMN(N301)-COLUMN($E$5),4)&gt;0,INDEX('Surface DEET'!$Q$9:$W$38,COLUMN(N301)-COLUMN($E$5),4),0),0)</f>
        <v>0</v>
      </c>
      <c r="O308" s="295">
        <f>IF(O$6=$C308,IF(INDEX('Surface DEET'!$Q$9:$W$38,COLUMN(O301)-COLUMN($E$5),4)&gt;0,INDEX('Surface DEET'!$Q$9:$W$38,COLUMN(O301)-COLUMN($E$5),4),0),0)</f>
        <v>0</v>
      </c>
      <c r="P308" s="295">
        <f>IF(P$6=$C308,IF(INDEX('Surface DEET'!$Q$9:$W$38,COLUMN(P301)-COLUMN($E$5),4)&gt;0,INDEX('Surface DEET'!$Q$9:$W$38,COLUMN(P301)-COLUMN($E$5),4),0),0)</f>
        <v>0</v>
      </c>
      <c r="Q308" s="295">
        <f>IF(Q$6=$C308,IF(INDEX('Surface DEET'!$Q$9:$W$38,COLUMN(Q301)-COLUMN($E$5),4)&gt;0,INDEX('Surface DEET'!$Q$9:$W$38,COLUMN(Q301)-COLUMN($E$5),4),0),0)</f>
        <v>0</v>
      </c>
      <c r="R308" s="295">
        <f>IF(R$6=$C308,IF(INDEX('Surface DEET'!$Q$9:$W$38,COLUMN(R301)-COLUMN($E$5),4)&gt;0,INDEX('Surface DEET'!$Q$9:$W$38,COLUMN(R301)-COLUMN($E$5),4),0),0)</f>
        <v>0</v>
      </c>
      <c r="S308" s="295">
        <f>IF(S$6=$C308,IF(INDEX('Surface DEET'!$Q$9:$W$38,COLUMN(S301)-COLUMN($E$5),4)&gt;0,INDEX('Surface DEET'!$Q$9:$W$38,COLUMN(S301)-COLUMN($E$5),4),0),0)</f>
        <v>0</v>
      </c>
      <c r="T308" s="295">
        <f>IF(T$6=$C308,IF(INDEX('Surface DEET'!$Q$9:$W$38,COLUMN(T301)-COLUMN($E$5),4)&gt;0,INDEX('Surface DEET'!$Q$9:$W$38,COLUMN(T301)-COLUMN($E$5),4),0),0)</f>
        <v>0</v>
      </c>
      <c r="U308" s="295">
        <f>IF(U$6=$C308,IF(INDEX('Surface DEET'!$Q$9:$W$38,COLUMN(U301)-COLUMN($E$5),4)&gt;0,INDEX('Surface DEET'!$Q$9:$W$38,COLUMN(U301)-COLUMN($E$5),4),0),0)</f>
        <v>0</v>
      </c>
      <c r="V308" s="295">
        <f>IF(V$6=$C308,IF(INDEX('Surface DEET'!$Q$9:$W$38,COLUMN(V301)-COLUMN($E$5),4)&gt;0,INDEX('Surface DEET'!$Q$9:$W$38,COLUMN(V301)-COLUMN($E$5),4),0),0)</f>
        <v>0</v>
      </c>
      <c r="W308" s="295">
        <f>IF(W$6=$C308,IF(INDEX('Surface DEET'!$Q$9:$W$38,COLUMN(W301)-COLUMN($E$5),4)&gt;0,INDEX('Surface DEET'!$Q$9:$W$38,COLUMN(W301)-COLUMN($E$5),4),0),0)</f>
        <v>0</v>
      </c>
      <c r="X308" s="295">
        <f>IF(X$6=$C308,IF(INDEX('Surface DEET'!$Q$9:$W$38,COLUMN(X301)-COLUMN($E$5),4)&gt;0,INDEX('Surface DEET'!$Q$9:$W$38,COLUMN(X301)-COLUMN($E$5),4),0),0)</f>
        <v>0</v>
      </c>
      <c r="Y308" s="295">
        <f>IF(Y$6=$C308,IF(INDEX('Surface DEET'!$Q$9:$W$38,COLUMN(Y301)-COLUMN($E$5),4)&gt;0,INDEX('Surface DEET'!$Q$9:$W$38,COLUMN(Y301)-COLUMN($E$5),4),0),0)</f>
        <v>0</v>
      </c>
      <c r="Z308" s="295">
        <f>IF(Z$6=$C308,IF(INDEX('Surface DEET'!$Q$9:$W$38,COLUMN(Z301)-COLUMN($E$5),4)&gt;0,INDEX('Surface DEET'!$Q$9:$W$38,COLUMN(Z301)-COLUMN($E$5),4),0),0)</f>
        <v>0</v>
      </c>
      <c r="AA308" s="295">
        <f>IF(AA$6=$C308,IF(INDEX('Surface DEET'!$Q$9:$W$38,COLUMN(AA301)-COLUMN($E$5),4)&gt;0,INDEX('Surface DEET'!$Q$9:$W$38,COLUMN(AA301)-COLUMN($E$5),4),0),0)</f>
        <v>0</v>
      </c>
      <c r="AB308" s="295">
        <f>IF(AB$6=$C308,IF(INDEX('Surface DEET'!$Q$9:$W$38,COLUMN(AB301)-COLUMN($E$5),4)&gt;0,INDEX('Surface DEET'!$Q$9:$W$38,COLUMN(AB301)-COLUMN($E$5),4),0),0)</f>
        <v>0</v>
      </c>
      <c r="AC308" s="295">
        <f>IF(AC$6=$C308,IF(INDEX('Surface DEET'!$Q$9:$W$38,COLUMN(AC301)-COLUMN($E$5),4)&gt;0,INDEX('Surface DEET'!$Q$9:$W$38,COLUMN(AC301)-COLUMN($E$5),4),0),0)</f>
        <v>0</v>
      </c>
      <c r="AD308" s="295">
        <f>IF(AD$6=$C308,IF(INDEX('Surface DEET'!$Q$9:$W$38,COLUMN(AD301)-COLUMN($E$5),4)&gt;0,INDEX('Surface DEET'!$Q$9:$W$38,COLUMN(AD301)-COLUMN($E$5),4),0),0)</f>
        <v>0</v>
      </c>
      <c r="AE308" s="295">
        <f>IF(AE$6=$C308,IF(INDEX('Surface DEET'!$Q$9:$W$38,COLUMN(AE301)-COLUMN($E$5),4)&gt;0,INDEX('Surface DEET'!$Q$9:$W$38,COLUMN(AE301)-COLUMN($E$5),4),0),0)</f>
        <v>0</v>
      </c>
      <c r="AF308" s="295">
        <f>IF(AF$6=$C308,IF(INDEX('Surface DEET'!$Q$9:$W$38,COLUMN(AF301)-COLUMN($E$5),4)&gt;0,INDEX('Surface DEET'!$Q$9:$W$38,COLUMN(AF301)-COLUMN($E$5),4),0),0)</f>
        <v>0</v>
      </c>
      <c r="AG308" s="295">
        <f>IF(AG$6=$C308,IF(INDEX('Surface DEET'!$Q$9:$W$38,COLUMN(AG301)-COLUMN($E$5),4)&gt;0,INDEX('Surface DEET'!$Q$9:$W$38,COLUMN(AG301)-COLUMN($E$5),4),0),0)</f>
        <v>0</v>
      </c>
      <c r="AH308" s="295">
        <f>IF(AH$6=$C308,IF(INDEX('Surface DEET'!$Q$9:$W$38,COLUMN(AH301)-COLUMN($E$5),4)&gt;0,INDEX('Surface DEET'!$Q$9:$W$38,COLUMN(AH301)-COLUMN($E$5),4),0),0)</f>
        <v>0</v>
      </c>
      <c r="AI308" s="295">
        <f>IF(AI$6=$C308,IF(INDEX('Surface DEET'!$Q$9:$W$38,COLUMN(AI301)-COLUMN($E$5),4)&gt;0,INDEX('Surface DEET'!$Q$9:$W$38,COLUMN(AI301)-COLUMN($E$5),4),0),0)</f>
        <v>0</v>
      </c>
    </row>
    <row r="309" spans="2:35">
      <c r="B309" s="295" t="s">
        <v>552</v>
      </c>
      <c r="C309" s="295" t="s">
        <v>672</v>
      </c>
    </row>
    <row r="310" spans="2:35">
      <c r="B310" s="295" t="s">
        <v>542</v>
      </c>
      <c r="C310" s="295" t="s">
        <v>672</v>
      </c>
      <c r="D310" s="295" t="s">
        <v>542</v>
      </c>
      <c r="F310" s="295">
        <f>$E$304*(1+2*F307/$E$307+F308/$E$308)</f>
        <v>20</v>
      </c>
      <c r="G310" s="295">
        <f t="shared" ref="G310:AI310" si="37">$E$304*(1+2*G307/$E$307+G308/$E$308)</f>
        <v>20</v>
      </c>
      <c r="H310" s="295">
        <f t="shared" si="37"/>
        <v>20</v>
      </c>
      <c r="I310" s="295">
        <f t="shared" si="37"/>
        <v>20</v>
      </c>
      <c r="J310" s="295">
        <f t="shared" si="37"/>
        <v>20</v>
      </c>
      <c r="K310" s="295">
        <f t="shared" si="37"/>
        <v>20</v>
      </c>
      <c r="L310" s="295">
        <f t="shared" si="37"/>
        <v>20</v>
      </c>
      <c r="M310" s="295">
        <f t="shared" si="37"/>
        <v>20</v>
      </c>
      <c r="N310" s="295">
        <f t="shared" si="37"/>
        <v>20</v>
      </c>
      <c r="O310" s="295">
        <f t="shared" si="37"/>
        <v>20</v>
      </c>
      <c r="P310" s="295">
        <f t="shared" si="37"/>
        <v>20</v>
      </c>
      <c r="Q310" s="295">
        <f t="shared" si="37"/>
        <v>20</v>
      </c>
      <c r="R310" s="295">
        <f t="shared" si="37"/>
        <v>20</v>
      </c>
      <c r="S310" s="295">
        <f t="shared" si="37"/>
        <v>20</v>
      </c>
      <c r="T310" s="295">
        <f t="shared" si="37"/>
        <v>20</v>
      </c>
      <c r="U310" s="295">
        <f t="shared" si="37"/>
        <v>20</v>
      </c>
      <c r="V310" s="295">
        <f t="shared" si="37"/>
        <v>20</v>
      </c>
      <c r="W310" s="295">
        <f t="shared" si="37"/>
        <v>20</v>
      </c>
      <c r="X310" s="295">
        <f t="shared" si="37"/>
        <v>20</v>
      </c>
      <c r="Y310" s="295">
        <f t="shared" si="37"/>
        <v>20</v>
      </c>
      <c r="Z310" s="295">
        <f t="shared" si="37"/>
        <v>20</v>
      </c>
      <c r="AA310" s="295">
        <f t="shared" si="37"/>
        <v>20</v>
      </c>
      <c r="AB310" s="295">
        <f t="shared" si="37"/>
        <v>20</v>
      </c>
      <c r="AC310" s="295">
        <f t="shared" si="37"/>
        <v>20</v>
      </c>
      <c r="AD310" s="295">
        <f t="shared" si="37"/>
        <v>20</v>
      </c>
      <c r="AE310" s="295">
        <f t="shared" si="37"/>
        <v>20</v>
      </c>
      <c r="AF310" s="295">
        <f t="shared" si="37"/>
        <v>20</v>
      </c>
      <c r="AG310" s="295">
        <f t="shared" si="37"/>
        <v>20</v>
      </c>
      <c r="AH310" s="295">
        <f t="shared" si="37"/>
        <v>20</v>
      </c>
      <c r="AI310" s="295">
        <f t="shared" si="37"/>
        <v>20</v>
      </c>
    </row>
    <row r="311" spans="2:35">
      <c r="B311" s="93" t="s">
        <v>301</v>
      </c>
      <c r="C311" s="295" t="s">
        <v>673</v>
      </c>
      <c r="D311" s="93" t="s">
        <v>301</v>
      </c>
      <c r="E311" s="295">
        <f t="array" ref="E311">INDEX(CABS_CVC!$C$3:$O$894,MATCH(1, (CABS_CVC!$A$3:$A$894=Calculs_CABS!C311)*(CABS_CVC!$B$3:$B$894=Calculs_CABS!$D$2),0),MATCH(Calculs_CABS!$D$1,Liste_CABS!$B$3:$B$15,0))</f>
        <v>60</v>
      </c>
    </row>
    <row r="312" spans="2:35">
      <c r="B312" s="295" t="s">
        <v>543</v>
      </c>
      <c r="C312" s="295" t="s">
        <v>673</v>
      </c>
      <c r="D312" s="295" t="s">
        <v>543</v>
      </c>
      <c r="E312" s="295">
        <v>25</v>
      </c>
    </row>
    <row r="313" spans="2:35">
      <c r="B313" s="295" t="s">
        <v>544</v>
      </c>
      <c r="C313" s="295" t="s">
        <v>673</v>
      </c>
      <c r="D313" s="295" t="s">
        <v>544</v>
      </c>
      <c r="E313" s="295">
        <f>E311+E312</f>
        <v>85</v>
      </c>
    </row>
    <row r="314" spans="2:35">
      <c r="B314" s="295" t="s">
        <v>545</v>
      </c>
      <c r="C314" s="295" t="s">
        <v>673</v>
      </c>
      <c r="D314" s="295" t="s">
        <v>545</v>
      </c>
      <c r="E314" s="295">
        <v>0</v>
      </c>
    </row>
    <row r="315" spans="2:35">
      <c r="B315" s="295" t="s">
        <v>546</v>
      </c>
      <c r="C315" s="295" t="s">
        <v>673</v>
      </c>
      <c r="D315" s="295" t="s">
        <v>668</v>
      </c>
      <c r="E315" s="295">
        <v>1900</v>
      </c>
      <c r="F315" s="295">
        <f>IF(F$6=$C315,IF(INDEX('Surface DEET'!$Q$9:$W$38,COLUMN(F308)-COLUMN($E$5),1)&gt;0,INDEX('Surface DEET'!$Q$9:$W$38,COLUMN(F308)-COLUMN($E$5),1),0),0)</f>
        <v>0</v>
      </c>
      <c r="G315" s="295">
        <f>IF(G$6=$C315,IF(INDEX('Surface DEET'!$Q$9:$W$38,COLUMN(G308)-COLUMN($E$5),1)&gt;0,INDEX('Surface DEET'!$Q$9:$W$38,COLUMN(G308)-COLUMN($E$5),1),0),0)</f>
        <v>0</v>
      </c>
      <c r="H315" s="295">
        <f>IF(H$6=$C315,IF(INDEX('Surface DEET'!$Q$9:$W$38,COLUMN(H308)-COLUMN($E$5),1)&gt;0,INDEX('Surface DEET'!$Q$9:$W$38,COLUMN(H308)-COLUMN($E$5),1),0),0)</f>
        <v>0</v>
      </c>
      <c r="I315" s="295">
        <f>IF(I$6=$C315,IF(INDEX('Surface DEET'!$Q$9:$W$38,COLUMN(I308)-COLUMN($E$5),1)&gt;0,INDEX('Surface DEET'!$Q$9:$W$38,COLUMN(I308)-COLUMN($E$5),1),0),0)</f>
        <v>0</v>
      </c>
      <c r="J315" s="295">
        <f>IF(J$6=$C315,IF(INDEX('Surface DEET'!$Q$9:$W$38,COLUMN(J308)-COLUMN($E$5),1)&gt;0,INDEX('Surface DEET'!$Q$9:$W$38,COLUMN(J308)-COLUMN($E$5),1),0),0)</f>
        <v>0</v>
      </c>
      <c r="K315" s="295">
        <f>IF(K$6=$C315,IF(INDEX('Surface DEET'!$Q$9:$W$38,COLUMN(K308)-COLUMN($E$5),1)&gt;0,INDEX('Surface DEET'!$Q$9:$W$38,COLUMN(K308)-COLUMN($E$5),1),0),0)</f>
        <v>0</v>
      </c>
      <c r="L315" s="295">
        <f>IF(L$6=$C315,IF(INDEX('Surface DEET'!$Q$9:$W$38,COLUMN(L308)-COLUMN($E$5),1)&gt;0,INDEX('Surface DEET'!$Q$9:$W$38,COLUMN(L308)-COLUMN($E$5),1),0),0)</f>
        <v>0</v>
      </c>
      <c r="M315" s="295">
        <f>IF(M$6=$C315,IF(INDEX('Surface DEET'!$Q$9:$W$38,COLUMN(M308)-COLUMN($E$5),1)&gt;0,INDEX('Surface DEET'!$Q$9:$W$38,COLUMN(M308)-COLUMN($E$5),1),0),0)</f>
        <v>0</v>
      </c>
      <c r="N315" s="295">
        <f>IF(N$6=$C315,IF(INDEX('Surface DEET'!$Q$9:$W$38,COLUMN(N308)-COLUMN($E$5),1)&gt;0,INDEX('Surface DEET'!$Q$9:$W$38,COLUMN(N308)-COLUMN($E$5),1),0),0)</f>
        <v>0</v>
      </c>
      <c r="O315" s="295">
        <f>IF(O$6=$C315,IF(INDEX('Surface DEET'!$Q$9:$W$38,COLUMN(O308)-COLUMN($E$5),1)&gt;0,INDEX('Surface DEET'!$Q$9:$W$38,COLUMN(O308)-COLUMN($E$5),1),0),0)</f>
        <v>0</v>
      </c>
      <c r="P315" s="295">
        <f>IF(P$6=$C315,IF(INDEX('Surface DEET'!$Q$9:$W$38,COLUMN(P308)-COLUMN($E$5),1)&gt;0,INDEX('Surface DEET'!$Q$9:$W$38,COLUMN(P308)-COLUMN($E$5),1),0),0)</f>
        <v>0</v>
      </c>
      <c r="Q315" s="295">
        <f>IF(Q$6=$C315,IF(INDEX('Surface DEET'!$Q$9:$W$38,COLUMN(Q308)-COLUMN($E$5),1)&gt;0,INDEX('Surface DEET'!$Q$9:$W$38,COLUMN(Q308)-COLUMN($E$5),1),0),0)</f>
        <v>0</v>
      </c>
      <c r="R315" s="295">
        <f>IF(R$6=$C315,IF(INDEX('Surface DEET'!$Q$9:$W$38,COLUMN(R308)-COLUMN($E$5),1)&gt;0,INDEX('Surface DEET'!$Q$9:$W$38,COLUMN(R308)-COLUMN($E$5),1),0),0)</f>
        <v>0</v>
      </c>
      <c r="S315" s="295">
        <f>IF(S$6=$C315,IF(INDEX('Surface DEET'!$Q$9:$W$38,COLUMN(S308)-COLUMN($E$5),1)&gt;0,INDEX('Surface DEET'!$Q$9:$W$38,COLUMN(S308)-COLUMN($E$5),1),0),0)</f>
        <v>0</v>
      </c>
      <c r="T315" s="295">
        <f>IF(T$6=$C315,IF(INDEX('Surface DEET'!$Q$9:$W$38,COLUMN(T308)-COLUMN($E$5),1)&gt;0,INDEX('Surface DEET'!$Q$9:$W$38,COLUMN(T308)-COLUMN($E$5),1),0),0)</f>
        <v>0</v>
      </c>
      <c r="U315" s="295">
        <f>IF(U$6=$C315,IF(INDEX('Surface DEET'!$Q$9:$W$38,COLUMN(U308)-COLUMN($E$5),1)&gt;0,INDEX('Surface DEET'!$Q$9:$W$38,COLUMN(U308)-COLUMN($E$5),1),0),0)</f>
        <v>0</v>
      </c>
      <c r="V315" s="295">
        <f>IF(V$6=$C315,IF(INDEX('Surface DEET'!$Q$9:$W$38,COLUMN(V308)-COLUMN($E$5),1)&gt;0,INDEX('Surface DEET'!$Q$9:$W$38,COLUMN(V308)-COLUMN($E$5),1),0),0)</f>
        <v>0</v>
      </c>
      <c r="W315" s="295">
        <f>IF(W$6=$C315,IF(INDEX('Surface DEET'!$Q$9:$W$38,COLUMN(W308)-COLUMN($E$5),1)&gt;0,INDEX('Surface DEET'!$Q$9:$W$38,COLUMN(W308)-COLUMN($E$5),1),0),0)</f>
        <v>0</v>
      </c>
      <c r="X315" s="295">
        <f>IF(X$6=$C315,IF(INDEX('Surface DEET'!$Q$9:$W$38,COLUMN(X308)-COLUMN($E$5),1)&gt;0,INDEX('Surface DEET'!$Q$9:$W$38,COLUMN(X308)-COLUMN($E$5),1),0),0)</f>
        <v>0</v>
      </c>
      <c r="Y315" s="295">
        <f>IF(Y$6=$C315,IF(INDEX('Surface DEET'!$Q$9:$W$38,COLUMN(Y308)-COLUMN($E$5),1)&gt;0,INDEX('Surface DEET'!$Q$9:$W$38,COLUMN(Y308)-COLUMN($E$5),1),0),0)</f>
        <v>0</v>
      </c>
      <c r="Z315" s="295">
        <f>IF(Z$6=$C315,IF(INDEX('Surface DEET'!$Q$9:$W$38,COLUMN(Z308)-COLUMN($E$5),1)&gt;0,INDEX('Surface DEET'!$Q$9:$W$38,COLUMN(Z308)-COLUMN($E$5),1),0),0)</f>
        <v>0</v>
      </c>
      <c r="AA315" s="295">
        <f>IF(AA$6=$C315,IF(INDEX('Surface DEET'!$Q$9:$W$38,COLUMN(AA308)-COLUMN($E$5),1)&gt;0,INDEX('Surface DEET'!$Q$9:$W$38,COLUMN(AA308)-COLUMN($E$5),1),0),0)</f>
        <v>0</v>
      </c>
      <c r="AB315" s="295">
        <f>IF(AB$6=$C315,IF(INDEX('Surface DEET'!$Q$9:$W$38,COLUMN(AB308)-COLUMN($E$5),1)&gt;0,INDEX('Surface DEET'!$Q$9:$W$38,COLUMN(AB308)-COLUMN($E$5),1),0),0)</f>
        <v>0</v>
      </c>
      <c r="AC315" s="295">
        <f>IF(AC$6=$C315,IF(INDEX('Surface DEET'!$Q$9:$W$38,COLUMN(AC308)-COLUMN($E$5),1)&gt;0,INDEX('Surface DEET'!$Q$9:$W$38,COLUMN(AC308)-COLUMN($E$5),1),0),0)</f>
        <v>0</v>
      </c>
      <c r="AD315" s="295">
        <f>IF(AD$6=$C315,IF(INDEX('Surface DEET'!$Q$9:$W$38,COLUMN(AD308)-COLUMN($E$5),1)&gt;0,INDEX('Surface DEET'!$Q$9:$W$38,COLUMN(AD308)-COLUMN($E$5),1),0),0)</f>
        <v>0</v>
      </c>
      <c r="AE315" s="295">
        <f>IF(AE$6=$C315,IF(INDEX('Surface DEET'!$Q$9:$W$38,COLUMN(AE308)-COLUMN($E$5),1)&gt;0,INDEX('Surface DEET'!$Q$9:$W$38,COLUMN(AE308)-COLUMN($E$5),1),0),0)</f>
        <v>0</v>
      </c>
      <c r="AF315" s="295">
        <f>IF(AF$6=$C315,IF(INDEX('Surface DEET'!$Q$9:$W$38,COLUMN(AF308)-COLUMN($E$5),1)&gt;0,INDEX('Surface DEET'!$Q$9:$W$38,COLUMN(AF308)-COLUMN($E$5),1),0),0)</f>
        <v>0</v>
      </c>
      <c r="AG315" s="295">
        <f>IF(AG$6=$C315,IF(INDEX('Surface DEET'!$Q$9:$W$38,COLUMN(AG308)-COLUMN($E$5),1)&gt;0,INDEX('Surface DEET'!$Q$9:$W$38,COLUMN(AG308)-COLUMN($E$5),1),0),0)</f>
        <v>0</v>
      </c>
      <c r="AH315" s="295">
        <f>IF(AH$6=$C315,IF(INDEX('Surface DEET'!$Q$9:$W$38,COLUMN(AH308)-COLUMN($E$5),1)&gt;0,INDEX('Surface DEET'!$Q$9:$W$38,COLUMN(AH308)-COLUMN($E$5),1),0),0)</f>
        <v>0</v>
      </c>
      <c r="AI315" s="295">
        <f>IF(AI$6=$C315,IF(INDEX('Surface DEET'!$Q$9:$W$38,COLUMN(AI308)-COLUMN($E$5),1)&gt;0,INDEX('Surface DEET'!$Q$9:$W$38,COLUMN(AI308)-COLUMN($E$5),1),0),0)</f>
        <v>0</v>
      </c>
    </row>
    <row r="316" spans="2:35">
      <c r="B316" s="295" t="s">
        <v>549</v>
      </c>
      <c r="C316" s="295" t="s">
        <v>673</v>
      </c>
      <c r="D316" s="295" t="s">
        <v>669</v>
      </c>
      <c r="E316" s="295">
        <v>1900</v>
      </c>
      <c r="F316" s="295">
        <f>IF(F$6=$C316,IF(INDEX('Surface DEET'!$Q$9:$W$38,COLUMN(F309)-COLUMN($E$5),4)&gt;0,INDEX('Surface DEET'!$Q$9:$W$38,COLUMN(F309)-COLUMN($E$5),4),0),0)</f>
        <v>0</v>
      </c>
      <c r="G316" s="295">
        <f>IF(G$6=$C316,IF(INDEX('Surface DEET'!$Q$9:$W$38,COLUMN(G309)-COLUMN($E$5),4)&gt;0,INDEX('Surface DEET'!$Q$9:$W$38,COLUMN(G309)-COLUMN($E$5),4),0),0)</f>
        <v>0</v>
      </c>
      <c r="H316" s="295">
        <f>IF(H$6=$C316,IF(INDEX('Surface DEET'!$Q$9:$W$38,COLUMN(H309)-COLUMN($E$5),4)&gt;0,INDEX('Surface DEET'!$Q$9:$W$38,COLUMN(H309)-COLUMN($E$5),4),0),0)</f>
        <v>0</v>
      </c>
      <c r="I316" s="295">
        <f>IF(I$6=$C316,IF(INDEX('Surface DEET'!$Q$9:$W$38,COLUMN(I309)-COLUMN($E$5),4)&gt;0,INDEX('Surface DEET'!$Q$9:$W$38,COLUMN(I309)-COLUMN($E$5),4),0),0)</f>
        <v>0</v>
      </c>
      <c r="J316" s="295">
        <f>IF(J$6=$C316,IF(INDEX('Surface DEET'!$Q$9:$W$38,COLUMN(J309)-COLUMN($E$5),4)&gt;0,INDEX('Surface DEET'!$Q$9:$W$38,COLUMN(J309)-COLUMN($E$5),4),0),0)</f>
        <v>0</v>
      </c>
      <c r="K316" s="295">
        <f>IF(K$6=$C316,IF(INDEX('Surface DEET'!$Q$9:$W$38,COLUMN(K309)-COLUMN($E$5),4)&gt;0,INDEX('Surface DEET'!$Q$9:$W$38,COLUMN(K309)-COLUMN($E$5),4),0),0)</f>
        <v>0</v>
      </c>
      <c r="L316" s="295">
        <f>IF(L$6=$C316,IF(INDEX('Surface DEET'!$Q$9:$W$38,COLUMN(L309)-COLUMN($E$5),4)&gt;0,INDEX('Surface DEET'!$Q$9:$W$38,COLUMN(L309)-COLUMN($E$5),4),0),0)</f>
        <v>0</v>
      </c>
      <c r="M316" s="295">
        <f>IF(M$6=$C316,IF(INDEX('Surface DEET'!$Q$9:$W$38,COLUMN(M309)-COLUMN($E$5),4)&gt;0,INDEX('Surface DEET'!$Q$9:$W$38,COLUMN(M309)-COLUMN($E$5),4),0),0)</f>
        <v>0</v>
      </c>
      <c r="N316" s="295">
        <f>IF(N$6=$C316,IF(INDEX('Surface DEET'!$Q$9:$W$38,COLUMN(N309)-COLUMN($E$5),4)&gt;0,INDEX('Surface DEET'!$Q$9:$W$38,COLUMN(N309)-COLUMN($E$5),4),0),0)</f>
        <v>0</v>
      </c>
      <c r="O316" s="295">
        <f>IF(O$6=$C316,IF(INDEX('Surface DEET'!$Q$9:$W$38,COLUMN(O309)-COLUMN($E$5),4)&gt;0,INDEX('Surface DEET'!$Q$9:$W$38,COLUMN(O309)-COLUMN($E$5),4),0),0)</f>
        <v>0</v>
      </c>
      <c r="P316" s="295">
        <f>IF(P$6=$C316,IF(INDEX('Surface DEET'!$Q$9:$W$38,COLUMN(P309)-COLUMN($E$5),4)&gt;0,INDEX('Surface DEET'!$Q$9:$W$38,COLUMN(P309)-COLUMN($E$5),4),0),0)</f>
        <v>0</v>
      </c>
      <c r="Q316" s="295">
        <f>IF(Q$6=$C316,IF(INDEX('Surface DEET'!$Q$9:$W$38,COLUMN(Q309)-COLUMN($E$5),4)&gt;0,INDEX('Surface DEET'!$Q$9:$W$38,COLUMN(Q309)-COLUMN($E$5),4),0),0)</f>
        <v>0</v>
      </c>
      <c r="R316" s="295">
        <f>IF(R$6=$C316,IF(INDEX('Surface DEET'!$Q$9:$W$38,COLUMN(R309)-COLUMN($E$5),4)&gt;0,INDEX('Surface DEET'!$Q$9:$W$38,COLUMN(R309)-COLUMN($E$5),4),0),0)</f>
        <v>0</v>
      </c>
      <c r="S316" s="295">
        <f>IF(S$6=$C316,IF(INDEX('Surface DEET'!$Q$9:$W$38,COLUMN(S309)-COLUMN($E$5),4)&gt;0,INDEX('Surface DEET'!$Q$9:$W$38,COLUMN(S309)-COLUMN($E$5),4),0),0)</f>
        <v>0</v>
      </c>
      <c r="T316" s="295">
        <f>IF(T$6=$C316,IF(INDEX('Surface DEET'!$Q$9:$W$38,COLUMN(T309)-COLUMN($E$5),4)&gt;0,INDEX('Surface DEET'!$Q$9:$W$38,COLUMN(T309)-COLUMN($E$5),4),0),0)</f>
        <v>0</v>
      </c>
      <c r="U316" s="295">
        <f>IF(U$6=$C316,IF(INDEX('Surface DEET'!$Q$9:$W$38,COLUMN(U309)-COLUMN($E$5),4)&gt;0,INDEX('Surface DEET'!$Q$9:$W$38,COLUMN(U309)-COLUMN($E$5),4),0),0)</f>
        <v>0</v>
      </c>
      <c r="V316" s="295">
        <f>IF(V$6=$C316,IF(INDEX('Surface DEET'!$Q$9:$W$38,COLUMN(V309)-COLUMN($E$5),4)&gt;0,INDEX('Surface DEET'!$Q$9:$W$38,COLUMN(V309)-COLUMN($E$5),4),0),0)</f>
        <v>0</v>
      </c>
      <c r="W316" s="295">
        <f>IF(W$6=$C316,IF(INDEX('Surface DEET'!$Q$9:$W$38,COLUMN(W309)-COLUMN($E$5),4)&gt;0,INDEX('Surface DEET'!$Q$9:$W$38,COLUMN(W309)-COLUMN($E$5),4),0),0)</f>
        <v>0</v>
      </c>
      <c r="X316" s="295">
        <f>IF(X$6=$C316,IF(INDEX('Surface DEET'!$Q$9:$W$38,COLUMN(X309)-COLUMN($E$5),4)&gt;0,INDEX('Surface DEET'!$Q$9:$W$38,COLUMN(X309)-COLUMN($E$5),4),0),0)</f>
        <v>0</v>
      </c>
      <c r="Y316" s="295">
        <f>IF(Y$6=$C316,IF(INDEX('Surface DEET'!$Q$9:$W$38,COLUMN(Y309)-COLUMN($E$5),4)&gt;0,INDEX('Surface DEET'!$Q$9:$W$38,COLUMN(Y309)-COLUMN($E$5),4),0),0)</f>
        <v>0</v>
      </c>
      <c r="Z316" s="295">
        <f>IF(Z$6=$C316,IF(INDEX('Surface DEET'!$Q$9:$W$38,COLUMN(Z309)-COLUMN($E$5),4)&gt;0,INDEX('Surface DEET'!$Q$9:$W$38,COLUMN(Z309)-COLUMN($E$5),4),0),0)</f>
        <v>0</v>
      </c>
      <c r="AA316" s="295">
        <f>IF(AA$6=$C316,IF(INDEX('Surface DEET'!$Q$9:$W$38,COLUMN(AA309)-COLUMN($E$5),4)&gt;0,INDEX('Surface DEET'!$Q$9:$W$38,COLUMN(AA309)-COLUMN($E$5),4),0),0)</f>
        <v>0</v>
      </c>
      <c r="AB316" s="295">
        <f>IF(AB$6=$C316,IF(INDEX('Surface DEET'!$Q$9:$W$38,COLUMN(AB309)-COLUMN($E$5),4)&gt;0,INDEX('Surface DEET'!$Q$9:$W$38,COLUMN(AB309)-COLUMN($E$5),4),0),0)</f>
        <v>0</v>
      </c>
      <c r="AC316" s="295">
        <f>IF(AC$6=$C316,IF(INDEX('Surface DEET'!$Q$9:$W$38,COLUMN(AC309)-COLUMN($E$5),4)&gt;0,INDEX('Surface DEET'!$Q$9:$W$38,COLUMN(AC309)-COLUMN($E$5),4),0),0)</f>
        <v>0</v>
      </c>
      <c r="AD316" s="295">
        <f>IF(AD$6=$C316,IF(INDEX('Surface DEET'!$Q$9:$W$38,COLUMN(AD309)-COLUMN($E$5),4)&gt;0,INDEX('Surface DEET'!$Q$9:$W$38,COLUMN(AD309)-COLUMN($E$5),4),0),0)</f>
        <v>0</v>
      </c>
      <c r="AE316" s="295">
        <f>IF(AE$6=$C316,IF(INDEX('Surface DEET'!$Q$9:$W$38,COLUMN(AE309)-COLUMN($E$5),4)&gt;0,INDEX('Surface DEET'!$Q$9:$W$38,COLUMN(AE309)-COLUMN($E$5),4),0),0)</f>
        <v>0</v>
      </c>
      <c r="AF316" s="295">
        <f>IF(AF$6=$C316,IF(INDEX('Surface DEET'!$Q$9:$W$38,COLUMN(AF309)-COLUMN($E$5),4)&gt;0,INDEX('Surface DEET'!$Q$9:$W$38,COLUMN(AF309)-COLUMN($E$5),4),0),0)</f>
        <v>0</v>
      </c>
      <c r="AG316" s="295">
        <f>IF(AG$6=$C316,IF(INDEX('Surface DEET'!$Q$9:$W$38,COLUMN(AG309)-COLUMN($E$5),4)&gt;0,INDEX('Surface DEET'!$Q$9:$W$38,COLUMN(AG309)-COLUMN($E$5),4),0),0)</f>
        <v>0</v>
      </c>
      <c r="AH316" s="295">
        <f>IF(AH$6=$C316,IF(INDEX('Surface DEET'!$Q$9:$W$38,COLUMN(AH309)-COLUMN($E$5),4)&gt;0,INDEX('Surface DEET'!$Q$9:$W$38,COLUMN(AH309)-COLUMN($E$5),4),0),0)</f>
        <v>0</v>
      </c>
      <c r="AI316" s="295">
        <f>IF(AI$6=$C316,IF(INDEX('Surface DEET'!$Q$9:$W$38,COLUMN(AI309)-COLUMN($E$5),4)&gt;0,INDEX('Surface DEET'!$Q$9:$W$38,COLUMN(AI309)-COLUMN($E$5),4),0),0)</f>
        <v>0</v>
      </c>
    </row>
    <row r="317" spans="2:35">
      <c r="B317" s="295" t="s">
        <v>552</v>
      </c>
      <c r="C317" s="295" t="s">
        <v>673</v>
      </c>
    </row>
    <row r="318" spans="2:35">
      <c r="B318" s="295" t="s">
        <v>542</v>
      </c>
      <c r="C318" s="295" t="s">
        <v>673</v>
      </c>
      <c r="D318" s="295" t="s">
        <v>542</v>
      </c>
      <c r="F318" s="295">
        <f>$E$312*(1+2*F315/$E$315+F316/$E$316)</f>
        <v>25</v>
      </c>
      <c r="G318" s="295">
        <f t="shared" ref="G318:AI318" si="38">$E$312*(1+2*G315/$E$315+G316/$E$316)</f>
        <v>25</v>
      </c>
      <c r="H318" s="295">
        <f t="shared" si="38"/>
        <v>25</v>
      </c>
      <c r="I318" s="295">
        <f t="shared" si="38"/>
        <v>25</v>
      </c>
      <c r="J318" s="295">
        <f t="shared" si="38"/>
        <v>25</v>
      </c>
      <c r="K318" s="295">
        <f t="shared" si="38"/>
        <v>25</v>
      </c>
      <c r="L318" s="295">
        <f t="shared" si="38"/>
        <v>25</v>
      </c>
      <c r="M318" s="295">
        <f t="shared" si="38"/>
        <v>25</v>
      </c>
      <c r="N318" s="295">
        <f t="shared" si="38"/>
        <v>25</v>
      </c>
      <c r="O318" s="295">
        <f t="shared" si="38"/>
        <v>25</v>
      </c>
      <c r="P318" s="295">
        <f t="shared" si="38"/>
        <v>25</v>
      </c>
      <c r="Q318" s="295">
        <f t="shared" si="38"/>
        <v>25</v>
      </c>
      <c r="R318" s="295">
        <f t="shared" si="38"/>
        <v>25</v>
      </c>
      <c r="S318" s="295">
        <f t="shared" si="38"/>
        <v>25</v>
      </c>
      <c r="T318" s="295">
        <f t="shared" si="38"/>
        <v>25</v>
      </c>
      <c r="U318" s="295">
        <f t="shared" si="38"/>
        <v>25</v>
      </c>
      <c r="V318" s="295">
        <f t="shared" si="38"/>
        <v>25</v>
      </c>
      <c r="W318" s="295">
        <f t="shared" si="38"/>
        <v>25</v>
      </c>
      <c r="X318" s="295">
        <f t="shared" si="38"/>
        <v>25</v>
      </c>
      <c r="Y318" s="295">
        <f t="shared" si="38"/>
        <v>25</v>
      </c>
      <c r="Z318" s="295">
        <f t="shared" si="38"/>
        <v>25</v>
      </c>
      <c r="AA318" s="295">
        <f t="shared" si="38"/>
        <v>25</v>
      </c>
      <c r="AB318" s="295">
        <f t="shared" si="38"/>
        <v>25</v>
      </c>
      <c r="AC318" s="295">
        <f t="shared" si="38"/>
        <v>25</v>
      </c>
      <c r="AD318" s="295">
        <f t="shared" si="38"/>
        <v>25</v>
      </c>
      <c r="AE318" s="295">
        <f t="shared" si="38"/>
        <v>25</v>
      </c>
      <c r="AF318" s="295">
        <f t="shared" si="38"/>
        <v>25</v>
      </c>
      <c r="AG318" s="295">
        <f t="shared" si="38"/>
        <v>25</v>
      </c>
      <c r="AH318" s="295">
        <f t="shared" si="38"/>
        <v>25</v>
      </c>
      <c r="AI318" s="295">
        <f t="shared" si="38"/>
        <v>25</v>
      </c>
    </row>
    <row r="319" spans="2:35">
      <c r="B319" s="93" t="s">
        <v>301</v>
      </c>
      <c r="C319" s="295" t="s">
        <v>674</v>
      </c>
      <c r="D319" s="93" t="s">
        <v>301</v>
      </c>
      <c r="E319" s="295">
        <f t="array" ref="E319">INDEX(CABS_CVC!$C$3:$O$894,MATCH(1, (CABS_CVC!$A$3:$A$894=Calculs_CABS!C319)*(CABS_CVC!$B$3:$B$894=Calculs_CABS!$D$2),0),MATCH(Calculs_CABS!$D$1,Liste_CABS!$B$3:$B$15,0))</f>
        <v>60</v>
      </c>
    </row>
    <row r="320" spans="2:35">
      <c r="B320" s="295" t="s">
        <v>543</v>
      </c>
      <c r="C320" s="295" t="s">
        <v>674</v>
      </c>
      <c r="D320" s="295" t="s">
        <v>543</v>
      </c>
      <c r="E320" s="295">
        <v>20</v>
      </c>
    </row>
    <row r="321" spans="2:35">
      <c r="B321" s="295" t="s">
        <v>544</v>
      </c>
      <c r="C321" s="295" t="s">
        <v>674</v>
      </c>
      <c r="D321" s="295" t="s">
        <v>544</v>
      </c>
      <c r="E321" s="295">
        <f>E319+E320</f>
        <v>80</v>
      </c>
    </row>
    <row r="322" spans="2:35">
      <c r="B322" s="295" t="s">
        <v>545</v>
      </c>
      <c r="C322" s="295" t="s">
        <v>674</v>
      </c>
      <c r="D322" s="295" t="s">
        <v>545</v>
      </c>
      <c r="E322" s="295">
        <v>0</v>
      </c>
    </row>
    <row r="323" spans="2:35">
      <c r="B323" s="295" t="s">
        <v>546</v>
      </c>
      <c r="C323" s="295" t="s">
        <v>674</v>
      </c>
      <c r="D323" s="295" t="s">
        <v>668</v>
      </c>
      <c r="E323" s="295">
        <v>1900</v>
      </c>
      <c r="F323" s="295">
        <f>IF(F$6=$C323,IF(INDEX('Surface DEET'!$Q$9:$W$38,COLUMN(F316)-COLUMN($E$5),1)&gt;0,INDEX('Surface DEET'!$Q$9:$W$38,COLUMN(F316)-COLUMN($E$5),1),0),0)</f>
        <v>0</v>
      </c>
      <c r="G323" s="295">
        <f>IF(G$6=$C323,IF(INDEX('Surface DEET'!$Q$9:$W$38,COLUMN(G316)-COLUMN($E$5),1)&gt;0,INDEX('Surface DEET'!$Q$9:$W$38,COLUMN(G316)-COLUMN($E$5),1),0),0)</f>
        <v>0</v>
      </c>
      <c r="H323" s="295">
        <f>IF(H$6=$C323,IF(INDEX('Surface DEET'!$Q$9:$W$38,COLUMN(H316)-COLUMN($E$5),1)&gt;0,INDEX('Surface DEET'!$Q$9:$W$38,COLUMN(H316)-COLUMN($E$5),1),0),0)</f>
        <v>0</v>
      </c>
      <c r="I323" s="295">
        <f>IF(I$6=$C323,IF(INDEX('Surface DEET'!$Q$9:$W$38,COLUMN(I316)-COLUMN($E$5),1)&gt;0,INDEX('Surface DEET'!$Q$9:$W$38,COLUMN(I316)-COLUMN($E$5),1),0),0)</f>
        <v>0</v>
      </c>
      <c r="J323" s="295">
        <f>IF(J$6=$C323,IF(INDEX('Surface DEET'!$Q$9:$W$38,COLUMN(J316)-COLUMN($E$5),1)&gt;0,INDEX('Surface DEET'!$Q$9:$W$38,COLUMN(J316)-COLUMN($E$5),1),0),0)</f>
        <v>0</v>
      </c>
      <c r="K323" s="295">
        <f>IF(K$6=$C323,IF(INDEX('Surface DEET'!$Q$9:$W$38,COLUMN(K316)-COLUMN($E$5),1)&gt;0,INDEX('Surface DEET'!$Q$9:$W$38,COLUMN(K316)-COLUMN($E$5),1),0),0)</f>
        <v>0</v>
      </c>
      <c r="L323" s="295">
        <f>IF(L$6=$C323,IF(INDEX('Surface DEET'!$Q$9:$W$38,COLUMN(L316)-COLUMN($E$5),1)&gt;0,INDEX('Surface DEET'!$Q$9:$W$38,COLUMN(L316)-COLUMN($E$5),1),0),0)</f>
        <v>0</v>
      </c>
      <c r="M323" s="295">
        <f>IF(M$6=$C323,IF(INDEX('Surface DEET'!$Q$9:$W$38,COLUMN(M316)-COLUMN($E$5),1)&gt;0,INDEX('Surface DEET'!$Q$9:$W$38,COLUMN(M316)-COLUMN($E$5),1),0),0)</f>
        <v>0</v>
      </c>
      <c r="N323" s="295">
        <f>IF(N$6=$C323,IF(INDEX('Surface DEET'!$Q$9:$W$38,COLUMN(N316)-COLUMN($E$5),1)&gt;0,INDEX('Surface DEET'!$Q$9:$W$38,COLUMN(N316)-COLUMN($E$5),1),0),0)</f>
        <v>0</v>
      </c>
      <c r="O323" s="295">
        <f>IF(O$6=$C323,IF(INDEX('Surface DEET'!$Q$9:$W$38,COLUMN(O316)-COLUMN($E$5),1)&gt;0,INDEX('Surface DEET'!$Q$9:$W$38,COLUMN(O316)-COLUMN($E$5),1),0),0)</f>
        <v>0</v>
      </c>
      <c r="P323" s="295">
        <f>IF(P$6=$C323,IF(INDEX('Surface DEET'!$Q$9:$W$38,COLUMN(P316)-COLUMN($E$5),1)&gt;0,INDEX('Surface DEET'!$Q$9:$W$38,COLUMN(P316)-COLUMN($E$5),1),0),0)</f>
        <v>0</v>
      </c>
      <c r="Q323" s="295">
        <f>IF(Q$6=$C323,IF(INDEX('Surface DEET'!$Q$9:$W$38,COLUMN(Q316)-COLUMN($E$5),1)&gt;0,INDEX('Surface DEET'!$Q$9:$W$38,COLUMN(Q316)-COLUMN($E$5),1),0),0)</f>
        <v>0</v>
      </c>
      <c r="R323" s="295">
        <f>IF(R$6=$C323,IF(INDEX('Surface DEET'!$Q$9:$W$38,COLUMN(R316)-COLUMN($E$5),1)&gt;0,INDEX('Surface DEET'!$Q$9:$W$38,COLUMN(R316)-COLUMN($E$5),1),0),0)</f>
        <v>0</v>
      </c>
      <c r="S323" s="295">
        <f>IF(S$6=$C323,IF(INDEX('Surface DEET'!$Q$9:$W$38,COLUMN(S316)-COLUMN($E$5),1)&gt;0,INDEX('Surface DEET'!$Q$9:$W$38,COLUMN(S316)-COLUMN($E$5),1),0),0)</f>
        <v>0</v>
      </c>
      <c r="T323" s="295">
        <f>IF(T$6=$C323,IF(INDEX('Surface DEET'!$Q$9:$W$38,COLUMN(T316)-COLUMN($E$5),1)&gt;0,INDEX('Surface DEET'!$Q$9:$W$38,COLUMN(T316)-COLUMN($E$5),1),0),0)</f>
        <v>0</v>
      </c>
      <c r="U323" s="295">
        <f>IF(U$6=$C323,IF(INDEX('Surface DEET'!$Q$9:$W$38,COLUMN(U316)-COLUMN($E$5),1)&gt;0,INDEX('Surface DEET'!$Q$9:$W$38,COLUMN(U316)-COLUMN($E$5),1),0),0)</f>
        <v>0</v>
      </c>
      <c r="V323" s="295">
        <f>IF(V$6=$C323,IF(INDEX('Surface DEET'!$Q$9:$W$38,COLUMN(V316)-COLUMN($E$5),1)&gt;0,INDEX('Surface DEET'!$Q$9:$W$38,COLUMN(V316)-COLUMN($E$5),1),0),0)</f>
        <v>0</v>
      </c>
      <c r="W323" s="295">
        <f>IF(W$6=$C323,IF(INDEX('Surface DEET'!$Q$9:$W$38,COLUMN(W316)-COLUMN($E$5),1)&gt;0,INDEX('Surface DEET'!$Q$9:$W$38,COLUMN(W316)-COLUMN($E$5),1),0),0)</f>
        <v>0</v>
      </c>
      <c r="X323" s="295">
        <f>IF(X$6=$C323,IF(INDEX('Surface DEET'!$Q$9:$W$38,COLUMN(X316)-COLUMN($E$5),1)&gt;0,INDEX('Surface DEET'!$Q$9:$W$38,COLUMN(X316)-COLUMN($E$5),1),0),0)</f>
        <v>0</v>
      </c>
      <c r="Y323" s="295">
        <f>IF(Y$6=$C323,IF(INDEX('Surface DEET'!$Q$9:$W$38,COLUMN(Y316)-COLUMN($E$5),1)&gt;0,INDEX('Surface DEET'!$Q$9:$W$38,COLUMN(Y316)-COLUMN($E$5),1),0),0)</f>
        <v>0</v>
      </c>
      <c r="Z323" s="295">
        <f>IF(Z$6=$C323,IF(INDEX('Surface DEET'!$Q$9:$W$38,COLUMN(Z316)-COLUMN($E$5),1)&gt;0,INDEX('Surface DEET'!$Q$9:$W$38,COLUMN(Z316)-COLUMN($E$5),1),0),0)</f>
        <v>0</v>
      </c>
      <c r="AA323" s="295">
        <f>IF(AA$6=$C323,IF(INDEX('Surface DEET'!$Q$9:$W$38,COLUMN(AA316)-COLUMN($E$5),1)&gt;0,INDEX('Surface DEET'!$Q$9:$W$38,COLUMN(AA316)-COLUMN($E$5),1),0),0)</f>
        <v>0</v>
      </c>
      <c r="AB323" s="295">
        <f>IF(AB$6=$C323,IF(INDEX('Surface DEET'!$Q$9:$W$38,COLUMN(AB316)-COLUMN($E$5),1)&gt;0,INDEX('Surface DEET'!$Q$9:$W$38,COLUMN(AB316)-COLUMN($E$5),1),0),0)</f>
        <v>0</v>
      </c>
      <c r="AC323" s="295">
        <f>IF(AC$6=$C323,IF(INDEX('Surface DEET'!$Q$9:$W$38,COLUMN(AC316)-COLUMN($E$5),1)&gt;0,INDEX('Surface DEET'!$Q$9:$W$38,COLUMN(AC316)-COLUMN($E$5),1),0),0)</f>
        <v>0</v>
      </c>
      <c r="AD323" s="295">
        <f>IF(AD$6=$C323,IF(INDEX('Surface DEET'!$Q$9:$W$38,COLUMN(AD316)-COLUMN($E$5),1)&gt;0,INDEX('Surface DEET'!$Q$9:$W$38,COLUMN(AD316)-COLUMN($E$5),1),0),0)</f>
        <v>0</v>
      </c>
      <c r="AE323" s="295">
        <f>IF(AE$6=$C323,IF(INDEX('Surface DEET'!$Q$9:$W$38,COLUMN(AE316)-COLUMN($E$5),1)&gt;0,INDEX('Surface DEET'!$Q$9:$W$38,COLUMN(AE316)-COLUMN($E$5),1),0),0)</f>
        <v>0</v>
      </c>
      <c r="AF323" s="295">
        <f>IF(AF$6=$C323,IF(INDEX('Surface DEET'!$Q$9:$W$38,COLUMN(AF316)-COLUMN($E$5),1)&gt;0,INDEX('Surface DEET'!$Q$9:$W$38,COLUMN(AF316)-COLUMN($E$5),1),0),0)</f>
        <v>0</v>
      </c>
      <c r="AG323" s="295">
        <f>IF(AG$6=$C323,IF(INDEX('Surface DEET'!$Q$9:$W$38,COLUMN(AG316)-COLUMN($E$5),1)&gt;0,INDEX('Surface DEET'!$Q$9:$W$38,COLUMN(AG316)-COLUMN($E$5),1),0),0)</f>
        <v>0</v>
      </c>
      <c r="AH323" s="295">
        <f>IF(AH$6=$C323,IF(INDEX('Surface DEET'!$Q$9:$W$38,COLUMN(AH316)-COLUMN($E$5),1)&gt;0,INDEX('Surface DEET'!$Q$9:$W$38,COLUMN(AH316)-COLUMN($E$5),1),0),0)</f>
        <v>0</v>
      </c>
      <c r="AI323" s="295">
        <f>IF(AI$6=$C323,IF(INDEX('Surface DEET'!$Q$9:$W$38,COLUMN(AI316)-COLUMN($E$5),1)&gt;0,INDEX('Surface DEET'!$Q$9:$W$38,COLUMN(AI316)-COLUMN($E$5),1),0),0)</f>
        <v>0</v>
      </c>
    </row>
    <row r="324" spans="2:35">
      <c r="B324" s="295" t="s">
        <v>549</v>
      </c>
      <c r="C324" s="295" t="s">
        <v>674</v>
      </c>
      <c r="D324" s="295" t="s">
        <v>669</v>
      </c>
      <c r="E324" s="295">
        <v>1900</v>
      </c>
      <c r="F324" s="295">
        <f>IF(F$6=$C324,IF(INDEX('Surface DEET'!$Q$9:$W$38,COLUMN(F317)-COLUMN($E$5),4)&gt;0,INDEX('Surface DEET'!$Q$9:$W$38,COLUMN(F317)-COLUMN($E$5),4),0),0)</f>
        <v>0</v>
      </c>
      <c r="G324" s="295">
        <f>IF(G$6=$C324,IF(INDEX('Surface DEET'!$Q$9:$W$38,COLUMN(G317)-COLUMN($E$5),4)&gt;0,INDEX('Surface DEET'!$Q$9:$W$38,COLUMN(G317)-COLUMN($E$5),4),0),0)</f>
        <v>0</v>
      </c>
      <c r="H324" s="295">
        <f>IF(H$6=$C324,IF(INDEX('Surface DEET'!$Q$9:$W$38,COLUMN(H317)-COLUMN($E$5),4)&gt;0,INDEX('Surface DEET'!$Q$9:$W$38,COLUMN(H317)-COLUMN($E$5),4),0),0)</f>
        <v>0</v>
      </c>
      <c r="I324" s="295">
        <f>IF(I$6=$C324,IF(INDEX('Surface DEET'!$Q$9:$W$38,COLUMN(I317)-COLUMN($E$5),4)&gt;0,INDEX('Surface DEET'!$Q$9:$W$38,COLUMN(I317)-COLUMN($E$5),4),0),0)</f>
        <v>0</v>
      </c>
      <c r="J324" s="295">
        <f>IF(J$6=$C324,IF(INDEX('Surface DEET'!$Q$9:$W$38,COLUMN(J317)-COLUMN($E$5),4)&gt;0,INDEX('Surface DEET'!$Q$9:$W$38,COLUMN(J317)-COLUMN($E$5),4),0),0)</f>
        <v>0</v>
      </c>
      <c r="K324" s="295">
        <f>IF(K$6=$C324,IF(INDEX('Surface DEET'!$Q$9:$W$38,COLUMN(K317)-COLUMN($E$5),4)&gt;0,INDEX('Surface DEET'!$Q$9:$W$38,COLUMN(K317)-COLUMN($E$5),4),0),0)</f>
        <v>0</v>
      </c>
      <c r="L324" s="295">
        <f>IF(L$6=$C324,IF(INDEX('Surface DEET'!$Q$9:$W$38,COLUMN(L317)-COLUMN($E$5),4)&gt;0,INDEX('Surface DEET'!$Q$9:$W$38,COLUMN(L317)-COLUMN($E$5),4),0),0)</f>
        <v>0</v>
      </c>
      <c r="M324" s="295">
        <f>IF(M$6=$C324,IF(INDEX('Surface DEET'!$Q$9:$W$38,COLUMN(M317)-COLUMN($E$5),4)&gt;0,INDEX('Surface DEET'!$Q$9:$W$38,COLUMN(M317)-COLUMN($E$5),4),0),0)</f>
        <v>0</v>
      </c>
      <c r="N324" s="295">
        <f>IF(N$6=$C324,IF(INDEX('Surface DEET'!$Q$9:$W$38,COLUMN(N317)-COLUMN($E$5),4)&gt;0,INDEX('Surface DEET'!$Q$9:$W$38,COLUMN(N317)-COLUMN($E$5),4),0),0)</f>
        <v>0</v>
      </c>
      <c r="O324" s="295">
        <f>IF(O$6=$C324,IF(INDEX('Surface DEET'!$Q$9:$W$38,COLUMN(O317)-COLUMN($E$5),4)&gt;0,INDEX('Surface DEET'!$Q$9:$W$38,COLUMN(O317)-COLUMN($E$5),4),0),0)</f>
        <v>0</v>
      </c>
      <c r="P324" s="295">
        <f>IF(P$6=$C324,IF(INDEX('Surface DEET'!$Q$9:$W$38,COLUMN(P317)-COLUMN($E$5),4)&gt;0,INDEX('Surface DEET'!$Q$9:$W$38,COLUMN(P317)-COLUMN($E$5),4),0),0)</f>
        <v>0</v>
      </c>
      <c r="Q324" s="295">
        <f>IF(Q$6=$C324,IF(INDEX('Surface DEET'!$Q$9:$W$38,COLUMN(Q317)-COLUMN($E$5),4)&gt;0,INDEX('Surface DEET'!$Q$9:$W$38,COLUMN(Q317)-COLUMN($E$5),4),0),0)</f>
        <v>0</v>
      </c>
      <c r="R324" s="295">
        <f>IF(R$6=$C324,IF(INDEX('Surface DEET'!$Q$9:$W$38,COLUMN(R317)-COLUMN($E$5),4)&gt;0,INDEX('Surface DEET'!$Q$9:$W$38,COLUMN(R317)-COLUMN($E$5),4),0),0)</f>
        <v>0</v>
      </c>
      <c r="S324" s="295">
        <f>IF(S$6=$C324,IF(INDEX('Surface DEET'!$Q$9:$W$38,COLUMN(S317)-COLUMN($E$5),4)&gt;0,INDEX('Surface DEET'!$Q$9:$W$38,COLUMN(S317)-COLUMN($E$5),4),0),0)</f>
        <v>0</v>
      </c>
      <c r="T324" s="295">
        <f>IF(T$6=$C324,IF(INDEX('Surface DEET'!$Q$9:$W$38,COLUMN(T317)-COLUMN($E$5),4)&gt;0,INDEX('Surface DEET'!$Q$9:$W$38,COLUMN(T317)-COLUMN($E$5),4),0),0)</f>
        <v>0</v>
      </c>
      <c r="U324" s="295">
        <f>IF(U$6=$C324,IF(INDEX('Surface DEET'!$Q$9:$W$38,COLUMN(U317)-COLUMN($E$5),4)&gt;0,INDEX('Surface DEET'!$Q$9:$W$38,COLUMN(U317)-COLUMN($E$5),4),0),0)</f>
        <v>0</v>
      </c>
      <c r="V324" s="295">
        <f>IF(V$6=$C324,IF(INDEX('Surface DEET'!$Q$9:$W$38,COLUMN(V317)-COLUMN($E$5),4)&gt;0,INDEX('Surface DEET'!$Q$9:$W$38,COLUMN(V317)-COLUMN($E$5),4),0),0)</f>
        <v>0</v>
      </c>
      <c r="W324" s="295">
        <f>IF(W$6=$C324,IF(INDEX('Surface DEET'!$Q$9:$W$38,COLUMN(W317)-COLUMN($E$5),4)&gt;0,INDEX('Surface DEET'!$Q$9:$W$38,COLUMN(W317)-COLUMN($E$5),4),0),0)</f>
        <v>0</v>
      </c>
      <c r="X324" s="295">
        <f>IF(X$6=$C324,IF(INDEX('Surface DEET'!$Q$9:$W$38,COLUMN(X317)-COLUMN($E$5),4)&gt;0,INDEX('Surface DEET'!$Q$9:$W$38,COLUMN(X317)-COLUMN($E$5),4),0),0)</f>
        <v>0</v>
      </c>
      <c r="Y324" s="295">
        <f>IF(Y$6=$C324,IF(INDEX('Surface DEET'!$Q$9:$W$38,COLUMN(Y317)-COLUMN($E$5),4)&gt;0,INDEX('Surface DEET'!$Q$9:$W$38,COLUMN(Y317)-COLUMN($E$5),4),0),0)</f>
        <v>0</v>
      </c>
      <c r="Z324" s="295">
        <f>IF(Z$6=$C324,IF(INDEX('Surface DEET'!$Q$9:$W$38,COLUMN(Z317)-COLUMN($E$5),4)&gt;0,INDEX('Surface DEET'!$Q$9:$W$38,COLUMN(Z317)-COLUMN($E$5),4),0),0)</f>
        <v>0</v>
      </c>
      <c r="AA324" s="295">
        <f>IF(AA$6=$C324,IF(INDEX('Surface DEET'!$Q$9:$W$38,COLUMN(AA317)-COLUMN($E$5),4)&gt;0,INDEX('Surface DEET'!$Q$9:$W$38,COLUMN(AA317)-COLUMN($E$5),4),0),0)</f>
        <v>0</v>
      </c>
      <c r="AB324" s="295">
        <f>IF(AB$6=$C324,IF(INDEX('Surface DEET'!$Q$9:$W$38,COLUMN(AB317)-COLUMN($E$5),4)&gt;0,INDEX('Surface DEET'!$Q$9:$W$38,COLUMN(AB317)-COLUMN($E$5),4),0),0)</f>
        <v>0</v>
      </c>
      <c r="AC324" s="295">
        <f>IF(AC$6=$C324,IF(INDEX('Surface DEET'!$Q$9:$W$38,COLUMN(AC317)-COLUMN($E$5),4)&gt;0,INDEX('Surface DEET'!$Q$9:$W$38,COLUMN(AC317)-COLUMN($E$5),4),0),0)</f>
        <v>0</v>
      </c>
      <c r="AD324" s="295">
        <f>IF(AD$6=$C324,IF(INDEX('Surface DEET'!$Q$9:$W$38,COLUMN(AD317)-COLUMN($E$5),4)&gt;0,INDEX('Surface DEET'!$Q$9:$W$38,COLUMN(AD317)-COLUMN($E$5),4),0),0)</f>
        <v>0</v>
      </c>
      <c r="AE324" s="295">
        <f>IF(AE$6=$C324,IF(INDEX('Surface DEET'!$Q$9:$W$38,COLUMN(AE317)-COLUMN($E$5),4)&gt;0,INDEX('Surface DEET'!$Q$9:$W$38,COLUMN(AE317)-COLUMN($E$5),4),0),0)</f>
        <v>0</v>
      </c>
      <c r="AF324" s="295">
        <f>IF(AF$6=$C324,IF(INDEX('Surface DEET'!$Q$9:$W$38,COLUMN(AF317)-COLUMN($E$5),4)&gt;0,INDEX('Surface DEET'!$Q$9:$W$38,COLUMN(AF317)-COLUMN($E$5),4),0),0)</f>
        <v>0</v>
      </c>
      <c r="AG324" s="295">
        <f>IF(AG$6=$C324,IF(INDEX('Surface DEET'!$Q$9:$W$38,COLUMN(AG317)-COLUMN($E$5),4)&gt;0,INDEX('Surface DEET'!$Q$9:$W$38,COLUMN(AG317)-COLUMN($E$5),4),0),0)</f>
        <v>0</v>
      </c>
      <c r="AH324" s="295">
        <f>IF(AH$6=$C324,IF(INDEX('Surface DEET'!$Q$9:$W$38,COLUMN(AH317)-COLUMN($E$5),4)&gt;0,INDEX('Surface DEET'!$Q$9:$W$38,COLUMN(AH317)-COLUMN($E$5),4),0),0)</f>
        <v>0</v>
      </c>
      <c r="AI324" s="295">
        <f>IF(AI$6=$C324,IF(INDEX('Surface DEET'!$Q$9:$W$38,COLUMN(AI317)-COLUMN($E$5),4)&gt;0,INDEX('Surface DEET'!$Q$9:$W$38,COLUMN(AI317)-COLUMN($E$5),4),0),0)</f>
        <v>0</v>
      </c>
    </row>
    <row r="325" spans="2:35">
      <c r="B325" s="295" t="s">
        <v>552</v>
      </c>
      <c r="C325" s="295" t="s">
        <v>674</v>
      </c>
    </row>
    <row r="326" spans="2:35">
      <c r="B326" s="295" t="s">
        <v>542</v>
      </c>
      <c r="C326" s="295" t="s">
        <v>674</v>
      </c>
      <c r="D326" s="295" t="s">
        <v>542</v>
      </c>
      <c r="F326" s="295">
        <f>$E$320*(1+2*F323/$E$323+F324/$E$324)</f>
        <v>20</v>
      </c>
      <c r="G326" s="295">
        <f t="shared" ref="G326:AI326" si="39">$E$320*(1+2*G323/$E$323+G324/$E$324)</f>
        <v>20</v>
      </c>
      <c r="H326" s="295">
        <f t="shared" si="39"/>
        <v>20</v>
      </c>
      <c r="I326" s="295">
        <f t="shared" si="39"/>
        <v>20</v>
      </c>
      <c r="J326" s="295">
        <f t="shared" si="39"/>
        <v>20</v>
      </c>
      <c r="K326" s="295">
        <f t="shared" si="39"/>
        <v>20</v>
      </c>
      <c r="L326" s="295">
        <f t="shared" si="39"/>
        <v>20</v>
      </c>
      <c r="M326" s="295">
        <f t="shared" si="39"/>
        <v>20</v>
      </c>
      <c r="N326" s="295">
        <f t="shared" si="39"/>
        <v>20</v>
      </c>
      <c r="O326" s="295">
        <f t="shared" si="39"/>
        <v>20</v>
      </c>
      <c r="P326" s="295">
        <f t="shared" si="39"/>
        <v>20</v>
      </c>
      <c r="Q326" s="295">
        <f t="shared" si="39"/>
        <v>20</v>
      </c>
      <c r="R326" s="295">
        <f t="shared" si="39"/>
        <v>20</v>
      </c>
      <c r="S326" s="295">
        <f t="shared" si="39"/>
        <v>20</v>
      </c>
      <c r="T326" s="295">
        <f t="shared" si="39"/>
        <v>20</v>
      </c>
      <c r="U326" s="295">
        <f t="shared" si="39"/>
        <v>20</v>
      </c>
      <c r="V326" s="295">
        <f t="shared" si="39"/>
        <v>20</v>
      </c>
      <c r="W326" s="295">
        <f t="shared" si="39"/>
        <v>20</v>
      </c>
      <c r="X326" s="295">
        <f t="shared" si="39"/>
        <v>20</v>
      </c>
      <c r="Y326" s="295">
        <f t="shared" si="39"/>
        <v>20</v>
      </c>
      <c r="Z326" s="295">
        <f t="shared" si="39"/>
        <v>20</v>
      </c>
      <c r="AA326" s="295">
        <f t="shared" si="39"/>
        <v>20</v>
      </c>
      <c r="AB326" s="295">
        <f t="shared" si="39"/>
        <v>20</v>
      </c>
      <c r="AC326" s="295">
        <f t="shared" si="39"/>
        <v>20</v>
      </c>
      <c r="AD326" s="295">
        <f t="shared" si="39"/>
        <v>20</v>
      </c>
      <c r="AE326" s="295">
        <f t="shared" si="39"/>
        <v>20</v>
      </c>
      <c r="AF326" s="295">
        <f t="shared" si="39"/>
        <v>20</v>
      </c>
      <c r="AG326" s="295">
        <f t="shared" si="39"/>
        <v>20</v>
      </c>
      <c r="AH326" s="295">
        <f t="shared" si="39"/>
        <v>20</v>
      </c>
      <c r="AI326" s="295">
        <f t="shared" si="39"/>
        <v>20</v>
      </c>
    </row>
    <row r="327" spans="2:35">
      <c r="B327" s="93" t="s">
        <v>301</v>
      </c>
      <c r="C327" s="295" t="s">
        <v>675</v>
      </c>
      <c r="D327" s="93" t="s">
        <v>301</v>
      </c>
      <c r="E327" s="295">
        <f t="array" ref="E327">INDEX(CABS_CVC!$C$3:$O$894,MATCH(1, (CABS_CVC!$A$3:$A$894=Calculs_CABS!C327)*(CABS_CVC!$B$3:$B$894=Calculs_CABS!$D$2),0),MATCH(Calculs_CABS!$D$1,Liste_CABS!$B$3:$B$15,0))</f>
        <v>60</v>
      </c>
    </row>
    <row r="328" spans="2:35">
      <c r="B328" s="295" t="s">
        <v>543</v>
      </c>
      <c r="C328" s="295" t="s">
        <v>675</v>
      </c>
      <c r="D328" s="295" t="s">
        <v>543</v>
      </c>
      <c r="E328" s="295">
        <v>35</v>
      </c>
    </row>
    <row r="329" spans="2:35">
      <c r="B329" s="295" t="s">
        <v>544</v>
      </c>
      <c r="C329" s="295" t="s">
        <v>675</v>
      </c>
      <c r="D329" s="295" t="s">
        <v>544</v>
      </c>
      <c r="E329" s="295">
        <f>E327+E328</f>
        <v>95</v>
      </c>
    </row>
    <row r="330" spans="2:35">
      <c r="B330" s="295" t="s">
        <v>545</v>
      </c>
      <c r="C330" s="295" t="s">
        <v>675</v>
      </c>
      <c r="D330" s="295" t="s">
        <v>545</v>
      </c>
      <c r="E330" s="295">
        <v>0</v>
      </c>
    </row>
    <row r="331" spans="2:35">
      <c r="B331" s="295" t="s">
        <v>546</v>
      </c>
      <c r="C331" s="295" t="s">
        <v>675</v>
      </c>
      <c r="D331" s="295" t="s">
        <v>668</v>
      </c>
      <c r="E331" s="295">
        <v>1900</v>
      </c>
      <c r="F331" s="295">
        <f>IF(F$6=$C331,IF(INDEX('Surface DEET'!$Q$9:$W$38,COLUMN(F324)-COLUMN($E$5),1)&gt;0,INDEX('Surface DEET'!$Q$9:$W$38,COLUMN(F324)-COLUMN($E$5),1),0),0)</f>
        <v>0</v>
      </c>
      <c r="G331" s="295">
        <f>IF(G$6=$C331,IF(INDEX('Surface DEET'!$Q$9:$W$38,COLUMN(G324)-COLUMN($E$5),1)&gt;0,INDEX('Surface DEET'!$Q$9:$W$38,COLUMN(G324)-COLUMN($E$5),1),0),0)</f>
        <v>0</v>
      </c>
      <c r="H331" s="295">
        <f>IF(H$6=$C331,IF(INDEX('Surface DEET'!$Q$9:$W$38,COLUMN(H324)-COLUMN($E$5),1)&gt;0,INDEX('Surface DEET'!$Q$9:$W$38,COLUMN(H324)-COLUMN($E$5),1),0),0)</f>
        <v>0</v>
      </c>
      <c r="I331" s="295">
        <f>IF(I$6=$C331,IF(INDEX('Surface DEET'!$Q$9:$W$38,COLUMN(I324)-COLUMN($E$5),1)&gt;0,INDEX('Surface DEET'!$Q$9:$W$38,COLUMN(I324)-COLUMN($E$5),1),0),0)</f>
        <v>0</v>
      </c>
      <c r="J331" s="295">
        <f>IF(J$6=$C331,IF(INDEX('Surface DEET'!$Q$9:$W$38,COLUMN(J324)-COLUMN($E$5),1)&gt;0,INDEX('Surface DEET'!$Q$9:$W$38,COLUMN(J324)-COLUMN($E$5),1),0),0)</f>
        <v>0</v>
      </c>
      <c r="K331" s="295">
        <f>IF(K$6=$C331,IF(INDEX('Surface DEET'!$Q$9:$W$38,COLUMN(K324)-COLUMN($E$5),1)&gt;0,INDEX('Surface DEET'!$Q$9:$W$38,COLUMN(K324)-COLUMN($E$5),1),0),0)</f>
        <v>0</v>
      </c>
      <c r="L331" s="295">
        <f>IF(L$6=$C331,IF(INDEX('Surface DEET'!$Q$9:$W$38,COLUMN(L324)-COLUMN($E$5),1)&gt;0,INDEX('Surface DEET'!$Q$9:$W$38,COLUMN(L324)-COLUMN($E$5),1),0),0)</f>
        <v>0</v>
      </c>
      <c r="M331" s="295">
        <f>IF(M$6=$C331,IF(INDEX('Surface DEET'!$Q$9:$W$38,COLUMN(M324)-COLUMN($E$5),1)&gt;0,INDEX('Surface DEET'!$Q$9:$W$38,COLUMN(M324)-COLUMN($E$5),1),0),0)</f>
        <v>0</v>
      </c>
      <c r="N331" s="295">
        <f>IF(N$6=$C331,IF(INDEX('Surface DEET'!$Q$9:$W$38,COLUMN(N324)-COLUMN($E$5),1)&gt;0,INDEX('Surface DEET'!$Q$9:$W$38,COLUMN(N324)-COLUMN($E$5),1),0),0)</f>
        <v>0</v>
      </c>
      <c r="O331" s="295">
        <f>IF(O$6=$C331,IF(INDEX('Surface DEET'!$Q$9:$W$38,COLUMN(O324)-COLUMN($E$5),1)&gt;0,INDEX('Surface DEET'!$Q$9:$W$38,COLUMN(O324)-COLUMN($E$5),1),0),0)</f>
        <v>0</v>
      </c>
      <c r="P331" s="295">
        <f>IF(P$6=$C331,IF(INDEX('Surface DEET'!$Q$9:$W$38,COLUMN(P324)-COLUMN($E$5),1)&gt;0,INDEX('Surface DEET'!$Q$9:$W$38,COLUMN(P324)-COLUMN($E$5),1),0),0)</f>
        <v>0</v>
      </c>
      <c r="Q331" s="295">
        <f>IF(Q$6=$C331,IF(INDEX('Surface DEET'!$Q$9:$W$38,COLUMN(Q324)-COLUMN($E$5),1)&gt;0,INDEX('Surface DEET'!$Q$9:$W$38,COLUMN(Q324)-COLUMN($E$5),1),0),0)</f>
        <v>0</v>
      </c>
      <c r="R331" s="295">
        <f>IF(R$6=$C331,IF(INDEX('Surface DEET'!$Q$9:$W$38,COLUMN(R324)-COLUMN($E$5),1)&gt;0,INDEX('Surface DEET'!$Q$9:$W$38,COLUMN(R324)-COLUMN($E$5),1),0),0)</f>
        <v>0</v>
      </c>
      <c r="S331" s="295">
        <f>IF(S$6=$C331,IF(INDEX('Surface DEET'!$Q$9:$W$38,COLUMN(S324)-COLUMN($E$5),1)&gt;0,INDEX('Surface DEET'!$Q$9:$W$38,COLUMN(S324)-COLUMN($E$5),1),0),0)</f>
        <v>0</v>
      </c>
      <c r="T331" s="295">
        <f>IF(T$6=$C331,IF(INDEX('Surface DEET'!$Q$9:$W$38,COLUMN(T324)-COLUMN($E$5),1)&gt;0,INDEX('Surface DEET'!$Q$9:$W$38,COLUMN(T324)-COLUMN($E$5),1),0),0)</f>
        <v>0</v>
      </c>
      <c r="U331" s="295">
        <f>IF(U$6=$C331,IF(INDEX('Surface DEET'!$Q$9:$W$38,COLUMN(U324)-COLUMN($E$5),1)&gt;0,INDEX('Surface DEET'!$Q$9:$W$38,COLUMN(U324)-COLUMN($E$5),1),0),0)</f>
        <v>0</v>
      </c>
      <c r="V331" s="295">
        <f>IF(V$6=$C331,IF(INDEX('Surface DEET'!$Q$9:$W$38,COLUMN(V324)-COLUMN($E$5),1)&gt;0,INDEX('Surface DEET'!$Q$9:$W$38,COLUMN(V324)-COLUMN($E$5),1),0),0)</f>
        <v>0</v>
      </c>
      <c r="W331" s="295">
        <f>IF(W$6=$C331,IF(INDEX('Surface DEET'!$Q$9:$W$38,COLUMN(W324)-COLUMN($E$5),1)&gt;0,INDEX('Surface DEET'!$Q$9:$W$38,COLUMN(W324)-COLUMN($E$5),1),0),0)</f>
        <v>0</v>
      </c>
      <c r="X331" s="295">
        <f>IF(X$6=$C331,IF(INDEX('Surface DEET'!$Q$9:$W$38,COLUMN(X324)-COLUMN($E$5),1)&gt;0,INDEX('Surface DEET'!$Q$9:$W$38,COLUMN(X324)-COLUMN($E$5),1),0),0)</f>
        <v>0</v>
      </c>
      <c r="Y331" s="295">
        <f>IF(Y$6=$C331,IF(INDEX('Surface DEET'!$Q$9:$W$38,COLUMN(Y324)-COLUMN($E$5),1)&gt;0,INDEX('Surface DEET'!$Q$9:$W$38,COLUMN(Y324)-COLUMN($E$5),1),0),0)</f>
        <v>0</v>
      </c>
      <c r="Z331" s="295">
        <f>IF(Z$6=$C331,IF(INDEX('Surface DEET'!$Q$9:$W$38,COLUMN(Z324)-COLUMN($E$5),1)&gt;0,INDEX('Surface DEET'!$Q$9:$W$38,COLUMN(Z324)-COLUMN($E$5),1),0),0)</f>
        <v>0</v>
      </c>
      <c r="AA331" s="295">
        <f>IF(AA$6=$C331,IF(INDEX('Surface DEET'!$Q$9:$W$38,COLUMN(AA324)-COLUMN($E$5),1)&gt;0,INDEX('Surface DEET'!$Q$9:$W$38,COLUMN(AA324)-COLUMN($E$5),1),0),0)</f>
        <v>0</v>
      </c>
      <c r="AB331" s="295">
        <f>IF(AB$6=$C331,IF(INDEX('Surface DEET'!$Q$9:$W$38,COLUMN(AB324)-COLUMN($E$5),1)&gt;0,INDEX('Surface DEET'!$Q$9:$W$38,COLUMN(AB324)-COLUMN($E$5),1),0),0)</f>
        <v>0</v>
      </c>
      <c r="AC331" s="295">
        <f>IF(AC$6=$C331,IF(INDEX('Surface DEET'!$Q$9:$W$38,COLUMN(AC324)-COLUMN($E$5),1)&gt;0,INDEX('Surface DEET'!$Q$9:$W$38,COLUMN(AC324)-COLUMN($E$5),1),0),0)</f>
        <v>0</v>
      </c>
      <c r="AD331" s="295">
        <f>IF(AD$6=$C331,IF(INDEX('Surface DEET'!$Q$9:$W$38,COLUMN(AD324)-COLUMN($E$5),1)&gt;0,INDEX('Surface DEET'!$Q$9:$W$38,COLUMN(AD324)-COLUMN($E$5),1),0),0)</f>
        <v>0</v>
      </c>
      <c r="AE331" s="295">
        <f>IF(AE$6=$C331,IF(INDEX('Surface DEET'!$Q$9:$W$38,COLUMN(AE324)-COLUMN($E$5),1)&gt;0,INDEX('Surface DEET'!$Q$9:$W$38,COLUMN(AE324)-COLUMN($E$5),1),0),0)</f>
        <v>0</v>
      </c>
      <c r="AF331" s="295">
        <f>IF(AF$6=$C331,IF(INDEX('Surface DEET'!$Q$9:$W$38,COLUMN(AF324)-COLUMN($E$5),1)&gt;0,INDEX('Surface DEET'!$Q$9:$W$38,COLUMN(AF324)-COLUMN($E$5),1),0),0)</f>
        <v>0</v>
      </c>
      <c r="AG331" s="295">
        <f>IF(AG$6=$C331,IF(INDEX('Surface DEET'!$Q$9:$W$38,COLUMN(AG324)-COLUMN($E$5),1)&gt;0,INDEX('Surface DEET'!$Q$9:$W$38,COLUMN(AG324)-COLUMN($E$5),1),0),0)</f>
        <v>0</v>
      </c>
      <c r="AH331" s="295">
        <f>IF(AH$6=$C331,IF(INDEX('Surface DEET'!$Q$9:$W$38,COLUMN(AH324)-COLUMN($E$5),1)&gt;0,INDEX('Surface DEET'!$Q$9:$W$38,COLUMN(AH324)-COLUMN($E$5),1),0),0)</f>
        <v>0</v>
      </c>
      <c r="AI331" s="295">
        <f>IF(AI$6=$C331,IF(INDEX('Surface DEET'!$Q$9:$W$38,COLUMN(AI324)-COLUMN($E$5),1)&gt;0,INDEX('Surface DEET'!$Q$9:$W$38,COLUMN(AI324)-COLUMN($E$5),1),0),0)</f>
        <v>0</v>
      </c>
    </row>
    <row r="332" spans="2:35">
      <c r="B332" s="295" t="s">
        <v>549</v>
      </c>
      <c r="C332" s="295" t="s">
        <v>675</v>
      </c>
      <c r="D332" s="295" t="s">
        <v>669</v>
      </c>
      <c r="E332" s="295">
        <v>1900</v>
      </c>
      <c r="F332" s="295">
        <f>IF(F$6=$C332,IF(INDEX('Surface DEET'!$Q$9:$W$38,COLUMN(F325)-COLUMN($E$5),4)&gt;0,INDEX('Surface DEET'!$Q$9:$W$38,COLUMN(F325)-COLUMN($E$5),4),0),0)</f>
        <v>0</v>
      </c>
      <c r="G332" s="295">
        <f>IF(G$6=$C332,IF(INDEX('Surface DEET'!$Q$9:$W$38,COLUMN(G325)-COLUMN($E$5),4)&gt;0,INDEX('Surface DEET'!$Q$9:$W$38,COLUMN(G325)-COLUMN($E$5),4),0),0)</f>
        <v>0</v>
      </c>
      <c r="H332" s="295">
        <f>IF(H$6=$C332,IF(INDEX('Surface DEET'!$Q$9:$W$38,COLUMN(H325)-COLUMN($E$5),4)&gt;0,INDEX('Surface DEET'!$Q$9:$W$38,COLUMN(H325)-COLUMN($E$5),4),0),0)</f>
        <v>0</v>
      </c>
      <c r="I332" s="295">
        <f>IF(I$6=$C332,IF(INDEX('Surface DEET'!$Q$9:$W$38,COLUMN(I325)-COLUMN($E$5),4)&gt;0,INDEX('Surface DEET'!$Q$9:$W$38,COLUMN(I325)-COLUMN($E$5),4),0),0)</f>
        <v>0</v>
      </c>
      <c r="J332" s="295">
        <f>IF(J$6=$C332,IF(INDEX('Surface DEET'!$Q$9:$W$38,COLUMN(J325)-COLUMN($E$5),4)&gt;0,INDEX('Surface DEET'!$Q$9:$W$38,COLUMN(J325)-COLUMN($E$5),4),0),0)</f>
        <v>0</v>
      </c>
      <c r="K332" s="295">
        <f>IF(K$6=$C332,IF(INDEX('Surface DEET'!$Q$9:$W$38,COLUMN(K325)-COLUMN($E$5),4)&gt;0,INDEX('Surface DEET'!$Q$9:$W$38,COLUMN(K325)-COLUMN($E$5),4),0),0)</f>
        <v>0</v>
      </c>
      <c r="L332" s="295">
        <f>IF(L$6=$C332,IF(INDEX('Surface DEET'!$Q$9:$W$38,COLUMN(L325)-COLUMN($E$5),4)&gt;0,INDEX('Surface DEET'!$Q$9:$W$38,COLUMN(L325)-COLUMN($E$5),4),0),0)</f>
        <v>0</v>
      </c>
      <c r="M332" s="295">
        <f>IF(M$6=$C332,IF(INDEX('Surface DEET'!$Q$9:$W$38,COLUMN(M325)-COLUMN($E$5),4)&gt;0,INDEX('Surface DEET'!$Q$9:$W$38,COLUMN(M325)-COLUMN($E$5),4),0),0)</f>
        <v>0</v>
      </c>
      <c r="N332" s="295">
        <f>IF(N$6=$C332,IF(INDEX('Surface DEET'!$Q$9:$W$38,COLUMN(N325)-COLUMN($E$5),4)&gt;0,INDEX('Surface DEET'!$Q$9:$W$38,COLUMN(N325)-COLUMN($E$5),4),0),0)</f>
        <v>0</v>
      </c>
      <c r="O332" s="295">
        <f>IF(O$6=$C332,IF(INDEX('Surface DEET'!$Q$9:$W$38,COLUMN(O325)-COLUMN($E$5),4)&gt;0,INDEX('Surface DEET'!$Q$9:$W$38,COLUMN(O325)-COLUMN($E$5),4),0),0)</f>
        <v>0</v>
      </c>
      <c r="P332" s="295">
        <f>IF(P$6=$C332,IF(INDEX('Surface DEET'!$Q$9:$W$38,COLUMN(P325)-COLUMN($E$5),4)&gt;0,INDEX('Surface DEET'!$Q$9:$W$38,COLUMN(P325)-COLUMN($E$5),4),0),0)</f>
        <v>0</v>
      </c>
      <c r="Q332" s="295">
        <f>IF(Q$6=$C332,IF(INDEX('Surface DEET'!$Q$9:$W$38,COLUMN(Q325)-COLUMN($E$5),4)&gt;0,INDEX('Surface DEET'!$Q$9:$W$38,COLUMN(Q325)-COLUMN($E$5),4),0),0)</f>
        <v>0</v>
      </c>
      <c r="R332" s="295">
        <f>IF(R$6=$C332,IF(INDEX('Surface DEET'!$Q$9:$W$38,COLUMN(R325)-COLUMN($E$5),4)&gt;0,INDEX('Surface DEET'!$Q$9:$W$38,COLUMN(R325)-COLUMN($E$5),4),0),0)</f>
        <v>0</v>
      </c>
      <c r="S332" s="295">
        <f>IF(S$6=$C332,IF(INDEX('Surface DEET'!$Q$9:$W$38,COLUMN(S325)-COLUMN($E$5),4)&gt;0,INDEX('Surface DEET'!$Q$9:$W$38,COLUMN(S325)-COLUMN($E$5),4),0),0)</f>
        <v>0</v>
      </c>
      <c r="T332" s="295">
        <f>IF(T$6=$C332,IF(INDEX('Surface DEET'!$Q$9:$W$38,COLUMN(T325)-COLUMN($E$5),4)&gt;0,INDEX('Surface DEET'!$Q$9:$W$38,COLUMN(T325)-COLUMN($E$5),4),0),0)</f>
        <v>0</v>
      </c>
      <c r="U332" s="295">
        <f>IF(U$6=$C332,IF(INDEX('Surface DEET'!$Q$9:$W$38,COLUMN(U325)-COLUMN($E$5),4)&gt;0,INDEX('Surface DEET'!$Q$9:$W$38,COLUMN(U325)-COLUMN($E$5),4),0),0)</f>
        <v>0</v>
      </c>
      <c r="V332" s="295">
        <f>IF(V$6=$C332,IF(INDEX('Surface DEET'!$Q$9:$W$38,COLUMN(V325)-COLUMN($E$5),4)&gt;0,INDEX('Surface DEET'!$Q$9:$W$38,COLUMN(V325)-COLUMN($E$5),4),0),0)</f>
        <v>0</v>
      </c>
      <c r="W332" s="295">
        <f>IF(W$6=$C332,IF(INDEX('Surface DEET'!$Q$9:$W$38,COLUMN(W325)-COLUMN($E$5),4)&gt;0,INDEX('Surface DEET'!$Q$9:$W$38,COLUMN(W325)-COLUMN($E$5),4),0),0)</f>
        <v>0</v>
      </c>
      <c r="X332" s="295">
        <f>IF(X$6=$C332,IF(INDEX('Surface DEET'!$Q$9:$W$38,COLUMN(X325)-COLUMN($E$5),4)&gt;0,INDEX('Surface DEET'!$Q$9:$W$38,COLUMN(X325)-COLUMN($E$5),4),0),0)</f>
        <v>0</v>
      </c>
      <c r="Y332" s="295">
        <f>IF(Y$6=$C332,IF(INDEX('Surface DEET'!$Q$9:$W$38,COLUMN(Y325)-COLUMN($E$5),4)&gt;0,INDEX('Surface DEET'!$Q$9:$W$38,COLUMN(Y325)-COLUMN($E$5),4),0),0)</f>
        <v>0</v>
      </c>
      <c r="Z332" s="295">
        <f>IF(Z$6=$C332,IF(INDEX('Surface DEET'!$Q$9:$W$38,COLUMN(Z325)-COLUMN($E$5),4)&gt;0,INDEX('Surface DEET'!$Q$9:$W$38,COLUMN(Z325)-COLUMN($E$5),4),0),0)</f>
        <v>0</v>
      </c>
      <c r="AA332" s="295">
        <f>IF(AA$6=$C332,IF(INDEX('Surface DEET'!$Q$9:$W$38,COLUMN(AA325)-COLUMN($E$5),4)&gt;0,INDEX('Surface DEET'!$Q$9:$W$38,COLUMN(AA325)-COLUMN($E$5),4),0),0)</f>
        <v>0</v>
      </c>
      <c r="AB332" s="295">
        <f>IF(AB$6=$C332,IF(INDEX('Surface DEET'!$Q$9:$W$38,COLUMN(AB325)-COLUMN($E$5),4)&gt;0,INDEX('Surface DEET'!$Q$9:$W$38,COLUMN(AB325)-COLUMN($E$5),4),0),0)</f>
        <v>0</v>
      </c>
      <c r="AC332" s="295">
        <f>IF(AC$6=$C332,IF(INDEX('Surface DEET'!$Q$9:$W$38,COLUMN(AC325)-COLUMN($E$5),4)&gt;0,INDEX('Surface DEET'!$Q$9:$W$38,COLUMN(AC325)-COLUMN($E$5),4),0),0)</f>
        <v>0</v>
      </c>
      <c r="AD332" s="295">
        <f>IF(AD$6=$C332,IF(INDEX('Surface DEET'!$Q$9:$W$38,COLUMN(AD325)-COLUMN($E$5),4)&gt;0,INDEX('Surface DEET'!$Q$9:$W$38,COLUMN(AD325)-COLUMN($E$5),4),0),0)</f>
        <v>0</v>
      </c>
      <c r="AE332" s="295">
        <f>IF(AE$6=$C332,IF(INDEX('Surface DEET'!$Q$9:$W$38,COLUMN(AE325)-COLUMN($E$5),4)&gt;0,INDEX('Surface DEET'!$Q$9:$W$38,COLUMN(AE325)-COLUMN($E$5),4),0),0)</f>
        <v>0</v>
      </c>
      <c r="AF332" s="295">
        <f>IF(AF$6=$C332,IF(INDEX('Surface DEET'!$Q$9:$W$38,COLUMN(AF325)-COLUMN($E$5),4)&gt;0,INDEX('Surface DEET'!$Q$9:$W$38,COLUMN(AF325)-COLUMN($E$5),4),0),0)</f>
        <v>0</v>
      </c>
      <c r="AG332" s="295">
        <f>IF(AG$6=$C332,IF(INDEX('Surface DEET'!$Q$9:$W$38,COLUMN(AG325)-COLUMN($E$5),4)&gt;0,INDEX('Surface DEET'!$Q$9:$W$38,COLUMN(AG325)-COLUMN($E$5),4),0),0)</f>
        <v>0</v>
      </c>
      <c r="AH332" s="295">
        <f>IF(AH$6=$C332,IF(INDEX('Surface DEET'!$Q$9:$W$38,COLUMN(AH325)-COLUMN($E$5),4)&gt;0,INDEX('Surface DEET'!$Q$9:$W$38,COLUMN(AH325)-COLUMN($E$5),4),0),0)</f>
        <v>0</v>
      </c>
      <c r="AI332" s="295">
        <f>IF(AI$6=$C332,IF(INDEX('Surface DEET'!$Q$9:$W$38,COLUMN(AI325)-COLUMN($E$5),4)&gt;0,INDEX('Surface DEET'!$Q$9:$W$38,COLUMN(AI325)-COLUMN($E$5),4),0),0)</f>
        <v>0</v>
      </c>
    </row>
    <row r="333" spans="2:35">
      <c r="B333" s="295" t="s">
        <v>552</v>
      </c>
      <c r="C333" s="295" t="s">
        <v>675</v>
      </c>
    </row>
    <row r="334" spans="2:35">
      <c r="B334" s="295" t="s">
        <v>542</v>
      </c>
      <c r="C334" s="295" t="s">
        <v>675</v>
      </c>
      <c r="D334" s="295" t="s">
        <v>542</v>
      </c>
      <c r="F334" s="295">
        <f>$E$328*(1+2*F331/$E$331+F332/$E$332)</f>
        <v>35</v>
      </c>
      <c r="G334" s="295">
        <f t="shared" ref="G334:AI334" si="40">$E$328*(1+2*G331/$E$331+G332/$E$332)</f>
        <v>35</v>
      </c>
      <c r="H334" s="295">
        <f t="shared" si="40"/>
        <v>35</v>
      </c>
      <c r="I334" s="295">
        <f t="shared" si="40"/>
        <v>35</v>
      </c>
      <c r="J334" s="295">
        <f t="shared" si="40"/>
        <v>35</v>
      </c>
      <c r="K334" s="295">
        <f t="shared" si="40"/>
        <v>35</v>
      </c>
      <c r="L334" s="295">
        <f t="shared" si="40"/>
        <v>35</v>
      </c>
      <c r="M334" s="295">
        <f t="shared" si="40"/>
        <v>35</v>
      </c>
      <c r="N334" s="295">
        <f t="shared" si="40"/>
        <v>35</v>
      </c>
      <c r="O334" s="295">
        <f t="shared" si="40"/>
        <v>35</v>
      </c>
      <c r="P334" s="295">
        <f t="shared" si="40"/>
        <v>35</v>
      </c>
      <c r="Q334" s="295">
        <f t="shared" si="40"/>
        <v>35</v>
      </c>
      <c r="R334" s="295">
        <f t="shared" si="40"/>
        <v>35</v>
      </c>
      <c r="S334" s="295">
        <f t="shared" si="40"/>
        <v>35</v>
      </c>
      <c r="T334" s="295">
        <f t="shared" si="40"/>
        <v>35</v>
      </c>
      <c r="U334" s="295">
        <f t="shared" si="40"/>
        <v>35</v>
      </c>
      <c r="V334" s="295">
        <f t="shared" si="40"/>
        <v>35</v>
      </c>
      <c r="W334" s="295">
        <f t="shared" si="40"/>
        <v>35</v>
      </c>
      <c r="X334" s="295">
        <f t="shared" si="40"/>
        <v>35</v>
      </c>
      <c r="Y334" s="295">
        <f t="shared" si="40"/>
        <v>35</v>
      </c>
      <c r="Z334" s="295">
        <f t="shared" si="40"/>
        <v>35</v>
      </c>
      <c r="AA334" s="295">
        <f t="shared" si="40"/>
        <v>35</v>
      </c>
      <c r="AB334" s="295">
        <f t="shared" si="40"/>
        <v>35</v>
      </c>
      <c r="AC334" s="295">
        <f t="shared" si="40"/>
        <v>35</v>
      </c>
      <c r="AD334" s="295">
        <f t="shared" si="40"/>
        <v>35</v>
      </c>
      <c r="AE334" s="295">
        <f t="shared" si="40"/>
        <v>35</v>
      </c>
      <c r="AF334" s="295">
        <f t="shared" si="40"/>
        <v>35</v>
      </c>
      <c r="AG334" s="295">
        <f t="shared" si="40"/>
        <v>35</v>
      </c>
      <c r="AH334" s="295">
        <f t="shared" si="40"/>
        <v>35</v>
      </c>
      <c r="AI334" s="295">
        <f t="shared" si="40"/>
        <v>35</v>
      </c>
    </row>
    <row r="335" spans="2:35">
      <c r="B335" s="93" t="s">
        <v>301</v>
      </c>
      <c r="C335" s="295" t="s">
        <v>676</v>
      </c>
      <c r="D335" s="93" t="s">
        <v>301</v>
      </c>
      <c r="E335" s="295">
        <f t="array" ref="E335">INDEX(CABS_CVC!$C$3:$O$894,MATCH(1, (CABS_CVC!$A$3:$A$894=Calculs_CABS!C335)*(CABS_CVC!$B$3:$B$894=Calculs_CABS!$D$2),0),MATCH(Calculs_CABS!$D$1,Liste_CABS!$B$3:$B$15,0))</f>
        <v>60</v>
      </c>
    </row>
    <row r="336" spans="2:35">
      <c r="B336" s="295" t="s">
        <v>543</v>
      </c>
      <c r="C336" s="295" t="s">
        <v>676</v>
      </c>
      <c r="D336" s="295" t="s">
        <v>543</v>
      </c>
      <c r="E336" s="295">
        <v>21</v>
      </c>
    </row>
    <row r="337" spans="2:35">
      <c r="B337" s="295" t="s">
        <v>544</v>
      </c>
      <c r="C337" s="295" t="s">
        <v>676</v>
      </c>
      <c r="D337" s="295" t="s">
        <v>544</v>
      </c>
      <c r="E337" s="295">
        <f>E335+E336</f>
        <v>81</v>
      </c>
    </row>
    <row r="338" spans="2:35">
      <c r="B338" s="295" t="s">
        <v>545</v>
      </c>
      <c r="C338" s="295" t="s">
        <v>676</v>
      </c>
      <c r="D338" s="295" t="s">
        <v>545</v>
      </c>
      <c r="E338" s="295">
        <v>0</v>
      </c>
    </row>
    <row r="339" spans="2:35">
      <c r="B339" s="295" t="s">
        <v>546</v>
      </c>
      <c r="C339" s="295" t="s">
        <v>676</v>
      </c>
      <c r="D339" s="295" t="s">
        <v>668</v>
      </c>
      <c r="E339" s="295">
        <v>4560</v>
      </c>
      <c r="F339" s="295">
        <f>IF(F$6=$C339,IF(INDEX('Surface DEET'!$Q$9:$W$38,COLUMN(F332)-COLUMN($E$5),1)&gt;0,INDEX('Surface DEET'!$Q$9:$W$38,COLUMN(F332)-COLUMN($E$5),1),0),0)</f>
        <v>0</v>
      </c>
      <c r="G339" s="295">
        <f>IF(G$6=$C339,IF(INDEX('Surface DEET'!$Q$9:$W$38,COLUMN(G332)-COLUMN($E$5),1)&gt;0,INDEX('Surface DEET'!$Q$9:$W$38,COLUMN(G332)-COLUMN($E$5),1),0),0)</f>
        <v>0</v>
      </c>
      <c r="H339" s="295">
        <f>IF(H$6=$C339,IF(INDEX('Surface DEET'!$Q$9:$W$38,COLUMN(H332)-COLUMN($E$5),1)&gt;0,INDEX('Surface DEET'!$Q$9:$W$38,COLUMN(H332)-COLUMN($E$5),1),0),0)</f>
        <v>0</v>
      </c>
      <c r="I339" s="295">
        <f>IF(I$6=$C339,IF(INDEX('Surface DEET'!$Q$9:$W$38,COLUMN(I332)-COLUMN($E$5),1)&gt;0,INDEX('Surface DEET'!$Q$9:$W$38,COLUMN(I332)-COLUMN($E$5),1),0),0)</f>
        <v>0</v>
      </c>
      <c r="J339" s="295">
        <f>IF(J$6=$C339,IF(INDEX('Surface DEET'!$Q$9:$W$38,COLUMN(J332)-COLUMN($E$5),1)&gt;0,INDEX('Surface DEET'!$Q$9:$W$38,COLUMN(J332)-COLUMN($E$5),1),0),0)</f>
        <v>0</v>
      </c>
      <c r="K339" s="295">
        <f>IF(K$6=$C339,IF(INDEX('Surface DEET'!$Q$9:$W$38,COLUMN(K332)-COLUMN($E$5),1)&gt;0,INDEX('Surface DEET'!$Q$9:$W$38,COLUMN(K332)-COLUMN($E$5),1),0),0)</f>
        <v>0</v>
      </c>
      <c r="L339" s="295">
        <f>IF(L$6=$C339,IF(INDEX('Surface DEET'!$Q$9:$W$38,COLUMN(L332)-COLUMN($E$5),1)&gt;0,INDEX('Surface DEET'!$Q$9:$W$38,COLUMN(L332)-COLUMN($E$5),1),0),0)</f>
        <v>0</v>
      </c>
      <c r="M339" s="295">
        <f>IF(M$6=$C339,IF(INDEX('Surface DEET'!$Q$9:$W$38,COLUMN(M332)-COLUMN($E$5),1)&gt;0,INDEX('Surface DEET'!$Q$9:$W$38,COLUMN(M332)-COLUMN($E$5),1),0),0)</f>
        <v>0</v>
      </c>
      <c r="N339" s="295">
        <f>IF(N$6=$C339,IF(INDEX('Surface DEET'!$Q$9:$W$38,COLUMN(N332)-COLUMN($E$5),1)&gt;0,INDEX('Surface DEET'!$Q$9:$W$38,COLUMN(N332)-COLUMN($E$5),1),0),0)</f>
        <v>0</v>
      </c>
      <c r="O339" s="295">
        <f>IF(O$6=$C339,IF(INDEX('Surface DEET'!$Q$9:$W$38,COLUMN(O332)-COLUMN($E$5),1)&gt;0,INDEX('Surface DEET'!$Q$9:$W$38,COLUMN(O332)-COLUMN($E$5),1),0),0)</f>
        <v>0</v>
      </c>
      <c r="P339" s="295">
        <f>IF(P$6=$C339,IF(INDEX('Surface DEET'!$Q$9:$W$38,COLUMN(P332)-COLUMN($E$5),1)&gt;0,INDEX('Surface DEET'!$Q$9:$W$38,COLUMN(P332)-COLUMN($E$5),1),0),0)</f>
        <v>0</v>
      </c>
      <c r="Q339" s="295">
        <f>IF(Q$6=$C339,IF(INDEX('Surface DEET'!$Q$9:$W$38,COLUMN(Q332)-COLUMN($E$5),1)&gt;0,INDEX('Surface DEET'!$Q$9:$W$38,COLUMN(Q332)-COLUMN($E$5),1),0),0)</f>
        <v>0</v>
      </c>
      <c r="R339" s="295">
        <f>IF(R$6=$C339,IF(INDEX('Surface DEET'!$Q$9:$W$38,COLUMN(R332)-COLUMN($E$5),1)&gt;0,INDEX('Surface DEET'!$Q$9:$W$38,COLUMN(R332)-COLUMN($E$5),1),0),0)</f>
        <v>0</v>
      </c>
      <c r="S339" s="295">
        <f>IF(S$6=$C339,IF(INDEX('Surface DEET'!$Q$9:$W$38,COLUMN(S332)-COLUMN($E$5),1)&gt;0,INDEX('Surface DEET'!$Q$9:$W$38,COLUMN(S332)-COLUMN($E$5),1),0),0)</f>
        <v>0</v>
      </c>
      <c r="T339" s="295">
        <f>IF(T$6=$C339,IF(INDEX('Surface DEET'!$Q$9:$W$38,COLUMN(T332)-COLUMN($E$5),1)&gt;0,INDEX('Surface DEET'!$Q$9:$W$38,COLUMN(T332)-COLUMN($E$5),1),0),0)</f>
        <v>0</v>
      </c>
      <c r="U339" s="295">
        <f>IF(U$6=$C339,IF(INDEX('Surface DEET'!$Q$9:$W$38,COLUMN(U332)-COLUMN($E$5),1)&gt;0,INDEX('Surface DEET'!$Q$9:$W$38,COLUMN(U332)-COLUMN($E$5),1),0),0)</f>
        <v>0</v>
      </c>
      <c r="V339" s="295">
        <f>IF(V$6=$C339,IF(INDEX('Surface DEET'!$Q$9:$W$38,COLUMN(V332)-COLUMN($E$5),1)&gt;0,INDEX('Surface DEET'!$Q$9:$W$38,COLUMN(V332)-COLUMN($E$5),1),0),0)</f>
        <v>0</v>
      </c>
      <c r="W339" s="295">
        <f>IF(W$6=$C339,IF(INDEX('Surface DEET'!$Q$9:$W$38,COLUMN(W332)-COLUMN($E$5),1)&gt;0,INDEX('Surface DEET'!$Q$9:$W$38,COLUMN(W332)-COLUMN($E$5),1),0),0)</f>
        <v>0</v>
      </c>
      <c r="X339" s="295">
        <f>IF(X$6=$C339,IF(INDEX('Surface DEET'!$Q$9:$W$38,COLUMN(X332)-COLUMN($E$5),1)&gt;0,INDEX('Surface DEET'!$Q$9:$W$38,COLUMN(X332)-COLUMN($E$5),1),0),0)</f>
        <v>0</v>
      </c>
      <c r="Y339" s="295">
        <f>IF(Y$6=$C339,IF(INDEX('Surface DEET'!$Q$9:$W$38,COLUMN(Y332)-COLUMN($E$5),1)&gt;0,INDEX('Surface DEET'!$Q$9:$W$38,COLUMN(Y332)-COLUMN($E$5),1),0),0)</f>
        <v>0</v>
      </c>
      <c r="Z339" s="295">
        <f>IF(Z$6=$C339,IF(INDEX('Surface DEET'!$Q$9:$W$38,COLUMN(Z332)-COLUMN($E$5),1)&gt;0,INDEX('Surface DEET'!$Q$9:$W$38,COLUMN(Z332)-COLUMN($E$5),1),0),0)</f>
        <v>0</v>
      </c>
      <c r="AA339" s="295">
        <f>IF(AA$6=$C339,IF(INDEX('Surface DEET'!$Q$9:$W$38,COLUMN(AA332)-COLUMN($E$5),1)&gt;0,INDEX('Surface DEET'!$Q$9:$W$38,COLUMN(AA332)-COLUMN($E$5),1),0),0)</f>
        <v>0</v>
      </c>
      <c r="AB339" s="295">
        <f>IF(AB$6=$C339,IF(INDEX('Surface DEET'!$Q$9:$W$38,COLUMN(AB332)-COLUMN($E$5),1)&gt;0,INDEX('Surface DEET'!$Q$9:$W$38,COLUMN(AB332)-COLUMN($E$5),1),0),0)</f>
        <v>0</v>
      </c>
      <c r="AC339" s="295">
        <f>IF(AC$6=$C339,IF(INDEX('Surface DEET'!$Q$9:$W$38,COLUMN(AC332)-COLUMN($E$5),1)&gt;0,INDEX('Surface DEET'!$Q$9:$W$38,COLUMN(AC332)-COLUMN($E$5),1),0),0)</f>
        <v>0</v>
      </c>
      <c r="AD339" s="295">
        <f>IF(AD$6=$C339,IF(INDEX('Surface DEET'!$Q$9:$W$38,COLUMN(AD332)-COLUMN($E$5),1)&gt;0,INDEX('Surface DEET'!$Q$9:$W$38,COLUMN(AD332)-COLUMN($E$5),1),0),0)</f>
        <v>0</v>
      </c>
      <c r="AE339" s="295">
        <f>IF(AE$6=$C339,IF(INDEX('Surface DEET'!$Q$9:$W$38,COLUMN(AE332)-COLUMN($E$5),1)&gt;0,INDEX('Surface DEET'!$Q$9:$W$38,COLUMN(AE332)-COLUMN($E$5),1),0),0)</f>
        <v>0</v>
      </c>
      <c r="AF339" s="295">
        <f>IF(AF$6=$C339,IF(INDEX('Surface DEET'!$Q$9:$W$38,COLUMN(AF332)-COLUMN($E$5),1)&gt;0,INDEX('Surface DEET'!$Q$9:$W$38,COLUMN(AF332)-COLUMN($E$5),1),0),0)</f>
        <v>0</v>
      </c>
      <c r="AG339" s="295">
        <f>IF(AG$6=$C339,IF(INDEX('Surface DEET'!$Q$9:$W$38,COLUMN(AG332)-COLUMN($E$5),1)&gt;0,INDEX('Surface DEET'!$Q$9:$W$38,COLUMN(AG332)-COLUMN($E$5),1),0),0)</f>
        <v>0</v>
      </c>
      <c r="AH339" s="295">
        <f>IF(AH$6=$C339,IF(INDEX('Surface DEET'!$Q$9:$W$38,COLUMN(AH332)-COLUMN($E$5),1)&gt;0,INDEX('Surface DEET'!$Q$9:$W$38,COLUMN(AH332)-COLUMN($E$5),1),0),0)</f>
        <v>0</v>
      </c>
      <c r="AI339" s="295">
        <f>IF(AI$6=$C339,IF(INDEX('Surface DEET'!$Q$9:$W$38,COLUMN(AI332)-COLUMN($E$5),1)&gt;0,INDEX('Surface DEET'!$Q$9:$W$38,COLUMN(AI332)-COLUMN($E$5),1),0),0)</f>
        <v>0</v>
      </c>
    </row>
    <row r="340" spans="2:35">
      <c r="B340" s="295" t="s">
        <v>549</v>
      </c>
      <c r="C340" s="295" t="s">
        <v>676</v>
      </c>
      <c r="D340" s="295" t="s">
        <v>669</v>
      </c>
      <c r="E340" s="295">
        <v>4560</v>
      </c>
      <c r="F340" s="295">
        <f>IF(F$6=$C340,IF(INDEX('Surface DEET'!$Q$9:$W$38,COLUMN(F333)-COLUMN($E$5),4)&gt;0,INDEX('Surface DEET'!$Q$9:$W$38,COLUMN(F333)-COLUMN($E$5),4),0),0)</f>
        <v>0</v>
      </c>
      <c r="G340" s="295">
        <f>IF(G$6=$C340,IF(INDEX('Surface DEET'!$Q$9:$W$38,COLUMN(G333)-COLUMN($E$5),4)&gt;0,INDEX('Surface DEET'!$Q$9:$W$38,COLUMN(G333)-COLUMN($E$5),4),0),0)</f>
        <v>0</v>
      </c>
      <c r="H340" s="295">
        <f>IF(H$6=$C340,IF(INDEX('Surface DEET'!$Q$9:$W$38,COLUMN(H333)-COLUMN($E$5),4)&gt;0,INDEX('Surface DEET'!$Q$9:$W$38,COLUMN(H333)-COLUMN($E$5),4),0),0)</f>
        <v>0</v>
      </c>
      <c r="I340" s="295">
        <f>IF(I$6=$C340,IF(INDEX('Surface DEET'!$Q$9:$W$38,COLUMN(I333)-COLUMN($E$5),4)&gt;0,INDEX('Surface DEET'!$Q$9:$W$38,COLUMN(I333)-COLUMN($E$5),4),0),0)</f>
        <v>0</v>
      </c>
      <c r="J340" s="295">
        <f>IF(J$6=$C340,IF(INDEX('Surface DEET'!$Q$9:$W$38,COLUMN(J333)-COLUMN($E$5),4)&gt;0,INDEX('Surface DEET'!$Q$9:$W$38,COLUMN(J333)-COLUMN($E$5),4),0),0)</f>
        <v>0</v>
      </c>
      <c r="K340" s="295">
        <f>IF(K$6=$C340,IF(INDEX('Surface DEET'!$Q$9:$W$38,COLUMN(K333)-COLUMN($E$5),4)&gt;0,INDEX('Surface DEET'!$Q$9:$W$38,COLUMN(K333)-COLUMN($E$5),4),0),0)</f>
        <v>0</v>
      </c>
      <c r="L340" s="295">
        <f>IF(L$6=$C340,IF(INDEX('Surface DEET'!$Q$9:$W$38,COLUMN(L333)-COLUMN($E$5),4)&gt;0,INDEX('Surface DEET'!$Q$9:$W$38,COLUMN(L333)-COLUMN($E$5),4),0),0)</f>
        <v>0</v>
      </c>
      <c r="M340" s="295">
        <f>IF(M$6=$C340,IF(INDEX('Surface DEET'!$Q$9:$W$38,COLUMN(M333)-COLUMN($E$5),4)&gt;0,INDEX('Surface DEET'!$Q$9:$W$38,COLUMN(M333)-COLUMN($E$5),4),0),0)</f>
        <v>0</v>
      </c>
      <c r="N340" s="295">
        <f>IF(N$6=$C340,IF(INDEX('Surface DEET'!$Q$9:$W$38,COLUMN(N333)-COLUMN($E$5),4)&gt;0,INDEX('Surface DEET'!$Q$9:$W$38,COLUMN(N333)-COLUMN($E$5),4),0),0)</f>
        <v>0</v>
      </c>
      <c r="O340" s="295">
        <f>IF(O$6=$C340,IF(INDEX('Surface DEET'!$Q$9:$W$38,COLUMN(O333)-COLUMN($E$5),4)&gt;0,INDEX('Surface DEET'!$Q$9:$W$38,COLUMN(O333)-COLUMN($E$5),4),0),0)</f>
        <v>0</v>
      </c>
      <c r="P340" s="295">
        <f>IF(P$6=$C340,IF(INDEX('Surface DEET'!$Q$9:$W$38,COLUMN(P333)-COLUMN($E$5),4)&gt;0,INDEX('Surface DEET'!$Q$9:$W$38,COLUMN(P333)-COLUMN($E$5),4),0),0)</f>
        <v>0</v>
      </c>
      <c r="Q340" s="295">
        <f>IF(Q$6=$C340,IF(INDEX('Surface DEET'!$Q$9:$W$38,COLUMN(Q333)-COLUMN($E$5),4)&gt;0,INDEX('Surface DEET'!$Q$9:$W$38,COLUMN(Q333)-COLUMN($E$5),4),0),0)</f>
        <v>0</v>
      </c>
      <c r="R340" s="295">
        <f>IF(R$6=$C340,IF(INDEX('Surface DEET'!$Q$9:$W$38,COLUMN(R333)-COLUMN($E$5),4)&gt;0,INDEX('Surface DEET'!$Q$9:$W$38,COLUMN(R333)-COLUMN($E$5),4),0),0)</f>
        <v>0</v>
      </c>
      <c r="S340" s="295">
        <f>IF(S$6=$C340,IF(INDEX('Surface DEET'!$Q$9:$W$38,COLUMN(S333)-COLUMN($E$5),4)&gt;0,INDEX('Surface DEET'!$Q$9:$W$38,COLUMN(S333)-COLUMN($E$5),4),0),0)</f>
        <v>0</v>
      </c>
      <c r="T340" s="295">
        <f>IF(T$6=$C340,IF(INDEX('Surface DEET'!$Q$9:$W$38,COLUMN(T333)-COLUMN($E$5),4)&gt;0,INDEX('Surface DEET'!$Q$9:$W$38,COLUMN(T333)-COLUMN($E$5),4),0),0)</f>
        <v>0</v>
      </c>
      <c r="U340" s="295">
        <f>IF(U$6=$C340,IF(INDEX('Surface DEET'!$Q$9:$W$38,COLUMN(U333)-COLUMN($E$5),4)&gt;0,INDEX('Surface DEET'!$Q$9:$W$38,COLUMN(U333)-COLUMN($E$5),4),0),0)</f>
        <v>0</v>
      </c>
      <c r="V340" s="295">
        <f>IF(V$6=$C340,IF(INDEX('Surface DEET'!$Q$9:$W$38,COLUMN(V333)-COLUMN($E$5),4)&gt;0,INDEX('Surface DEET'!$Q$9:$W$38,COLUMN(V333)-COLUMN($E$5),4),0),0)</f>
        <v>0</v>
      </c>
      <c r="W340" s="295">
        <f>IF(W$6=$C340,IF(INDEX('Surface DEET'!$Q$9:$W$38,COLUMN(W333)-COLUMN($E$5),4)&gt;0,INDEX('Surface DEET'!$Q$9:$W$38,COLUMN(W333)-COLUMN($E$5),4),0),0)</f>
        <v>0</v>
      </c>
      <c r="X340" s="295">
        <f>IF(X$6=$C340,IF(INDEX('Surface DEET'!$Q$9:$W$38,COLUMN(X333)-COLUMN($E$5),4)&gt;0,INDEX('Surface DEET'!$Q$9:$W$38,COLUMN(X333)-COLUMN($E$5),4),0),0)</f>
        <v>0</v>
      </c>
      <c r="Y340" s="295">
        <f>IF(Y$6=$C340,IF(INDEX('Surface DEET'!$Q$9:$W$38,COLUMN(Y333)-COLUMN($E$5),4)&gt;0,INDEX('Surface DEET'!$Q$9:$W$38,COLUMN(Y333)-COLUMN($E$5),4),0),0)</f>
        <v>0</v>
      </c>
      <c r="Z340" s="295">
        <f>IF(Z$6=$C340,IF(INDEX('Surface DEET'!$Q$9:$W$38,COLUMN(Z333)-COLUMN($E$5),4)&gt;0,INDEX('Surface DEET'!$Q$9:$W$38,COLUMN(Z333)-COLUMN($E$5),4),0),0)</f>
        <v>0</v>
      </c>
      <c r="AA340" s="295">
        <f>IF(AA$6=$C340,IF(INDEX('Surface DEET'!$Q$9:$W$38,COLUMN(AA333)-COLUMN($E$5),4)&gt;0,INDEX('Surface DEET'!$Q$9:$W$38,COLUMN(AA333)-COLUMN($E$5),4),0),0)</f>
        <v>0</v>
      </c>
      <c r="AB340" s="295">
        <f>IF(AB$6=$C340,IF(INDEX('Surface DEET'!$Q$9:$W$38,COLUMN(AB333)-COLUMN($E$5),4)&gt;0,INDEX('Surface DEET'!$Q$9:$W$38,COLUMN(AB333)-COLUMN($E$5),4),0),0)</f>
        <v>0</v>
      </c>
      <c r="AC340" s="295">
        <f>IF(AC$6=$C340,IF(INDEX('Surface DEET'!$Q$9:$W$38,COLUMN(AC333)-COLUMN($E$5),4)&gt;0,INDEX('Surface DEET'!$Q$9:$W$38,COLUMN(AC333)-COLUMN($E$5),4),0),0)</f>
        <v>0</v>
      </c>
      <c r="AD340" s="295">
        <f>IF(AD$6=$C340,IF(INDEX('Surface DEET'!$Q$9:$W$38,COLUMN(AD333)-COLUMN($E$5),4)&gt;0,INDEX('Surface DEET'!$Q$9:$W$38,COLUMN(AD333)-COLUMN($E$5),4),0),0)</f>
        <v>0</v>
      </c>
      <c r="AE340" s="295">
        <f>IF(AE$6=$C340,IF(INDEX('Surface DEET'!$Q$9:$W$38,COLUMN(AE333)-COLUMN($E$5),4)&gt;0,INDEX('Surface DEET'!$Q$9:$W$38,COLUMN(AE333)-COLUMN($E$5),4),0),0)</f>
        <v>0</v>
      </c>
      <c r="AF340" s="295">
        <f>IF(AF$6=$C340,IF(INDEX('Surface DEET'!$Q$9:$W$38,COLUMN(AF333)-COLUMN($E$5),4)&gt;0,INDEX('Surface DEET'!$Q$9:$W$38,COLUMN(AF333)-COLUMN($E$5),4),0),0)</f>
        <v>0</v>
      </c>
      <c r="AG340" s="295">
        <f>IF(AG$6=$C340,IF(INDEX('Surface DEET'!$Q$9:$W$38,COLUMN(AG333)-COLUMN($E$5),4)&gt;0,INDEX('Surface DEET'!$Q$9:$W$38,COLUMN(AG333)-COLUMN($E$5),4),0),0)</f>
        <v>0</v>
      </c>
      <c r="AH340" s="295">
        <f>IF(AH$6=$C340,IF(INDEX('Surface DEET'!$Q$9:$W$38,COLUMN(AH333)-COLUMN($E$5),4)&gt;0,INDEX('Surface DEET'!$Q$9:$W$38,COLUMN(AH333)-COLUMN($E$5),4),0),0)</f>
        <v>0</v>
      </c>
      <c r="AI340" s="295">
        <f>IF(AI$6=$C340,IF(INDEX('Surface DEET'!$Q$9:$W$38,COLUMN(AI333)-COLUMN($E$5),4)&gt;0,INDEX('Surface DEET'!$Q$9:$W$38,COLUMN(AI333)-COLUMN($E$5),4),0),0)</f>
        <v>0</v>
      </c>
    </row>
    <row r="341" spans="2:35">
      <c r="B341" s="295" t="s">
        <v>552</v>
      </c>
      <c r="C341" s="295" t="s">
        <v>676</v>
      </c>
    </row>
    <row r="342" spans="2:35">
      <c r="B342" s="295" t="s">
        <v>542</v>
      </c>
      <c r="C342" s="295" t="s">
        <v>676</v>
      </c>
      <c r="D342" s="295" t="s">
        <v>542</v>
      </c>
      <c r="F342" s="295">
        <f>$E$336*(1+2*F339/$E$339+F340/$E$340)</f>
        <v>21</v>
      </c>
      <c r="G342" s="295">
        <f t="shared" ref="G342:AI342" si="41">$E$336*(1+2*G339/$E$339+G340/$E$340)</f>
        <v>21</v>
      </c>
      <c r="H342" s="295">
        <f t="shared" si="41"/>
        <v>21</v>
      </c>
      <c r="I342" s="295">
        <f t="shared" si="41"/>
        <v>21</v>
      </c>
      <c r="J342" s="295">
        <f t="shared" si="41"/>
        <v>21</v>
      </c>
      <c r="K342" s="295">
        <f t="shared" si="41"/>
        <v>21</v>
      </c>
      <c r="L342" s="295">
        <f t="shared" si="41"/>
        <v>21</v>
      </c>
      <c r="M342" s="295">
        <f t="shared" si="41"/>
        <v>21</v>
      </c>
      <c r="N342" s="295">
        <f t="shared" si="41"/>
        <v>21</v>
      </c>
      <c r="O342" s="295">
        <f t="shared" si="41"/>
        <v>21</v>
      </c>
      <c r="P342" s="295">
        <f t="shared" si="41"/>
        <v>21</v>
      </c>
      <c r="Q342" s="295">
        <f t="shared" si="41"/>
        <v>21</v>
      </c>
      <c r="R342" s="295">
        <f t="shared" si="41"/>
        <v>21</v>
      </c>
      <c r="S342" s="295">
        <f t="shared" si="41"/>
        <v>21</v>
      </c>
      <c r="T342" s="295">
        <f t="shared" si="41"/>
        <v>21</v>
      </c>
      <c r="U342" s="295">
        <f t="shared" si="41"/>
        <v>21</v>
      </c>
      <c r="V342" s="295">
        <f t="shared" si="41"/>
        <v>21</v>
      </c>
      <c r="W342" s="295">
        <f t="shared" si="41"/>
        <v>21</v>
      </c>
      <c r="X342" s="295">
        <f t="shared" si="41"/>
        <v>21</v>
      </c>
      <c r="Y342" s="295">
        <f t="shared" si="41"/>
        <v>21</v>
      </c>
      <c r="Z342" s="295">
        <f t="shared" si="41"/>
        <v>21</v>
      </c>
      <c r="AA342" s="295">
        <f t="shared" si="41"/>
        <v>21</v>
      </c>
      <c r="AB342" s="295">
        <f t="shared" si="41"/>
        <v>21</v>
      </c>
      <c r="AC342" s="295">
        <f t="shared" si="41"/>
        <v>21</v>
      </c>
      <c r="AD342" s="295">
        <f t="shared" si="41"/>
        <v>21</v>
      </c>
      <c r="AE342" s="295">
        <f t="shared" si="41"/>
        <v>21</v>
      </c>
      <c r="AF342" s="295">
        <f t="shared" si="41"/>
        <v>21</v>
      </c>
      <c r="AG342" s="295">
        <f t="shared" si="41"/>
        <v>21</v>
      </c>
      <c r="AH342" s="295">
        <f t="shared" si="41"/>
        <v>21</v>
      </c>
      <c r="AI342" s="295">
        <f t="shared" si="41"/>
        <v>21</v>
      </c>
    </row>
    <row r="343" spans="2:35">
      <c r="B343" s="93" t="s">
        <v>301</v>
      </c>
      <c r="C343" s="295" t="s">
        <v>677</v>
      </c>
      <c r="D343" s="93" t="s">
        <v>301</v>
      </c>
      <c r="E343" s="295">
        <f t="array" ref="E343">INDEX(CABS_CVC!$C$3:$O$894,MATCH(1, (CABS_CVC!$A$3:$A$894=Calculs_CABS!C343)*(CABS_CVC!$B$3:$B$894=Calculs_CABS!$D$2),0),MATCH(Calculs_CABS!$D$1,Liste_CABS!$B$3:$B$15,0))</f>
        <v>50</v>
      </c>
    </row>
    <row r="344" spans="2:35">
      <c r="B344" s="295" t="s">
        <v>543</v>
      </c>
      <c r="C344" s="295" t="s">
        <v>677</v>
      </c>
      <c r="D344" s="295" t="s">
        <v>543</v>
      </c>
      <c r="E344" s="295">
        <v>92</v>
      </c>
    </row>
    <row r="345" spans="2:35">
      <c r="B345" s="295" t="s">
        <v>544</v>
      </c>
      <c r="C345" s="295" t="s">
        <v>677</v>
      </c>
      <c r="D345" s="295" t="s">
        <v>544</v>
      </c>
      <c r="E345" s="295">
        <f>E344+E343</f>
        <v>142</v>
      </c>
    </row>
    <row r="346" spans="2:35">
      <c r="B346" s="295" t="s">
        <v>545</v>
      </c>
      <c r="C346" s="295" t="s">
        <v>677</v>
      </c>
      <c r="D346" s="295" t="s">
        <v>545</v>
      </c>
      <c r="E346" s="295">
        <v>0.73</v>
      </c>
    </row>
    <row r="347" spans="2:35">
      <c r="B347" s="295" t="s">
        <v>546</v>
      </c>
      <c r="C347" s="295" t="s">
        <v>677</v>
      </c>
      <c r="D347" s="343" t="s">
        <v>592</v>
      </c>
      <c r="E347" s="295">
        <v>3120</v>
      </c>
      <c r="F347" s="295">
        <f>IF(F$6=$C347,IF(INDEX('Surface DEET'!$Q$9:$W$38,COLUMN(F340)-COLUMN($E$5),1)&gt;0,INDEX('Surface DEET'!$Q$9:$W$38,COLUMN(F340)-COLUMN($E$5),1),$E347),0)</f>
        <v>0</v>
      </c>
      <c r="G347" s="295">
        <f>IF(G$6=$C347,IF(INDEX('Surface DEET'!$Q$9:$W$38,COLUMN(G340)-COLUMN($E$5),1)&gt;0,INDEX('Surface DEET'!$Q$9:$W$38,COLUMN(G340)-COLUMN($E$5),1),$E347),0)</f>
        <v>0</v>
      </c>
      <c r="H347" s="295">
        <f>IF(H$6=$C347,IF(INDEX('Surface DEET'!$Q$9:$W$38,COLUMN(H340)-COLUMN($E$5),1)&gt;0,INDEX('Surface DEET'!$Q$9:$W$38,COLUMN(H340)-COLUMN($E$5),1),$E347),0)</f>
        <v>0</v>
      </c>
      <c r="I347" s="295">
        <f>IF(I$6=$C347,IF(INDEX('Surface DEET'!$Q$9:$W$38,COLUMN(I340)-COLUMN($E$5),1)&gt;0,INDEX('Surface DEET'!$Q$9:$W$38,COLUMN(I340)-COLUMN($E$5),1),$E347),0)</f>
        <v>0</v>
      </c>
      <c r="J347" s="295">
        <f>IF(J$6=$C347,IF(INDEX('Surface DEET'!$Q$9:$W$38,COLUMN(J340)-COLUMN($E$5),1)&gt;0,INDEX('Surface DEET'!$Q$9:$W$38,COLUMN(J340)-COLUMN($E$5),1),$E347),0)</f>
        <v>0</v>
      </c>
      <c r="K347" s="295">
        <f>IF(K$6=$C347,IF(INDEX('Surface DEET'!$Q$9:$W$38,COLUMN(K340)-COLUMN($E$5),1)&gt;0,INDEX('Surface DEET'!$Q$9:$W$38,COLUMN(K340)-COLUMN($E$5),1),$E347),0)</f>
        <v>0</v>
      </c>
      <c r="L347" s="295">
        <f>IF(L$6=$C347,IF(INDEX('Surface DEET'!$Q$9:$W$38,COLUMN(L340)-COLUMN($E$5),1)&gt;0,INDEX('Surface DEET'!$Q$9:$W$38,COLUMN(L340)-COLUMN($E$5),1),$E347),0)</f>
        <v>0</v>
      </c>
      <c r="M347" s="295">
        <f>IF(M$6=$C347,IF(INDEX('Surface DEET'!$Q$9:$W$38,COLUMN(M340)-COLUMN($E$5),1)&gt;0,INDEX('Surface DEET'!$Q$9:$W$38,COLUMN(M340)-COLUMN($E$5),1),$E347),0)</f>
        <v>0</v>
      </c>
      <c r="N347" s="295">
        <f>IF(N$6=$C347,IF(INDEX('Surface DEET'!$Q$9:$W$38,COLUMN(N340)-COLUMN($E$5),1)&gt;0,INDEX('Surface DEET'!$Q$9:$W$38,COLUMN(N340)-COLUMN($E$5),1),$E347),0)</f>
        <v>0</v>
      </c>
      <c r="O347" s="295">
        <f>IF(O$6=$C347,IF(INDEX('Surface DEET'!$Q$9:$W$38,COLUMN(O340)-COLUMN($E$5),1)&gt;0,INDEX('Surface DEET'!$Q$9:$W$38,COLUMN(O340)-COLUMN($E$5),1),$E347),0)</f>
        <v>0</v>
      </c>
      <c r="P347" s="295">
        <f>IF(P$6=$C347,IF(INDEX('Surface DEET'!$Q$9:$W$38,COLUMN(P340)-COLUMN($E$5),1)&gt;0,INDEX('Surface DEET'!$Q$9:$W$38,COLUMN(P340)-COLUMN($E$5),1),$E347),0)</f>
        <v>0</v>
      </c>
      <c r="Q347" s="295">
        <f>IF(Q$6=$C347,IF(INDEX('Surface DEET'!$Q$9:$W$38,COLUMN(Q340)-COLUMN($E$5),1)&gt;0,INDEX('Surface DEET'!$Q$9:$W$38,COLUMN(Q340)-COLUMN($E$5),1),$E347),0)</f>
        <v>0</v>
      </c>
      <c r="R347" s="295">
        <f>IF(R$6=$C347,IF(INDEX('Surface DEET'!$Q$9:$W$38,COLUMN(R340)-COLUMN($E$5),1)&gt;0,INDEX('Surface DEET'!$Q$9:$W$38,COLUMN(R340)-COLUMN($E$5),1),$E347),0)</f>
        <v>0</v>
      </c>
      <c r="S347" s="295">
        <f>IF(S$6=$C347,IF(INDEX('Surface DEET'!$Q$9:$W$38,COLUMN(S340)-COLUMN($E$5),1)&gt;0,INDEX('Surface DEET'!$Q$9:$W$38,COLUMN(S340)-COLUMN($E$5),1),$E347),0)</f>
        <v>0</v>
      </c>
      <c r="T347" s="295">
        <f>IF(T$6=$C347,IF(INDEX('Surface DEET'!$Q$9:$W$38,COLUMN(T340)-COLUMN($E$5),1)&gt;0,INDEX('Surface DEET'!$Q$9:$W$38,COLUMN(T340)-COLUMN($E$5),1),$E347),0)</f>
        <v>0</v>
      </c>
      <c r="U347" s="295">
        <f>IF(U$6=$C347,IF(INDEX('Surface DEET'!$Q$9:$W$38,COLUMN(U340)-COLUMN($E$5),1)&gt;0,INDEX('Surface DEET'!$Q$9:$W$38,COLUMN(U340)-COLUMN($E$5),1),$E347),0)</f>
        <v>0</v>
      </c>
      <c r="V347" s="295">
        <f>IF(V$6=$C347,IF(INDEX('Surface DEET'!$Q$9:$W$38,COLUMN(V340)-COLUMN($E$5),1)&gt;0,INDEX('Surface DEET'!$Q$9:$W$38,COLUMN(V340)-COLUMN($E$5),1),$E347),0)</f>
        <v>0</v>
      </c>
      <c r="W347" s="295">
        <f>IF(W$6=$C347,IF(INDEX('Surface DEET'!$Q$9:$W$38,COLUMN(W340)-COLUMN($E$5),1)&gt;0,INDEX('Surface DEET'!$Q$9:$W$38,COLUMN(W340)-COLUMN($E$5),1),$E347),0)</f>
        <v>0</v>
      </c>
      <c r="X347" s="295">
        <f>IF(X$6=$C347,IF(INDEX('Surface DEET'!$Q$9:$W$38,COLUMN(X340)-COLUMN($E$5),1)&gt;0,INDEX('Surface DEET'!$Q$9:$W$38,COLUMN(X340)-COLUMN($E$5),1),$E347),0)</f>
        <v>0</v>
      </c>
      <c r="Y347" s="295">
        <f>IF(Y$6=$C347,IF(INDEX('Surface DEET'!$Q$9:$W$38,COLUMN(Y340)-COLUMN($E$5),1)&gt;0,INDEX('Surface DEET'!$Q$9:$W$38,COLUMN(Y340)-COLUMN($E$5),1),$E347),0)</f>
        <v>0</v>
      </c>
      <c r="Z347" s="295">
        <f>IF(Z$6=$C347,IF(INDEX('Surface DEET'!$Q$9:$W$38,COLUMN(Z340)-COLUMN($E$5),1)&gt;0,INDEX('Surface DEET'!$Q$9:$W$38,COLUMN(Z340)-COLUMN($E$5),1),$E347),0)</f>
        <v>0</v>
      </c>
      <c r="AA347" s="295">
        <f>IF(AA$6=$C347,IF(INDEX('Surface DEET'!$Q$9:$W$38,COLUMN(AA340)-COLUMN($E$5),1)&gt;0,INDEX('Surface DEET'!$Q$9:$W$38,COLUMN(AA340)-COLUMN($E$5),1),$E347),0)</f>
        <v>0</v>
      </c>
      <c r="AB347" s="295">
        <f>IF(AB$6=$C347,IF(INDEX('Surface DEET'!$Q$9:$W$38,COLUMN(AB340)-COLUMN($E$5),1)&gt;0,INDEX('Surface DEET'!$Q$9:$W$38,COLUMN(AB340)-COLUMN($E$5),1),$E347),0)</f>
        <v>0</v>
      </c>
      <c r="AC347" s="295">
        <f>IF(AC$6=$C347,IF(INDEX('Surface DEET'!$Q$9:$W$38,COLUMN(AC340)-COLUMN($E$5),1)&gt;0,INDEX('Surface DEET'!$Q$9:$W$38,COLUMN(AC340)-COLUMN($E$5),1),$E347),0)</f>
        <v>0</v>
      </c>
      <c r="AD347" s="295">
        <f>IF(AD$6=$C347,IF(INDEX('Surface DEET'!$Q$9:$W$38,COLUMN(AD340)-COLUMN($E$5),1)&gt;0,INDEX('Surface DEET'!$Q$9:$W$38,COLUMN(AD340)-COLUMN($E$5),1),$E347),0)</f>
        <v>0</v>
      </c>
      <c r="AE347" s="295">
        <f>IF(AE$6=$C347,IF(INDEX('Surface DEET'!$Q$9:$W$38,COLUMN(AE340)-COLUMN($E$5),1)&gt;0,INDEX('Surface DEET'!$Q$9:$W$38,COLUMN(AE340)-COLUMN($E$5),1),$E347),0)</f>
        <v>0</v>
      </c>
      <c r="AF347" s="295">
        <f>IF(AF$6=$C347,IF(INDEX('Surface DEET'!$Q$9:$W$38,COLUMN(AF340)-COLUMN($E$5),1)&gt;0,INDEX('Surface DEET'!$Q$9:$W$38,COLUMN(AF340)-COLUMN($E$5),1),$E347),0)</f>
        <v>0</v>
      </c>
      <c r="AG347" s="295">
        <f>IF(AG$6=$C347,IF(INDEX('Surface DEET'!$Q$9:$W$38,COLUMN(AG340)-COLUMN($E$5),1)&gt;0,INDEX('Surface DEET'!$Q$9:$W$38,COLUMN(AG340)-COLUMN($E$5),1),$E347),0)</f>
        <v>0</v>
      </c>
      <c r="AH347" s="295">
        <f>IF(AH$6=$C347,IF(INDEX('Surface DEET'!$Q$9:$W$38,COLUMN(AH340)-COLUMN($E$5),1)&gt;0,INDEX('Surface DEET'!$Q$9:$W$38,COLUMN(AH340)-COLUMN($E$5),1),$E347),0)</f>
        <v>0</v>
      </c>
      <c r="AI347" s="295">
        <f>IF(AI$6=$C347,INDEX('Surface DEET'!$Q$9:$W$38,COLUMN(AI340)-COLUMN($E$5),1),0)</f>
        <v>0</v>
      </c>
    </row>
    <row r="348" spans="2:35" ht="15">
      <c r="B348" s="295" t="s">
        <v>549</v>
      </c>
      <c r="C348" s="295" t="s">
        <v>677</v>
      </c>
      <c r="D348" s="343" t="s">
        <v>678</v>
      </c>
      <c r="E348" s="295">
        <v>24</v>
      </c>
      <c r="F348" s="295">
        <f>IF(F$6=$C348,IF(INDEX('Surface DEET'!$Q$9:$W$38,COLUMN(F341)-COLUMN($E$5),4)&gt;0,INDEX('Surface DEET'!$Q$9:$W$38,COLUMN(F341)-COLUMN($E$5),4),$E348),0)</f>
        <v>0</v>
      </c>
      <c r="G348" s="295">
        <f>IF(G$6=$C348,IF(INDEX('Surface DEET'!$Q$9:$W$38,COLUMN(G341)-COLUMN($E$5),4)&gt;0,INDEX('Surface DEET'!$Q$9:$W$38,COLUMN(G341)-COLUMN($E$5),4),$E348),0)</f>
        <v>0</v>
      </c>
      <c r="H348" s="295">
        <f>IF(H$6=$C348,IF(INDEX('Surface DEET'!$Q$9:$W$38,COLUMN(H341)-COLUMN($E$5),4)&gt;0,INDEX('Surface DEET'!$Q$9:$W$38,COLUMN(H341)-COLUMN($E$5),4),$E348),0)</f>
        <v>0</v>
      </c>
      <c r="I348" s="295">
        <f>IF(I$6=$C348,IF(INDEX('Surface DEET'!$Q$9:$W$38,COLUMN(I341)-COLUMN($E$5),4)&gt;0,INDEX('Surface DEET'!$Q$9:$W$38,COLUMN(I341)-COLUMN($E$5),4),$E348),0)</f>
        <v>0</v>
      </c>
      <c r="J348" s="295">
        <f>IF(J$6=$C348,IF(INDEX('Surface DEET'!$Q$9:$W$38,COLUMN(J341)-COLUMN($E$5),4)&gt;0,INDEX('Surface DEET'!$Q$9:$W$38,COLUMN(J341)-COLUMN($E$5),4),$E348),0)</f>
        <v>0</v>
      </c>
      <c r="K348" s="295">
        <f>IF(K$6=$C348,IF(INDEX('Surface DEET'!$Q$9:$W$38,COLUMN(K341)-COLUMN($E$5),4)&gt;0,INDEX('Surface DEET'!$Q$9:$W$38,COLUMN(K341)-COLUMN($E$5),4),$E348),0)</f>
        <v>0</v>
      </c>
      <c r="L348" s="295">
        <f>IF(L$6=$C348,IF(INDEX('Surface DEET'!$Q$9:$W$38,COLUMN(L341)-COLUMN($E$5),4)&gt;0,INDEX('Surface DEET'!$Q$9:$W$38,COLUMN(L341)-COLUMN($E$5),4),$E348),0)</f>
        <v>0</v>
      </c>
      <c r="M348" s="295">
        <f>IF(M$6=$C348,IF(INDEX('Surface DEET'!$Q$9:$W$38,COLUMN(M341)-COLUMN($E$5),4)&gt;0,INDEX('Surface DEET'!$Q$9:$W$38,COLUMN(M341)-COLUMN($E$5),4),$E348),0)</f>
        <v>0</v>
      </c>
      <c r="N348" s="295">
        <f>IF(N$6=$C348,IF(INDEX('Surface DEET'!$Q$9:$W$38,COLUMN(N341)-COLUMN($E$5),4)&gt;0,INDEX('Surface DEET'!$Q$9:$W$38,COLUMN(N341)-COLUMN($E$5),4),$E348),0)</f>
        <v>0</v>
      </c>
      <c r="O348" s="295">
        <f>IF(O$6=$C348,IF(INDEX('Surface DEET'!$Q$9:$W$38,COLUMN(O341)-COLUMN($E$5),4)&gt;0,INDEX('Surface DEET'!$Q$9:$W$38,COLUMN(O341)-COLUMN($E$5),4),$E348),0)</f>
        <v>0</v>
      </c>
      <c r="P348" s="295">
        <f>IF(P$6=$C348,IF(INDEX('Surface DEET'!$Q$9:$W$38,COLUMN(P341)-COLUMN($E$5),4)&gt;0,INDEX('Surface DEET'!$Q$9:$W$38,COLUMN(P341)-COLUMN($E$5),4),$E348),0)</f>
        <v>0</v>
      </c>
      <c r="Q348" s="295">
        <f>IF(Q$6=$C348,IF(INDEX('Surface DEET'!$Q$9:$W$38,COLUMN(Q341)-COLUMN($E$5),4)&gt;0,INDEX('Surface DEET'!$Q$9:$W$38,COLUMN(Q341)-COLUMN($E$5),4),$E348),0)</f>
        <v>0</v>
      </c>
      <c r="R348" s="295">
        <f>IF(R$6=$C348,IF(INDEX('Surface DEET'!$Q$9:$W$38,COLUMN(R341)-COLUMN($E$5),4)&gt;0,INDEX('Surface DEET'!$Q$9:$W$38,COLUMN(R341)-COLUMN($E$5),4),$E348),0)</f>
        <v>0</v>
      </c>
      <c r="S348" s="295">
        <f>IF(S$6=$C348,IF(INDEX('Surface DEET'!$Q$9:$W$38,COLUMN(S341)-COLUMN($E$5),4)&gt;0,INDEX('Surface DEET'!$Q$9:$W$38,COLUMN(S341)-COLUMN($E$5),4),$E348),0)</f>
        <v>0</v>
      </c>
      <c r="T348" s="295">
        <f>IF(T$6=$C348,IF(INDEX('Surface DEET'!$Q$9:$W$38,COLUMN(T341)-COLUMN($E$5),4)&gt;0,INDEX('Surface DEET'!$Q$9:$W$38,COLUMN(T341)-COLUMN($E$5),4),$E348),0)</f>
        <v>0</v>
      </c>
      <c r="U348" s="295">
        <f>IF(U$6=$C348,IF(INDEX('Surface DEET'!$Q$9:$W$38,COLUMN(U341)-COLUMN($E$5),4)&gt;0,INDEX('Surface DEET'!$Q$9:$W$38,COLUMN(U341)-COLUMN($E$5),4),$E348),0)</f>
        <v>0</v>
      </c>
      <c r="V348" s="295">
        <f>IF(V$6=$C348,IF(INDEX('Surface DEET'!$Q$9:$W$38,COLUMN(V341)-COLUMN($E$5),4)&gt;0,INDEX('Surface DEET'!$Q$9:$W$38,COLUMN(V341)-COLUMN($E$5),4),$E348),0)</f>
        <v>0</v>
      </c>
      <c r="W348" s="295">
        <f>IF(W$6=$C348,IF(INDEX('Surface DEET'!$Q$9:$W$38,COLUMN(W341)-COLUMN($E$5),4)&gt;0,INDEX('Surface DEET'!$Q$9:$W$38,COLUMN(W341)-COLUMN($E$5),4),$E348),0)</f>
        <v>0</v>
      </c>
      <c r="X348" s="295">
        <f>IF(X$6=$C348,IF(INDEX('Surface DEET'!$Q$9:$W$38,COLUMN(X341)-COLUMN($E$5),4)&gt;0,INDEX('Surface DEET'!$Q$9:$W$38,COLUMN(X341)-COLUMN($E$5),4),$E348),0)</f>
        <v>0</v>
      </c>
      <c r="Y348" s="295">
        <f>IF(Y$6=$C348,IF(INDEX('Surface DEET'!$Q$9:$W$38,COLUMN(Y341)-COLUMN($E$5),4)&gt;0,INDEX('Surface DEET'!$Q$9:$W$38,COLUMN(Y341)-COLUMN($E$5),4),$E348),0)</f>
        <v>0</v>
      </c>
      <c r="Z348" s="295">
        <f>IF(Z$6=$C348,IF(INDEX('Surface DEET'!$Q$9:$W$38,COLUMN(Z341)-COLUMN($E$5),4)&gt;0,INDEX('Surface DEET'!$Q$9:$W$38,COLUMN(Z341)-COLUMN($E$5),4),$E348),0)</f>
        <v>0</v>
      </c>
      <c r="AA348" s="295">
        <f>IF(AA$6=$C348,IF(INDEX('Surface DEET'!$Q$9:$W$38,COLUMN(AA341)-COLUMN($E$5),4)&gt;0,INDEX('Surface DEET'!$Q$9:$W$38,COLUMN(AA341)-COLUMN($E$5),4),$E348),0)</f>
        <v>0</v>
      </c>
      <c r="AB348" s="295">
        <f>IF(AB$6=$C348,IF(INDEX('Surface DEET'!$Q$9:$W$38,COLUMN(AB341)-COLUMN($E$5),4)&gt;0,INDEX('Surface DEET'!$Q$9:$W$38,COLUMN(AB341)-COLUMN($E$5),4),$E348),0)</f>
        <v>0</v>
      </c>
      <c r="AC348" s="295">
        <f>IF(AC$6=$C348,IF(INDEX('Surface DEET'!$Q$9:$W$38,COLUMN(AC341)-COLUMN($E$5),4)&gt;0,INDEX('Surface DEET'!$Q$9:$W$38,COLUMN(AC341)-COLUMN($E$5),4),$E348),0)</f>
        <v>0</v>
      </c>
      <c r="AD348" s="295">
        <f>IF(AD$6=$C348,IF(INDEX('Surface DEET'!$Q$9:$W$38,COLUMN(AD341)-COLUMN($E$5),4)&gt;0,INDEX('Surface DEET'!$Q$9:$W$38,COLUMN(AD341)-COLUMN($E$5),4),$E348),0)</f>
        <v>0</v>
      </c>
      <c r="AE348" s="295">
        <f>IF(AE$6=$C348,IF(INDEX('Surface DEET'!$Q$9:$W$38,COLUMN(AE341)-COLUMN($E$5),4)&gt;0,INDEX('Surface DEET'!$Q$9:$W$38,COLUMN(AE341)-COLUMN($E$5),4),$E348),0)</f>
        <v>0</v>
      </c>
      <c r="AF348" s="295">
        <f>IF(AF$6=$C348,IF(INDEX('Surface DEET'!$Q$9:$W$38,COLUMN(AF341)-COLUMN($E$5),4)&gt;0,INDEX('Surface DEET'!$Q$9:$W$38,COLUMN(AF341)-COLUMN($E$5),4),$E348),0)</f>
        <v>0</v>
      </c>
      <c r="AG348" s="295">
        <f>IF(AG$6=$C348,IF(INDEX('Surface DEET'!$Q$9:$W$38,COLUMN(AG341)-COLUMN($E$5),4)&gt;0,INDEX('Surface DEET'!$Q$9:$W$38,COLUMN(AG341)-COLUMN($E$5),4),$E348),0)</f>
        <v>0</v>
      </c>
      <c r="AH348" s="295">
        <f>IF(AH$6=$C348,IF(INDEX('Surface DEET'!$Q$9:$W$38,COLUMN(AH341)-COLUMN($E$5),4)&gt;0,INDEX('Surface DEET'!$Q$9:$W$38,COLUMN(AH341)-COLUMN($E$5),4),$E348),0)</f>
        <v>0</v>
      </c>
      <c r="AI348" s="295">
        <f>IF(AI$6=$C348,INDEX('Surface DEET'!$Q$9:$W$38,COLUMN(AI341)-COLUMN($E$5),4),0)</f>
        <v>0</v>
      </c>
    </row>
    <row r="349" spans="2:35">
      <c r="B349" s="295" t="s">
        <v>552</v>
      </c>
      <c r="C349" s="295" t="s">
        <v>677</v>
      </c>
    </row>
    <row r="350" spans="2:35">
      <c r="B350" s="295" t="s">
        <v>542</v>
      </c>
      <c r="C350" s="295" t="s">
        <v>677</v>
      </c>
      <c r="D350" s="295" t="s">
        <v>542</v>
      </c>
      <c r="F350" s="295">
        <f>$E$344*($E$346*(F348/$E$348)+(1-$E$346)*(F347/$E$347))+0.28*$E$343*(F347-$E$347)/$E$347</f>
        <v>-14.000000000000002</v>
      </c>
      <c r="G350" s="295">
        <f t="shared" ref="G350:AI350" si="42">$E$344*($E$346*(G348/$E$348)+(1-$E$346)*(G347/$E$347))+0.28*$E$343*(G347-$E$347)/$E$347</f>
        <v>-14.000000000000002</v>
      </c>
      <c r="H350" s="295">
        <f t="shared" si="42"/>
        <v>-14.000000000000002</v>
      </c>
      <c r="I350" s="295">
        <f t="shared" si="42"/>
        <v>-14.000000000000002</v>
      </c>
      <c r="J350" s="295">
        <f t="shared" si="42"/>
        <v>-14.000000000000002</v>
      </c>
      <c r="K350" s="295">
        <f t="shared" si="42"/>
        <v>-14.000000000000002</v>
      </c>
      <c r="L350" s="295">
        <f t="shared" si="42"/>
        <v>-14.000000000000002</v>
      </c>
      <c r="M350" s="295">
        <f t="shared" si="42"/>
        <v>-14.000000000000002</v>
      </c>
      <c r="N350" s="295">
        <f t="shared" si="42"/>
        <v>-14.000000000000002</v>
      </c>
      <c r="O350" s="295">
        <f t="shared" si="42"/>
        <v>-14.000000000000002</v>
      </c>
      <c r="P350" s="295">
        <f t="shared" si="42"/>
        <v>-14.000000000000002</v>
      </c>
      <c r="Q350" s="295">
        <f t="shared" si="42"/>
        <v>-14.000000000000002</v>
      </c>
      <c r="R350" s="295">
        <f t="shared" si="42"/>
        <v>-14.000000000000002</v>
      </c>
      <c r="S350" s="295">
        <f t="shared" si="42"/>
        <v>-14.000000000000002</v>
      </c>
      <c r="T350" s="295">
        <f t="shared" si="42"/>
        <v>-14.000000000000002</v>
      </c>
      <c r="U350" s="295">
        <f t="shared" si="42"/>
        <v>-14.000000000000002</v>
      </c>
      <c r="V350" s="295">
        <f t="shared" si="42"/>
        <v>-14.000000000000002</v>
      </c>
      <c r="W350" s="295">
        <f t="shared" si="42"/>
        <v>-14.000000000000002</v>
      </c>
      <c r="X350" s="295">
        <f t="shared" si="42"/>
        <v>-14.000000000000002</v>
      </c>
      <c r="Y350" s="295">
        <f t="shared" si="42"/>
        <v>-14.000000000000002</v>
      </c>
      <c r="Z350" s="295">
        <f t="shared" si="42"/>
        <v>-14.000000000000002</v>
      </c>
      <c r="AA350" s="295">
        <f t="shared" si="42"/>
        <v>-14.000000000000002</v>
      </c>
      <c r="AB350" s="295">
        <f t="shared" si="42"/>
        <v>-14.000000000000002</v>
      </c>
      <c r="AC350" s="295">
        <f t="shared" si="42"/>
        <v>-14.000000000000002</v>
      </c>
      <c r="AD350" s="295">
        <f t="shared" si="42"/>
        <v>-14.000000000000002</v>
      </c>
      <c r="AE350" s="295">
        <f t="shared" si="42"/>
        <v>-14.000000000000002</v>
      </c>
      <c r="AF350" s="295">
        <f t="shared" si="42"/>
        <v>-14.000000000000002</v>
      </c>
      <c r="AG350" s="295">
        <f t="shared" si="42"/>
        <v>-14.000000000000002</v>
      </c>
      <c r="AH350" s="295">
        <f t="shared" si="42"/>
        <v>-14.000000000000002</v>
      </c>
      <c r="AI350" s="295">
        <f t="shared" si="42"/>
        <v>-14.000000000000002</v>
      </c>
    </row>
    <row r="351" spans="2:35">
      <c r="B351" s="93" t="s">
        <v>301</v>
      </c>
      <c r="C351" s="295" t="s">
        <v>679</v>
      </c>
      <c r="D351" s="93" t="s">
        <v>301</v>
      </c>
      <c r="E351" s="295">
        <f t="array" ref="E351">INDEX(CABS_CVC!$C$3:$O$894,MATCH(1, (CABS_CVC!$A$3:$A$894=Calculs_CABS!C351)*(CABS_CVC!$B$3:$B$894=Calculs_CABS!$D$2),0),MATCH(Calculs_CABS!$D$1,Liste_CABS!$B$3:$B$15,0))</f>
        <v>58</v>
      </c>
    </row>
    <row r="352" spans="2:35">
      <c r="B352" s="295" t="s">
        <v>543</v>
      </c>
      <c r="C352" s="295" t="s">
        <v>680</v>
      </c>
      <c r="D352" s="295" t="s">
        <v>543</v>
      </c>
      <c r="E352" s="295">
        <v>474</v>
      </c>
    </row>
    <row r="353" spans="2:35">
      <c r="B353" s="295" t="s">
        <v>544</v>
      </c>
      <c r="C353" s="295" t="s">
        <v>681</v>
      </c>
      <c r="D353" s="295" t="s">
        <v>544</v>
      </c>
      <c r="E353" s="295">
        <f>E352+E351</f>
        <v>532</v>
      </c>
    </row>
    <row r="354" spans="2:35">
      <c r="B354" s="295" t="s">
        <v>545</v>
      </c>
      <c r="C354" s="295" t="s">
        <v>682</v>
      </c>
      <c r="D354" s="295" t="s">
        <v>545</v>
      </c>
      <c r="E354" s="295">
        <v>0.97</v>
      </c>
    </row>
    <row r="355" spans="2:35">
      <c r="B355" s="295" t="s">
        <v>546</v>
      </c>
      <c r="C355" s="295" t="s">
        <v>683</v>
      </c>
      <c r="D355" s="295" t="s">
        <v>606</v>
      </c>
      <c r="E355" s="295">
        <v>3120</v>
      </c>
      <c r="F355" s="295">
        <f>IF(F$6=$C355,IF(INDEX('Surface DEET'!$Q$9:$W$38,COLUMN(F348)-COLUMN($E$5),1)&gt;0,INDEX('Surface DEET'!$Q$9:$W$38,COLUMN(F348)-COLUMN($E$5),1),$E355),0)</f>
        <v>0</v>
      </c>
      <c r="G355" s="295">
        <f>IF(G$6=$C355,IF(INDEX('Surface DEET'!$Q$9:$W$38,COLUMN(G348)-COLUMN($E$5),1)&gt;0,INDEX('Surface DEET'!$Q$9:$W$38,COLUMN(G348)-COLUMN($E$5),1),$E355),0)</f>
        <v>0</v>
      </c>
      <c r="H355" s="295">
        <f>IF(H$6=$C355,IF(INDEX('Surface DEET'!$Q$9:$W$38,COLUMN(H348)-COLUMN($E$5),1)&gt;0,INDEX('Surface DEET'!$Q$9:$W$38,COLUMN(H348)-COLUMN($E$5),1),$E355),0)</f>
        <v>0</v>
      </c>
      <c r="I355" s="295">
        <f>IF(I$6=$C355,IF(INDEX('Surface DEET'!$Q$9:$W$38,COLUMN(I348)-COLUMN($E$5),1)&gt;0,INDEX('Surface DEET'!$Q$9:$W$38,COLUMN(I348)-COLUMN($E$5),1),$E355),0)</f>
        <v>0</v>
      </c>
      <c r="J355" s="295">
        <f>IF(J$6=$C355,IF(INDEX('Surface DEET'!$Q$9:$W$38,COLUMN(J348)-COLUMN($E$5),1)&gt;0,INDEX('Surface DEET'!$Q$9:$W$38,COLUMN(J348)-COLUMN($E$5),1),$E355),0)</f>
        <v>0</v>
      </c>
      <c r="K355" s="295">
        <f>IF(K$6=$C355,IF(INDEX('Surface DEET'!$Q$9:$W$38,COLUMN(K348)-COLUMN($E$5),1)&gt;0,INDEX('Surface DEET'!$Q$9:$W$38,COLUMN(K348)-COLUMN($E$5),1),$E355),0)</f>
        <v>0</v>
      </c>
      <c r="L355" s="295">
        <f>IF(L$6=$C355,IF(INDEX('Surface DEET'!$Q$9:$W$38,COLUMN(L348)-COLUMN($E$5),1)&gt;0,INDEX('Surface DEET'!$Q$9:$W$38,COLUMN(L348)-COLUMN($E$5),1),$E355),0)</f>
        <v>0</v>
      </c>
      <c r="M355" s="295">
        <f>IF(M$6=$C355,IF(INDEX('Surface DEET'!$Q$9:$W$38,COLUMN(M348)-COLUMN($E$5),1)&gt;0,INDEX('Surface DEET'!$Q$9:$W$38,COLUMN(M348)-COLUMN($E$5),1),$E355),0)</f>
        <v>0</v>
      </c>
      <c r="N355" s="295">
        <f>IF(N$6=$C355,IF(INDEX('Surface DEET'!$Q$9:$W$38,COLUMN(N348)-COLUMN($E$5),1)&gt;0,INDEX('Surface DEET'!$Q$9:$W$38,COLUMN(N348)-COLUMN($E$5),1),$E355),0)</f>
        <v>0</v>
      </c>
      <c r="O355" s="295">
        <f>IF(O$6=$C355,IF(INDEX('Surface DEET'!$Q$9:$W$38,COLUMN(O348)-COLUMN($E$5),1)&gt;0,INDEX('Surface DEET'!$Q$9:$W$38,COLUMN(O348)-COLUMN($E$5),1),$E355),0)</f>
        <v>0</v>
      </c>
      <c r="P355" s="295">
        <f>IF(P$6=$C355,IF(INDEX('Surface DEET'!$Q$9:$W$38,COLUMN(P348)-COLUMN($E$5),1)&gt;0,INDEX('Surface DEET'!$Q$9:$W$38,COLUMN(P348)-COLUMN($E$5),1),$E355),0)</f>
        <v>0</v>
      </c>
      <c r="Q355" s="295">
        <f>IF(Q$6=$C355,IF(INDEX('Surface DEET'!$Q$9:$W$38,COLUMN(Q348)-COLUMN($E$5),1)&gt;0,INDEX('Surface DEET'!$Q$9:$W$38,COLUMN(Q348)-COLUMN($E$5),1),$E355),0)</f>
        <v>0</v>
      </c>
      <c r="R355" s="295">
        <f>IF(R$6=$C355,IF(INDEX('Surface DEET'!$Q$9:$W$38,COLUMN(R348)-COLUMN($E$5),1)&gt;0,INDEX('Surface DEET'!$Q$9:$W$38,COLUMN(R348)-COLUMN($E$5),1),$E355),0)</f>
        <v>0</v>
      </c>
      <c r="S355" s="295">
        <f>IF(S$6=$C355,IF(INDEX('Surface DEET'!$Q$9:$W$38,COLUMN(S348)-COLUMN($E$5),1)&gt;0,INDEX('Surface DEET'!$Q$9:$W$38,COLUMN(S348)-COLUMN($E$5),1),$E355),0)</f>
        <v>0</v>
      </c>
      <c r="T355" s="295">
        <f>IF(T$6=$C355,IF(INDEX('Surface DEET'!$Q$9:$W$38,COLUMN(T348)-COLUMN($E$5),1)&gt;0,INDEX('Surface DEET'!$Q$9:$W$38,COLUMN(T348)-COLUMN($E$5),1),$E355),0)</f>
        <v>0</v>
      </c>
      <c r="U355" s="295">
        <f>IF(U$6=$C355,IF(INDEX('Surface DEET'!$Q$9:$W$38,COLUMN(U348)-COLUMN($E$5),1)&gt;0,INDEX('Surface DEET'!$Q$9:$W$38,COLUMN(U348)-COLUMN($E$5),1),$E355),0)</f>
        <v>0</v>
      </c>
      <c r="V355" s="295">
        <f>IF(V$6=$C355,IF(INDEX('Surface DEET'!$Q$9:$W$38,COLUMN(V348)-COLUMN($E$5),1)&gt;0,INDEX('Surface DEET'!$Q$9:$W$38,COLUMN(V348)-COLUMN($E$5),1),$E355),0)</f>
        <v>0</v>
      </c>
      <c r="W355" s="295">
        <f>IF(W$6=$C355,IF(INDEX('Surface DEET'!$Q$9:$W$38,COLUMN(W348)-COLUMN($E$5),1)&gt;0,INDEX('Surface DEET'!$Q$9:$W$38,COLUMN(W348)-COLUMN($E$5),1),$E355),0)</f>
        <v>0</v>
      </c>
      <c r="X355" s="295">
        <f>IF(X$6=$C355,IF(INDEX('Surface DEET'!$Q$9:$W$38,COLUMN(X348)-COLUMN($E$5),1)&gt;0,INDEX('Surface DEET'!$Q$9:$W$38,COLUMN(X348)-COLUMN($E$5),1),$E355),0)</f>
        <v>0</v>
      </c>
      <c r="Y355" s="295">
        <f>IF(Y$6=$C355,IF(INDEX('Surface DEET'!$Q$9:$W$38,COLUMN(Y348)-COLUMN($E$5),1)&gt;0,INDEX('Surface DEET'!$Q$9:$W$38,COLUMN(Y348)-COLUMN($E$5),1),$E355),0)</f>
        <v>0</v>
      </c>
      <c r="Z355" s="295">
        <f>IF(Z$6=$C355,IF(INDEX('Surface DEET'!$Q$9:$W$38,COLUMN(Z348)-COLUMN($E$5),1)&gt;0,INDEX('Surface DEET'!$Q$9:$W$38,COLUMN(Z348)-COLUMN($E$5),1),$E355),0)</f>
        <v>0</v>
      </c>
      <c r="AA355" s="295">
        <f>IF(AA$6=$C355,IF(INDEX('Surface DEET'!$Q$9:$W$38,COLUMN(AA348)-COLUMN($E$5),1)&gt;0,INDEX('Surface DEET'!$Q$9:$W$38,COLUMN(AA348)-COLUMN($E$5),1),$E355),0)</f>
        <v>0</v>
      </c>
      <c r="AB355" s="295">
        <f>IF(AB$6=$C355,IF(INDEX('Surface DEET'!$Q$9:$W$38,COLUMN(AB348)-COLUMN($E$5),1)&gt;0,INDEX('Surface DEET'!$Q$9:$W$38,COLUMN(AB348)-COLUMN($E$5),1),$E355),0)</f>
        <v>0</v>
      </c>
      <c r="AC355" s="295">
        <f>IF(AC$6=$C355,IF(INDEX('Surface DEET'!$Q$9:$W$38,COLUMN(AC348)-COLUMN($E$5),1)&gt;0,INDEX('Surface DEET'!$Q$9:$W$38,COLUMN(AC348)-COLUMN($E$5),1),$E355),0)</f>
        <v>0</v>
      </c>
      <c r="AD355" s="295">
        <f>IF(AD$6=$C355,IF(INDEX('Surface DEET'!$Q$9:$W$38,COLUMN(AD348)-COLUMN($E$5),1)&gt;0,INDEX('Surface DEET'!$Q$9:$W$38,COLUMN(AD348)-COLUMN($E$5),1),$E355),0)</f>
        <v>0</v>
      </c>
      <c r="AE355" s="295">
        <f>IF(AE$6=$C355,IF(INDEX('Surface DEET'!$Q$9:$W$38,COLUMN(AE348)-COLUMN($E$5),1)&gt;0,INDEX('Surface DEET'!$Q$9:$W$38,COLUMN(AE348)-COLUMN($E$5),1),$E355),0)</f>
        <v>0</v>
      </c>
      <c r="AF355" s="295">
        <f>IF(AF$6=$C355,IF(INDEX('Surface DEET'!$Q$9:$W$38,COLUMN(AF348)-COLUMN($E$5),1)&gt;0,INDEX('Surface DEET'!$Q$9:$W$38,COLUMN(AF348)-COLUMN($E$5),1),$E355),0)</f>
        <v>0</v>
      </c>
      <c r="AG355" s="295">
        <f>IF(AG$6=$C355,IF(INDEX('Surface DEET'!$Q$9:$W$38,COLUMN(AG348)-COLUMN($E$5),1)&gt;0,INDEX('Surface DEET'!$Q$9:$W$38,COLUMN(AG348)-COLUMN($E$5),1),$E355),0)</f>
        <v>0</v>
      </c>
      <c r="AH355" s="295">
        <f>IF(AH$6=$C355,IF(INDEX('Surface DEET'!$Q$9:$W$38,COLUMN(AH348)-COLUMN($E$5),1)&gt;0,INDEX('Surface DEET'!$Q$9:$W$38,COLUMN(AH348)-COLUMN($E$5),1),$E355),0)</f>
        <v>0</v>
      </c>
      <c r="AI355" s="295">
        <f>IF(AI$6=$C355,INDEX('Surface DEET'!$Q$9:$W$38,COLUMN(AI348)-COLUMN($E$5),1),0)</f>
        <v>0</v>
      </c>
    </row>
    <row r="356" spans="2:35">
      <c r="B356" s="295" t="s">
        <v>549</v>
      </c>
      <c r="C356" s="295" t="s">
        <v>684</v>
      </c>
      <c r="D356" s="295" t="s">
        <v>685</v>
      </c>
      <c r="E356" s="295">
        <v>415</v>
      </c>
      <c r="F356" s="295">
        <f>IF(F$6=$C356,IF(INDEX('Surface DEET'!$Q$9:$W$38,COLUMN(F349)-COLUMN($E$5),4)&gt;0,INDEX('Surface DEET'!$Q$9:$W$38,COLUMN(F349)-COLUMN($E$5),4),$E356),0)</f>
        <v>0</v>
      </c>
      <c r="G356" s="295">
        <f>IF(G$6=$C356,IF(INDEX('Surface DEET'!$Q$9:$W$38,COLUMN(G349)-COLUMN($E$5),4)&gt;0,INDEX('Surface DEET'!$Q$9:$W$38,COLUMN(G349)-COLUMN($E$5),4),$E356),0)</f>
        <v>0</v>
      </c>
      <c r="H356" s="295">
        <f>IF(H$6=$C356,IF(INDEX('Surface DEET'!$Q$9:$W$38,COLUMN(H349)-COLUMN($E$5),4)&gt;0,INDEX('Surface DEET'!$Q$9:$W$38,COLUMN(H349)-COLUMN($E$5),4),$E356),0)</f>
        <v>0</v>
      </c>
      <c r="I356" s="295">
        <f>IF(I$6=$C356,IF(INDEX('Surface DEET'!$Q$9:$W$38,COLUMN(I349)-COLUMN($E$5),4)&gt;0,INDEX('Surface DEET'!$Q$9:$W$38,COLUMN(I349)-COLUMN($E$5),4),$E356),0)</f>
        <v>0</v>
      </c>
      <c r="J356" s="295">
        <f>IF(J$6=$C356,IF(INDEX('Surface DEET'!$Q$9:$W$38,COLUMN(J349)-COLUMN($E$5),4)&gt;0,INDEX('Surface DEET'!$Q$9:$W$38,COLUMN(J349)-COLUMN($E$5),4),$E356),0)</f>
        <v>0</v>
      </c>
      <c r="K356" s="295">
        <f>IF(K$6=$C356,IF(INDEX('Surface DEET'!$Q$9:$W$38,COLUMN(K349)-COLUMN($E$5),4)&gt;0,INDEX('Surface DEET'!$Q$9:$W$38,COLUMN(K349)-COLUMN($E$5),4),$E356),0)</f>
        <v>0</v>
      </c>
      <c r="L356" s="295">
        <f>IF(L$6=$C356,IF(INDEX('Surface DEET'!$Q$9:$W$38,COLUMN(L349)-COLUMN($E$5),4)&gt;0,INDEX('Surface DEET'!$Q$9:$W$38,COLUMN(L349)-COLUMN($E$5),4),$E356),0)</f>
        <v>0</v>
      </c>
      <c r="M356" s="295">
        <f>IF(M$6=$C356,IF(INDEX('Surface DEET'!$Q$9:$W$38,COLUMN(M349)-COLUMN($E$5),4)&gt;0,INDEX('Surface DEET'!$Q$9:$W$38,COLUMN(M349)-COLUMN($E$5),4),$E356),0)</f>
        <v>0</v>
      </c>
      <c r="N356" s="295">
        <f>IF(N$6=$C356,IF(INDEX('Surface DEET'!$Q$9:$W$38,COLUMN(N349)-COLUMN($E$5),4)&gt;0,INDEX('Surface DEET'!$Q$9:$W$38,COLUMN(N349)-COLUMN($E$5),4),$E356),0)</f>
        <v>0</v>
      </c>
      <c r="O356" s="295">
        <f>IF(O$6=$C356,IF(INDEX('Surface DEET'!$Q$9:$W$38,COLUMN(O349)-COLUMN($E$5),4)&gt;0,INDEX('Surface DEET'!$Q$9:$W$38,COLUMN(O349)-COLUMN($E$5),4),$E356),0)</f>
        <v>0</v>
      </c>
      <c r="P356" s="295">
        <f>IF(P$6=$C356,IF(INDEX('Surface DEET'!$Q$9:$W$38,COLUMN(P349)-COLUMN($E$5),4)&gt;0,INDEX('Surface DEET'!$Q$9:$W$38,COLUMN(P349)-COLUMN($E$5),4),$E356),0)</f>
        <v>0</v>
      </c>
      <c r="Q356" s="295">
        <f>IF(Q$6=$C356,IF(INDEX('Surface DEET'!$Q$9:$W$38,COLUMN(Q349)-COLUMN($E$5),4)&gt;0,INDEX('Surface DEET'!$Q$9:$W$38,COLUMN(Q349)-COLUMN($E$5),4),$E356),0)</f>
        <v>0</v>
      </c>
      <c r="R356" s="295">
        <f>IF(R$6=$C356,IF(INDEX('Surface DEET'!$Q$9:$W$38,COLUMN(R349)-COLUMN($E$5),4)&gt;0,INDEX('Surface DEET'!$Q$9:$W$38,COLUMN(R349)-COLUMN($E$5),4),$E356),0)</f>
        <v>0</v>
      </c>
      <c r="S356" s="295">
        <f>IF(S$6=$C356,IF(INDEX('Surface DEET'!$Q$9:$W$38,COLUMN(S349)-COLUMN($E$5),4)&gt;0,INDEX('Surface DEET'!$Q$9:$W$38,COLUMN(S349)-COLUMN($E$5),4),$E356),0)</f>
        <v>0</v>
      </c>
      <c r="T356" s="295">
        <f>IF(T$6=$C356,IF(INDEX('Surface DEET'!$Q$9:$W$38,COLUMN(T349)-COLUMN($E$5),4)&gt;0,INDEX('Surface DEET'!$Q$9:$W$38,COLUMN(T349)-COLUMN($E$5),4),$E356),0)</f>
        <v>0</v>
      </c>
      <c r="U356" s="295">
        <f>IF(U$6=$C356,IF(INDEX('Surface DEET'!$Q$9:$W$38,COLUMN(U349)-COLUMN($E$5),4)&gt;0,INDEX('Surface DEET'!$Q$9:$W$38,COLUMN(U349)-COLUMN($E$5),4),$E356),0)</f>
        <v>0</v>
      </c>
      <c r="V356" s="295">
        <f>IF(V$6=$C356,IF(INDEX('Surface DEET'!$Q$9:$W$38,COLUMN(V349)-COLUMN($E$5),4)&gt;0,INDEX('Surface DEET'!$Q$9:$W$38,COLUMN(V349)-COLUMN($E$5),4),$E356),0)</f>
        <v>0</v>
      </c>
      <c r="W356" s="295">
        <f>IF(W$6=$C356,IF(INDEX('Surface DEET'!$Q$9:$W$38,COLUMN(W349)-COLUMN($E$5),4)&gt;0,INDEX('Surface DEET'!$Q$9:$W$38,COLUMN(W349)-COLUMN($E$5),4),$E356),0)</f>
        <v>0</v>
      </c>
      <c r="X356" s="295">
        <f>IF(X$6=$C356,IF(INDEX('Surface DEET'!$Q$9:$W$38,COLUMN(X349)-COLUMN($E$5),4)&gt;0,INDEX('Surface DEET'!$Q$9:$W$38,COLUMN(X349)-COLUMN($E$5),4),$E356),0)</f>
        <v>0</v>
      </c>
      <c r="Y356" s="295">
        <f>IF(Y$6=$C356,IF(INDEX('Surface DEET'!$Q$9:$W$38,COLUMN(Y349)-COLUMN($E$5),4)&gt;0,INDEX('Surface DEET'!$Q$9:$W$38,COLUMN(Y349)-COLUMN($E$5),4),$E356),0)</f>
        <v>0</v>
      </c>
      <c r="Z356" s="295">
        <f>IF(Z$6=$C356,IF(INDEX('Surface DEET'!$Q$9:$W$38,COLUMN(Z349)-COLUMN($E$5),4)&gt;0,INDEX('Surface DEET'!$Q$9:$W$38,COLUMN(Z349)-COLUMN($E$5),4),$E356),0)</f>
        <v>0</v>
      </c>
      <c r="AA356" s="295">
        <f>IF(AA$6=$C356,IF(INDEX('Surface DEET'!$Q$9:$W$38,COLUMN(AA349)-COLUMN($E$5),4)&gt;0,INDEX('Surface DEET'!$Q$9:$W$38,COLUMN(AA349)-COLUMN($E$5),4),$E356),0)</f>
        <v>0</v>
      </c>
      <c r="AB356" s="295">
        <f>IF(AB$6=$C356,IF(INDEX('Surface DEET'!$Q$9:$W$38,COLUMN(AB349)-COLUMN($E$5),4)&gt;0,INDEX('Surface DEET'!$Q$9:$W$38,COLUMN(AB349)-COLUMN($E$5),4),$E356),0)</f>
        <v>0</v>
      </c>
      <c r="AC356" s="295">
        <f>IF(AC$6=$C356,IF(INDEX('Surface DEET'!$Q$9:$W$38,COLUMN(AC349)-COLUMN($E$5),4)&gt;0,INDEX('Surface DEET'!$Q$9:$W$38,COLUMN(AC349)-COLUMN($E$5),4),$E356),0)</f>
        <v>0</v>
      </c>
      <c r="AD356" s="295">
        <f>IF(AD$6=$C356,IF(INDEX('Surface DEET'!$Q$9:$W$38,COLUMN(AD349)-COLUMN($E$5),4)&gt;0,INDEX('Surface DEET'!$Q$9:$W$38,COLUMN(AD349)-COLUMN($E$5),4),$E356),0)</f>
        <v>0</v>
      </c>
      <c r="AE356" s="295">
        <f>IF(AE$6=$C356,IF(INDEX('Surface DEET'!$Q$9:$W$38,COLUMN(AE349)-COLUMN($E$5),4)&gt;0,INDEX('Surface DEET'!$Q$9:$W$38,COLUMN(AE349)-COLUMN($E$5),4),$E356),0)</f>
        <v>0</v>
      </c>
      <c r="AF356" s="295">
        <f>IF(AF$6=$C356,IF(INDEX('Surface DEET'!$Q$9:$W$38,COLUMN(AF349)-COLUMN($E$5),4)&gt;0,INDEX('Surface DEET'!$Q$9:$W$38,COLUMN(AF349)-COLUMN($E$5),4),$E356),0)</f>
        <v>0</v>
      </c>
      <c r="AG356" s="295">
        <f>IF(AG$6=$C356,IF(INDEX('Surface DEET'!$Q$9:$W$38,COLUMN(AG349)-COLUMN($E$5),4)&gt;0,INDEX('Surface DEET'!$Q$9:$W$38,COLUMN(AG349)-COLUMN($E$5),4),$E356),0)</f>
        <v>0</v>
      </c>
      <c r="AH356" s="295">
        <f>IF(AH$6=$C356,IF(INDEX('Surface DEET'!$Q$9:$W$38,COLUMN(AH349)-COLUMN($E$5),4)&gt;0,INDEX('Surface DEET'!$Q$9:$W$38,COLUMN(AH349)-COLUMN($E$5),4),$E356),0)</f>
        <v>0</v>
      </c>
      <c r="AI356" s="295">
        <f>IF(AI$6=$C356,INDEX('Surface DEET'!$Q$9:$W$38,COLUMN(AI349)-COLUMN($E$5),4),0)</f>
        <v>0</v>
      </c>
    </row>
    <row r="357" spans="2:35">
      <c r="B357" s="295" t="s">
        <v>552</v>
      </c>
      <c r="C357" s="295" t="s">
        <v>686</v>
      </c>
    </row>
    <row r="358" spans="2:35">
      <c r="B358" s="295" t="s">
        <v>542</v>
      </c>
      <c r="C358" s="295" t="s">
        <v>687</v>
      </c>
      <c r="D358" s="295" t="s">
        <v>542</v>
      </c>
      <c r="F358" s="295">
        <f>$E$352*($E$354*(F356/$E$356)+(1-$E$354)*(F355/$E$355))+0.28*$E$351*(F355-$E$355)/$E$355</f>
        <v>-16.240000000000002</v>
      </c>
      <c r="G358" s="295">
        <f t="shared" ref="G358:AI358" si="43">$E$352*($E$354*(G356/$E$356)+(1-$E$354)*(G355/$E$355))+0.28*$E$351*(G355-$E$355)/$E$355</f>
        <v>-16.240000000000002</v>
      </c>
      <c r="H358" s="295">
        <f t="shared" si="43"/>
        <v>-16.240000000000002</v>
      </c>
      <c r="I358" s="295">
        <f t="shared" si="43"/>
        <v>-16.240000000000002</v>
      </c>
      <c r="J358" s="295">
        <f t="shared" si="43"/>
        <v>-16.240000000000002</v>
      </c>
      <c r="K358" s="295">
        <f t="shared" si="43"/>
        <v>-16.240000000000002</v>
      </c>
      <c r="L358" s="295">
        <f t="shared" si="43"/>
        <v>-16.240000000000002</v>
      </c>
      <c r="M358" s="295">
        <f t="shared" si="43"/>
        <v>-16.240000000000002</v>
      </c>
      <c r="N358" s="295">
        <f t="shared" si="43"/>
        <v>-16.240000000000002</v>
      </c>
      <c r="O358" s="295">
        <f t="shared" si="43"/>
        <v>-16.240000000000002</v>
      </c>
      <c r="P358" s="295">
        <f t="shared" si="43"/>
        <v>-16.240000000000002</v>
      </c>
      <c r="Q358" s="295">
        <f t="shared" si="43"/>
        <v>-16.240000000000002</v>
      </c>
      <c r="R358" s="295">
        <f t="shared" si="43"/>
        <v>-16.240000000000002</v>
      </c>
      <c r="S358" s="295">
        <f t="shared" si="43"/>
        <v>-16.240000000000002</v>
      </c>
      <c r="T358" s="295">
        <f t="shared" si="43"/>
        <v>-16.240000000000002</v>
      </c>
      <c r="U358" s="295">
        <f t="shared" si="43"/>
        <v>-16.240000000000002</v>
      </c>
      <c r="V358" s="295">
        <f t="shared" si="43"/>
        <v>-16.240000000000002</v>
      </c>
      <c r="W358" s="295">
        <f t="shared" si="43"/>
        <v>-16.240000000000002</v>
      </c>
      <c r="X358" s="295">
        <f t="shared" si="43"/>
        <v>-16.240000000000002</v>
      </c>
      <c r="Y358" s="295">
        <f t="shared" si="43"/>
        <v>-16.240000000000002</v>
      </c>
      <c r="Z358" s="295">
        <f t="shared" si="43"/>
        <v>-16.240000000000002</v>
      </c>
      <c r="AA358" s="295">
        <f t="shared" si="43"/>
        <v>-16.240000000000002</v>
      </c>
      <c r="AB358" s="295">
        <f t="shared" si="43"/>
        <v>-16.240000000000002</v>
      </c>
      <c r="AC358" s="295">
        <f t="shared" si="43"/>
        <v>-16.240000000000002</v>
      </c>
      <c r="AD358" s="295">
        <f t="shared" si="43"/>
        <v>-16.240000000000002</v>
      </c>
      <c r="AE358" s="295">
        <f t="shared" si="43"/>
        <v>-16.240000000000002</v>
      </c>
      <c r="AF358" s="295">
        <f t="shared" si="43"/>
        <v>-16.240000000000002</v>
      </c>
      <c r="AG358" s="295">
        <f t="shared" si="43"/>
        <v>-16.240000000000002</v>
      </c>
      <c r="AH358" s="295">
        <f t="shared" si="43"/>
        <v>-16.240000000000002</v>
      </c>
      <c r="AI358" s="295">
        <f t="shared" si="43"/>
        <v>-16.240000000000002</v>
      </c>
    </row>
    <row r="359" spans="2:35">
      <c r="B359" s="93" t="s">
        <v>301</v>
      </c>
      <c r="C359" s="295" t="s">
        <v>688</v>
      </c>
      <c r="D359" s="93" t="s">
        <v>301</v>
      </c>
      <c r="E359" s="295">
        <f t="array" ref="E359">INDEX(CABS_CVC!$C$3:$O$894,MATCH(1, (CABS_CVC!$A$3:$A$894=Calculs_CABS!C359)*(CABS_CVC!$B$3:$B$894=Calculs_CABS!$D$2),0),MATCH(Calculs_CABS!$D$1,Liste_CABS!$B$3:$B$15,0))</f>
        <v>58</v>
      </c>
    </row>
    <row r="360" spans="2:35">
      <c r="B360" s="295" t="s">
        <v>543</v>
      </c>
      <c r="C360" s="295" t="s">
        <v>688</v>
      </c>
      <c r="D360" s="295" t="s">
        <v>543</v>
      </c>
      <c r="E360" s="295">
        <v>1463</v>
      </c>
    </row>
    <row r="361" spans="2:35">
      <c r="B361" s="295" t="s">
        <v>544</v>
      </c>
      <c r="C361" s="295" t="s">
        <v>688</v>
      </c>
      <c r="D361" s="295" t="s">
        <v>544</v>
      </c>
      <c r="E361" s="295">
        <f>E359+E360</f>
        <v>1521</v>
      </c>
    </row>
    <row r="362" spans="2:35">
      <c r="B362" s="295" t="s">
        <v>545</v>
      </c>
      <c r="C362" s="295" t="s">
        <v>688</v>
      </c>
      <c r="D362" s="295" t="s">
        <v>545</v>
      </c>
      <c r="E362" s="295">
        <v>0.98</v>
      </c>
    </row>
    <row r="363" spans="2:35">
      <c r="B363" s="295" t="s">
        <v>546</v>
      </c>
      <c r="C363" s="295" t="s">
        <v>688</v>
      </c>
      <c r="D363" s="295" t="s">
        <v>606</v>
      </c>
      <c r="E363" s="295">
        <v>3120</v>
      </c>
      <c r="F363" s="295">
        <f>IF(F$6=$C363,IF(INDEX('Surface DEET'!$Q$9:$W$38,COLUMN(F356)-COLUMN($E$5),1)&gt;0,INDEX('Surface DEET'!$Q$9:$W$38,COLUMN(F356)-COLUMN($E$5),1),$E363),0)</f>
        <v>0</v>
      </c>
      <c r="G363" s="295">
        <f>IF(G$6=$C363,IF(INDEX('Surface DEET'!$Q$9:$W$38,COLUMN(G356)-COLUMN($E$5),1)&gt;0,INDEX('Surface DEET'!$Q$9:$W$38,COLUMN(G356)-COLUMN($E$5),1),$E363),0)</f>
        <v>0</v>
      </c>
      <c r="H363" s="295">
        <f>IF(H$6=$C363,IF(INDEX('Surface DEET'!$Q$9:$W$38,COLUMN(H356)-COLUMN($E$5),1)&gt;0,INDEX('Surface DEET'!$Q$9:$W$38,COLUMN(H356)-COLUMN($E$5),1),$E363),0)</f>
        <v>0</v>
      </c>
      <c r="I363" s="295">
        <f>IF(I$6=$C363,IF(INDEX('Surface DEET'!$Q$9:$W$38,COLUMN(I356)-COLUMN($E$5),1)&gt;0,INDEX('Surface DEET'!$Q$9:$W$38,COLUMN(I356)-COLUMN($E$5),1),$E363),0)</f>
        <v>0</v>
      </c>
      <c r="J363" s="295">
        <f>IF(J$6=$C363,IF(INDEX('Surface DEET'!$Q$9:$W$38,COLUMN(J356)-COLUMN($E$5),1)&gt;0,INDEX('Surface DEET'!$Q$9:$W$38,COLUMN(J356)-COLUMN($E$5),1),$E363),0)</f>
        <v>0</v>
      </c>
      <c r="K363" s="295">
        <f>IF(K$6=$C363,IF(INDEX('Surface DEET'!$Q$9:$W$38,COLUMN(K356)-COLUMN($E$5),1)&gt;0,INDEX('Surface DEET'!$Q$9:$W$38,COLUMN(K356)-COLUMN($E$5),1),$E363),0)</f>
        <v>0</v>
      </c>
      <c r="L363" s="295">
        <f>IF(L$6=$C363,IF(INDEX('Surface DEET'!$Q$9:$W$38,COLUMN(L356)-COLUMN($E$5),1)&gt;0,INDEX('Surface DEET'!$Q$9:$W$38,COLUMN(L356)-COLUMN($E$5),1),$E363),0)</f>
        <v>0</v>
      </c>
      <c r="M363" s="295">
        <f>IF(M$6=$C363,IF(INDEX('Surface DEET'!$Q$9:$W$38,COLUMN(M356)-COLUMN($E$5),1)&gt;0,INDEX('Surface DEET'!$Q$9:$W$38,COLUMN(M356)-COLUMN($E$5),1),$E363),0)</f>
        <v>0</v>
      </c>
      <c r="N363" s="295">
        <f>IF(N$6=$C363,IF(INDEX('Surface DEET'!$Q$9:$W$38,COLUMN(N356)-COLUMN($E$5),1)&gt;0,INDEX('Surface DEET'!$Q$9:$W$38,COLUMN(N356)-COLUMN($E$5),1),$E363),0)</f>
        <v>0</v>
      </c>
      <c r="O363" s="295">
        <f>IF(O$6=$C363,IF(INDEX('Surface DEET'!$Q$9:$W$38,COLUMN(O356)-COLUMN($E$5),1)&gt;0,INDEX('Surface DEET'!$Q$9:$W$38,COLUMN(O356)-COLUMN($E$5),1),$E363),0)</f>
        <v>0</v>
      </c>
      <c r="P363" s="295">
        <f>IF(P$6=$C363,IF(INDEX('Surface DEET'!$Q$9:$W$38,COLUMN(P356)-COLUMN($E$5),1)&gt;0,INDEX('Surface DEET'!$Q$9:$W$38,COLUMN(P356)-COLUMN($E$5),1),$E363),0)</f>
        <v>0</v>
      </c>
      <c r="Q363" s="295">
        <f>IF(Q$6=$C363,IF(INDEX('Surface DEET'!$Q$9:$W$38,COLUMN(Q356)-COLUMN($E$5),1)&gt;0,INDEX('Surface DEET'!$Q$9:$W$38,COLUMN(Q356)-COLUMN($E$5),1),$E363),0)</f>
        <v>0</v>
      </c>
      <c r="R363" s="295">
        <f>IF(R$6=$C363,IF(INDEX('Surface DEET'!$Q$9:$W$38,COLUMN(R356)-COLUMN($E$5),1)&gt;0,INDEX('Surface DEET'!$Q$9:$W$38,COLUMN(R356)-COLUMN($E$5),1),$E363),0)</f>
        <v>0</v>
      </c>
      <c r="S363" s="295">
        <f>IF(S$6=$C363,IF(INDEX('Surface DEET'!$Q$9:$W$38,COLUMN(S356)-COLUMN($E$5),1)&gt;0,INDEX('Surface DEET'!$Q$9:$W$38,COLUMN(S356)-COLUMN($E$5),1),$E363),0)</f>
        <v>0</v>
      </c>
      <c r="T363" s="295">
        <f>IF(T$6=$C363,IF(INDEX('Surface DEET'!$Q$9:$W$38,COLUMN(T356)-COLUMN($E$5),1)&gt;0,INDEX('Surface DEET'!$Q$9:$W$38,COLUMN(T356)-COLUMN($E$5),1),$E363),0)</f>
        <v>0</v>
      </c>
      <c r="U363" s="295">
        <f>IF(U$6=$C363,IF(INDEX('Surface DEET'!$Q$9:$W$38,COLUMN(U356)-COLUMN($E$5),1)&gt;0,INDEX('Surface DEET'!$Q$9:$W$38,COLUMN(U356)-COLUMN($E$5),1),$E363),0)</f>
        <v>0</v>
      </c>
      <c r="V363" s="295">
        <f>IF(V$6=$C363,IF(INDEX('Surface DEET'!$Q$9:$W$38,COLUMN(V356)-COLUMN($E$5),1)&gt;0,INDEX('Surface DEET'!$Q$9:$W$38,COLUMN(V356)-COLUMN($E$5),1),$E363),0)</f>
        <v>0</v>
      </c>
      <c r="W363" s="295">
        <f>IF(W$6=$C363,IF(INDEX('Surface DEET'!$Q$9:$W$38,COLUMN(W356)-COLUMN($E$5),1)&gt;0,INDEX('Surface DEET'!$Q$9:$W$38,COLUMN(W356)-COLUMN($E$5),1),$E363),0)</f>
        <v>0</v>
      </c>
      <c r="X363" s="295">
        <f>IF(X$6=$C363,IF(INDEX('Surface DEET'!$Q$9:$W$38,COLUMN(X356)-COLUMN($E$5),1)&gt;0,INDEX('Surface DEET'!$Q$9:$W$38,COLUMN(X356)-COLUMN($E$5),1),$E363),0)</f>
        <v>0</v>
      </c>
      <c r="Y363" s="295">
        <f>IF(Y$6=$C363,IF(INDEX('Surface DEET'!$Q$9:$W$38,COLUMN(Y356)-COLUMN($E$5),1)&gt;0,INDEX('Surface DEET'!$Q$9:$W$38,COLUMN(Y356)-COLUMN($E$5),1),$E363),0)</f>
        <v>0</v>
      </c>
      <c r="Z363" s="295">
        <f>IF(Z$6=$C363,IF(INDEX('Surface DEET'!$Q$9:$W$38,COLUMN(Z356)-COLUMN($E$5),1)&gt;0,INDEX('Surface DEET'!$Q$9:$W$38,COLUMN(Z356)-COLUMN($E$5),1),$E363),0)</f>
        <v>0</v>
      </c>
      <c r="AA363" s="295">
        <f>IF(AA$6=$C363,IF(INDEX('Surface DEET'!$Q$9:$W$38,COLUMN(AA356)-COLUMN($E$5),1)&gt;0,INDEX('Surface DEET'!$Q$9:$W$38,COLUMN(AA356)-COLUMN($E$5),1),$E363),0)</f>
        <v>0</v>
      </c>
      <c r="AB363" s="295">
        <f>IF(AB$6=$C363,IF(INDEX('Surface DEET'!$Q$9:$W$38,COLUMN(AB356)-COLUMN($E$5),1)&gt;0,INDEX('Surface DEET'!$Q$9:$W$38,COLUMN(AB356)-COLUMN($E$5),1),$E363),0)</f>
        <v>0</v>
      </c>
      <c r="AC363" s="295">
        <f>IF(AC$6=$C363,IF(INDEX('Surface DEET'!$Q$9:$W$38,COLUMN(AC356)-COLUMN($E$5),1)&gt;0,INDEX('Surface DEET'!$Q$9:$W$38,COLUMN(AC356)-COLUMN($E$5),1),$E363),0)</f>
        <v>0</v>
      </c>
      <c r="AD363" s="295">
        <f>IF(AD$6=$C363,IF(INDEX('Surface DEET'!$Q$9:$W$38,COLUMN(AD356)-COLUMN($E$5),1)&gt;0,INDEX('Surface DEET'!$Q$9:$W$38,COLUMN(AD356)-COLUMN($E$5),1),$E363),0)</f>
        <v>0</v>
      </c>
      <c r="AE363" s="295">
        <f>IF(AE$6=$C363,IF(INDEX('Surface DEET'!$Q$9:$W$38,COLUMN(AE356)-COLUMN($E$5),1)&gt;0,INDEX('Surface DEET'!$Q$9:$W$38,COLUMN(AE356)-COLUMN($E$5),1),$E363),0)</f>
        <v>0</v>
      </c>
      <c r="AF363" s="295">
        <f>IF(AF$6=$C363,IF(INDEX('Surface DEET'!$Q$9:$W$38,COLUMN(AF356)-COLUMN($E$5),1)&gt;0,INDEX('Surface DEET'!$Q$9:$W$38,COLUMN(AF356)-COLUMN($E$5),1),$E363),0)</f>
        <v>0</v>
      </c>
      <c r="AG363" s="295">
        <f>IF(AG$6=$C363,IF(INDEX('Surface DEET'!$Q$9:$W$38,COLUMN(AG356)-COLUMN($E$5),1)&gt;0,INDEX('Surface DEET'!$Q$9:$W$38,COLUMN(AG356)-COLUMN($E$5),1),$E363),0)</f>
        <v>0</v>
      </c>
      <c r="AH363" s="295">
        <f>IF(AH$6=$C363,IF(INDEX('Surface DEET'!$Q$9:$W$38,COLUMN(AH356)-COLUMN($E$5),1)&gt;0,INDEX('Surface DEET'!$Q$9:$W$38,COLUMN(AH356)-COLUMN($E$5),1),$E363),0)</f>
        <v>0</v>
      </c>
      <c r="AI363" s="295">
        <f>IF(AI$6=$C363,INDEX('Surface DEET'!$Q$9:$W$38,COLUMN(AI356)-COLUMN($E$5),1),0)</f>
        <v>0</v>
      </c>
    </row>
    <row r="364" spans="2:35">
      <c r="B364" s="295" t="s">
        <v>549</v>
      </c>
      <c r="C364" s="295" t="s">
        <v>688</v>
      </c>
      <c r="D364" s="295" t="s">
        <v>685</v>
      </c>
      <c r="E364" s="295">
        <v>1325</v>
      </c>
      <c r="F364" s="295">
        <f>IF(F$6=$C364,IF(INDEX('Surface DEET'!$Q$9:$W$38,COLUMN(F357)-COLUMN($E$5),4)&gt;0,INDEX('Surface DEET'!$Q$9:$W$38,COLUMN(F357)-COLUMN($E$5),4),$E364),0)</f>
        <v>0</v>
      </c>
      <c r="G364" s="295">
        <f>IF(G$6=$C364,IF(INDEX('Surface DEET'!$Q$9:$W$38,COLUMN(G357)-COLUMN($E$5),4)&gt;0,INDEX('Surface DEET'!$Q$9:$W$38,COLUMN(G357)-COLUMN($E$5),4),$E364),0)</f>
        <v>0</v>
      </c>
      <c r="H364" s="295">
        <f>IF(H$6=$C364,IF(INDEX('Surface DEET'!$Q$9:$W$38,COLUMN(H357)-COLUMN($E$5),4)&gt;0,INDEX('Surface DEET'!$Q$9:$W$38,COLUMN(H357)-COLUMN($E$5),4),$E364),0)</f>
        <v>0</v>
      </c>
      <c r="I364" s="295">
        <f>IF(I$6=$C364,IF(INDEX('Surface DEET'!$Q$9:$W$38,COLUMN(I357)-COLUMN($E$5),4)&gt;0,INDEX('Surface DEET'!$Q$9:$W$38,COLUMN(I357)-COLUMN($E$5),4),$E364),0)</f>
        <v>0</v>
      </c>
      <c r="J364" s="295">
        <f>IF(J$6=$C364,IF(INDEX('Surface DEET'!$Q$9:$W$38,COLUMN(J357)-COLUMN($E$5),4)&gt;0,INDEX('Surface DEET'!$Q$9:$W$38,COLUMN(J357)-COLUMN($E$5),4),$E364),0)</f>
        <v>0</v>
      </c>
      <c r="K364" s="295">
        <f>IF(K$6=$C364,IF(INDEX('Surface DEET'!$Q$9:$W$38,COLUMN(K357)-COLUMN($E$5),4)&gt;0,INDEX('Surface DEET'!$Q$9:$W$38,COLUMN(K357)-COLUMN($E$5),4),$E364),0)</f>
        <v>0</v>
      </c>
      <c r="L364" s="295">
        <f>IF(L$6=$C364,IF(INDEX('Surface DEET'!$Q$9:$W$38,COLUMN(L357)-COLUMN($E$5),4)&gt;0,INDEX('Surface DEET'!$Q$9:$W$38,COLUMN(L357)-COLUMN($E$5),4),$E364),0)</f>
        <v>0</v>
      </c>
      <c r="M364" s="295">
        <f>IF(M$6=$C364,IF(INDEX('Surface DEET'!$Q$9:$W$38,COLUMN(M357)-COLUMN($E$5),4)&gt;0,INDEX('Surface DEET'!$Q$9:$W$38,COLUMN(M357)-COLUMN($E$5),4),$E364),0)</f>
        <v>0</v>
      </c>
      <c r="N364" s="295">
        <f>IF(N$6=$C364,IF(INDEX('Surface DEET'!$Q$9:$W$38,COLUMN(N357)-COLUMN($E$5),4)&gt;0,INDEX('Surface DEET'!$Q$9:$W$38,COLUMN(N357)-COLUMN($E$5),4),$E364),0)</f>
        <v>0</v>
      </c>
      <c r="O364" s="295">
        <f>IF(O$6=$C364,IF(INDEX('Surface DEET'!$Q$9:$W$38,COLUMN(O357)-COLUMN($E$5),4)&gt;0,INDEX('Surface DEET'!$Q$9:$W$38,COLUMN(O357)-COLUMN($E$5),4),$E364),0)</f>
        <v>0</v>
      </c>
      <c r="P364" s="295">
        <f>IF(P$6=$C364,IF(INDEX('Surface DEET'!$Q$9:$W$38,COLUMN(P357)-COLUMN($E$5),4)&gt;0,INDEX('Surface DEET'!$Q$9:$W$38,COLUMN(P357)-COLUMN($E$5),4),$E364),0)</f>
        <v>0</v>
      </c>
      <c r="Q364" s="295">
        <f>IF(Q$6=$C364,IF(INDEX('Surface DEET'!$Q$9:$W$38,COLUMN(Q357)-COLUMN($E$5),4)&gt;0,INDEX('Surface DEET'!$Q$9:$W$38,COLUMN(Q357)-COLUMN($E$5),4),$E364),0)</f>
        <v>0</v>
      </c>
      <c r="R364" s="295">
        <f>IF(R$6=$C364,IF(INDEX('Surface DEET'!$Q$9:$W$38,COLUMN(R357)-COLUMN($E$5),4)&gt;0,INDEX('Surface DEET'!$Q$9:$W$38,COLUMN(R357)-COLUMN($E$5),4),$E364),0)</f>
        <v>0</v>
      </c>
      <c r="S364" s="295">
        <f>IF(S$6=$C364,IF(INDEX('Surface DEET'!$Q$9:$W$38,COLUMN(S357)-COLUMN($E$5),4)&gt;0,INDEX('Surface DEET'!$Q$9:$W$38,COLUMN(S357)-COLUMN($E$5),4),$E364),0)</f>
        <v>0</v>
      </c>
      <c r="T364" s="295">
        <f>IF(T$6=$C364,IF(INDEX('Surface DEET'!$Q$9:$W$38,COLUMN(T357)-COLUMN($E$5),4)&gt;0,INDEX('Surface DEET'!$Q$9:$W$38,COLUMN(T357)-COLUMN($E$5),4),$E364),0)</f>
        <v>0</v>
      </c>
      <c r="U364" s="295">
        <f>IF(U$6=$C364,IF(INDEX('Surface DEET'!$Q$9:$W$38,COLUMN(U357)-COLUMN($E$5),4)&gt;0,INDEX('Surface DEET'!$Q$9:$W$38,COLUMN(U357)-COLUMN($E$5),4),$E364),0)</f>
        <v>0</v>
      </c>
      <c r="V364" s="295">
        <f>IF(V$6=$C364,IF(INDEX('Surface DEET'!$Q$9:$W$38,COLUMN(V357)-COLUMN($E$5),4)&gt;0,INDEX('Surface DEET'!$Q$9:$W$38,COLUMN(V357)-COLUMN($E$5),4),$E364),0)</f>
        <v>0</v>
      </c>
      <c r="W364" s="295">
        <f>IF(W$6=$C364,IF(INDEX('Surface DEET'!$Q$9:$W$38,COLUMN(W357)-COLUMN($E$5),4)&gt;0,INDEX('Surface DEET'!$Q$9:$W$38,COLUMN(W357)-COLUMN($E$5),4),$E364),0)</f>
        <v>0</v>
      </c>
      <c r="X364" s="295">
        <f>IF(X$6=$C364,IF(INDEX('Surface DEET'!$Q$9:$W$38,COLUMN(X357)-COLUMN($E$5),4)&gt;0,INDEX('Surface DEET'!$Q$9:$W$38,COLUMN(X357)-COLUMN($E$5),4),$E364),0)</f>
        <v>0</v>
      </c>
      <c r="Y364" s="295">
        <f>IF(Y$6=$C364,IF(INDEX('Surface DEET'!$Q$9:$W$38,COLUMN(Y357)-COLUMN($E$5),4)&gt;0,INDEX('Surface DEET'!$Q$9:$W$38,COLUMN(Y357)-COLUMN($E$5),4),$E364),0)</f>
        <v>0</v>
      </c>
      <c r="Z364" s="295">
        <f>IF(Z$6=$C364,IF(INDEX('Surface DEET'!$Q$9:$W$38,COLUMN(Z357)-COLUMN($E$5),4)&gt;0,INDEX('Surface DEET'!$Q$9:$W$38,COLUMN(Z357)-COLUMN($E$5),4),$E364),0)</f>
        <v>0</v>
      </c>
      <c r="AA364" s="295">
        <f>IF(AA$6=$C364,IF(INDEX('Surface DEET'!$Q$9:$W$38,COLUMN(AA357)-COLUMN($E$5),4)&gt;0,INDEX('Surface DEET'!$Q$9:$W$38,COLUMN(AA357)-COLUMN($E$5),4),$E364),0)</f>
        <v>0</v>
      </c>
      <c r="AB364" s="295">
        <f>IF(AB$6=$C364,IF(INDEX('Surface DEET'!$Q$9:$W$38,COLUMN(AB357)-COLUMN($E$5),4)&gt;0,INDEX('Surface DEET'!$Q$9:$W$38,COLUMN(AB357)-COLUMN($E$5),4),$E364),0)</f>
        <v>0</v>
      </c>
      <c r="AC364" s="295">
        <f>IF(AC$6=$C364,IF(INDEX('Surface DEET'!$Q$9:$W$38,COLUMN(AC357)-COLUMN($E$5),4)&gt;0,INDEX('Surface DEET'!$Q$9:$W$38,COLUMN(AC357)-COLUMN($E$5),4),$E364),0)</f>
        <v>0</v>
      </c>
      <c r="AD364" s="295">
        <f>IF(AD$6=$C364,IF(INDEX('Surface DEET'!$Q$9:$W$38,COLUMN(AD357)-COLUMN($E$5),4)&gt;0,INDEX('Surface DEET'!$Q$9:$W$38,COLUMN(AD357)-COLUMN($E$5),4),$E364),0)</f>
        <v>0</v>
      </c>
      <c r="AE364" s="295">
        <f>IF(AE$6=$C364,IF(INDEX('Surface DEET'!$Q$9:$W$38,COLUMN(AE357)-COLUMN($E$5),4)&gt;0,INDEX('Surface DEET'!$Q$9:$W$38,COLUMN(AE357)-COLUMN($E$5),4),$E364),0)</f>
        <v>0</v>
      </c>
      <c r="AF364" s="295">
        <f>IF(AF$6=$C364,IF(INDEX('Surface DEET'!$Q$9:$W$38,COLUMN(AF357)-COLUMN($E$5),4)&gt;0,INDEX('Surface DEET'!$Q$9:$W$38,COLUMN(AF357)-COLUMN($E$5),4),$E364),0)</f>
        <v>0</v>
      </c>
      <c r="AG364" s="295">
        <f>IF(AG$6=$C364,IF(INDEX('Surface DEET'!$Q$9:$W$38,COLUMN(AG357)-COLUMN($E$5),4)&gt;0,INDEX('Surface DEET'!$Q$9:$W$38,COLUMN(AG357)-COLUMN($E$5),4),$E364),0)</f>
        <v>0</v>
      </c>
      <c r="AH364" s="295">
        <f>IF(AH$6=$C364,IF(INDEX('Surface DEET'!$Q$9:$W$38,COLUMN(AH357)-COLUMN($E$5),4)&gt;0,INDEX('Surface DEET'!$Q$9:$W$38,COLUMN(AH357)-COLUMN($E$5),4),$E364),0)</f>
        <v>0</v>
      </c>
      <c r="AI364" s="295">
        <f>IF(AI$6=$C364,INDEX('Surface DEET'!$Q$9:$W$38,COLUMN(AI357)-COLUMN($E$5),4),0)</f>
        <v>0</v>
      </c>
    </row>
    <row r="365" spans="2:35">
      <c r="B365" s="295" t="s">
        <v>552</v>
      </c>
      <c r="C365" s="295" t="s">
        <v>688</v>
      </c>
    </row>
    <row r="366" spans="2:35">
      <c r="B366" s="295" t="s">
        <v>542</v>
      </c>
      <c r="C366" s="295" t="s">
        <v>688</v>
      </c>
      <c r="D366" s="295" t="s">
        <v>542</v>
      </c>
      <c r="F366" s="295">
        <f>$E$360*($E$362*(F364/$E$364)+(1-$E$362)*(F363/$E$363))+0.28*$E$359*(F363-$E$363)/$E$363</f>
        <v>-16.240000000000002</v>
      </c>
      <c r="G366" s="295">
        <f t="shared" ref="G366:AI366" si="44">$E$360*($E$362*(G364/$E$364)+(1-$E$362)*(G363/$E$363))+0.28*$E$359*(G363-$E$363)/$E$363</f>
        <v>-16.240000000000002</v>
      </c>
      <c r="H366" s="295">
        <f t="shared" si="44"/>
        <v>-16.240000000000002</v>
      </c>
      <c r="I366" s="295">
        <f t="shared" si="44"/>
        <v>-16.240000000000002</v>
      </c>
      <c r="J366" s="295">
        <f t="shared" si="44"/>
        <v>-16.240000000000002</v>
      </c>
      <c r="K366" s="295">
        <f t="shared" si="44"/>
        <v>-16.240000000000002</v>
      </c>
      <c r="L366" s="295">
        <f t="shared" si="44"/>
        <v>-16.240000000000002</v>
      </c>
      <c r="M366" s="295">
        <f t="shared" si="44"/>
        <v>-16.240000000000002</v>
      </c>
      <c r="N366" s="295">
        <f t="shared" si="44"/>
        <v>-16.240000000000002</v>
      </c>
      <c r="O366" s="295">
        <f t="shared" si="44"/>
        <v>-16.240000000000002</v>
      </c>
      <c r="P366" s="295">
        <f t="shared" si="44"/>
        <v>-16.240000000000002</v>
      </c>
      <c r="Q366" s="295">
        <f t="shared" si="44"/>
        <v>-16.240000000000002</v>
      </c>
      <c r="R366" s="295">
        <f t="shared" si="44"/>
        <v>-16.240000000000002</v>
      </c>
      <c r="S366" s="295">
        <f t="shared" si="44"/>
        <v>-16.240000000000002</v>
      </c>
      <c r="T366" s="295">
        <f t="shared" si="44"/>
        <v>-16.240000000000002</v>
      </c>
      <c r="U366" s="295">
        <f t="shared" si="44"/>
        <v>-16.240000000000002</v>
      </c>
      <c r="V366" s="295">
        <f t="shared" si="44"/>
        <v>-16.240000000000002</v>
      </c>
      <c r="W366" s="295">
        <f t="shared" si="44"/>
        <v>-16.240000000000002</v>
      </c>
      <c r="X366" s="295">
        <f t="shared" si="44"/>
        <v>-16.240000000000002</v>
      </c>
      <c r="Y366" s="295">
        <f t="shared" si="44"/>
        <v>-16.240000000000002</v>
      </c>
      <c r="Z366" s="295">
        <f t="shared" si="44"/>
        <v>-16.240000000000002</v>
      </c>
      <c r="AA366" s="295">
        <f t="shared" si="44"/>
        <v>-16.240000000000002</v>
      </c>
      <c r="AB366" s="295">
        <f t="shared" si="44"/>
        <v>-16.240000000000002</v>
      </c>
      <c r="AC366" s="295">
        <f t="shared" si="44"/>
        <v>-16.240000000000002</v>
      </c>
      <c r="AD366" s="295">
        <f t="shared" si="44"/>
        <v>-16.240000000000002</v>
      </c>
      <c r="AE366" s="295">
        <f t="shared" si="44"/>
        <v>-16.240000000000002</v>
      </c>
      <c r="AF366" s="295">
        <f t="shared" si="44"/>
        <v>-16.240000000000002</v>
      </c>
      <c r="AG366" s="295">
        <f t="shared" si="44"/>
        <v>-16.240000000000002</v>
      </c>
      <c r="AH366" s="295">
        <f t="shared" si="44"/>
        <v>-16.240000000000002</v>
      </c>
      <c r="AI366" s="295">
        <f t="shared" si="44"/>
        <v>-16.240000000000002</v>
      </c>
    </row>
    <row r="367" spans="2:35">
      <c r="B367" s="93" t="s">
        <v>301</v>
      </c>
      <c r="C367" s="295" t="s">
        <v>689</v>
      </c>
      <c r="D367" s="93" t="s">
        <v>301</v>
      </c>
      <c r="E367" s="295">
        <f t="array" ref="E367">INDEX(CABS_CVC!$C$3:$O$894,MATCH(1, (CABS_CVC!$A$3:$A$894=Calculs_CABS!C367)*(CABS_CVC!$B$3:$B$894=Calculs_CABS!$D$2),0),MATCH(Calculs_CABS!$D$1,Liste_CABS!$B$3:$B$15,0))</f>
        <v>50</v>
      </c>
    </row>
    <row r="368" spans="2:35">
      <c r="B368" s="295" t="s">
        <v>543</v>
      </c>
      <c r="C368" s="295" t="s">
        <v>689</v>
      </c>
      <c r="D368" s="295" t="s">
        <v>543</v>
      </c>
      <c r="E368" s="295">
        <v>477</v>
      </c>
    </row>
    <row r="369" spans="2:35">
      <c r="B369" s="295" t="s">
        <v>544</v>
      </c>
      <c r="C369" s="295" t="s">
        <v>689</v>
      </c>
      <c r="D369" s="295" t="s">
        <v>544</v>
      </c>
      <c r="E369" s="295">
        <f>E367+E368</f>
        <v>527</v>
      </c>
    </row>
    <row r="370" spans="2:35">
      <c r="B370" s="295" t="s">
        <v>545</v>
      </c>
      <c r="C370" s="295" t="s">
        <v>689</v>
      </c>
      <c r="D370" s="295" t="s">
        <v>545</v>
      </c>
      <c r="E370" s="295">
        <v>0.95</v>
      </c>
    </row>
    <row r="371" spans="2:35">
      <c r="B371" s="295" t="s">
        <v>546</v>
      </c>
      <c r="C371" s="295" t="s">
        <v>689</v>
      </c>
      <c r="D371" s="295" t="s">
        <v>690</v>
      </c>
      <c r="E371" s="295">
        <v>3120</v>
      </c>
      <c r="F371" s="295">
        <f>IF(F$6=$C371,IF(INDEX('Surface DEET'!$Q$9:$W$38,COLUMN(F364)-COLUMN($E$5),1)&gt;0,INDEX('Surface DEET'!$Q$9:$W$38,COLUMN(F364)-COLUMN($E$5),1),$E371),0)</f>
        <v>0</v>
      </c>
      <c r="G371" s="295">
        <f>IF(G$6=$C371,IF(INDEX('Surface DEET'!$Q$9:$W$38,COLUMN(G364)-COLUMN($E$5),1)&gt;0,INDEX('Surface DEET'!$Q$9:$W$38,COLUMN(G364)-COLUMN($E$5),1),$E371),0)</f>
        <v>0</v>
      </c>
      <c r="H371" s="295">
        <f>IF(H$6=$C371,IF(INDEX('Surface DEET'!$Q$9:$W$38,COLUMN(H364)-COLUMN($E$5),1)&gt;0,INDEX('Surface DEET'!$Q$9:$W$38,COLUMN(H364)-COLUMN($E$5),1),$E371),0)</f>
        <v>0</v>
      </c>
      <c r="I371" s="295">
        <f>IF(I$6=$C371,IF(INDEX('Surface DEET'!$Q$9:$W$38,COLUMN(I364)-COLUMN($E$5),1)&gt;0,INDEX('Surface DEET'!$Q$9:$W$38,COLUMN(I364)-COLUMN($E$5),1),$E371),0)</f>
        <v>0</v>
      </c>
      <c r="J371" s="295">
        <f>IF(J$6=$C371,IF(INDEX('Surface DEET'!$Q$9:$W$38,COLUMN(J364)-COLUMN($E$5),1)&gt;0,INDEX('Surface DEET'!$Q$9:$W$38,COLUMN(J364)-COLUMN($E$5),1),$E371),0)</f>
        <v>0</v>
      </c>
      <c r="K371" s="295">
        <f>IF(K$6=$C371,IF(INDEX('Surface DEET'!$Q$9:$W$38,COLUMN(K364)-COLUMN($E$5),1)&gt;0,INDEX('Surface DEET'!$Q$9:$W$38,COLUMN(K364)-COLUMN($E$5),1),$E371),0)</f>
        <v>0</v>
      </c>
      <c r="L371" s="295">
        <f>IF(L$6=$C371,IF(INDEX('Surface DEET'!$Q$9:$W$38,COLUMN(L364)-COLUMN($E$5),1)&gt;0,INDEX('Surface DEET'!$Q$9:$W$38,COLUMN(L364)-COLUMN($E$5),1),$E371),0)</f>
        <v>0</v>
      </c>
      <c r="M371" s="295">
        <f>IF(M$6=$C371,IF(INDEX('Surface DEET'!$Q$9:$W$38,COLUMN(M364)-COLUMN($E$5),1)&gt;0,INDEX('Surface DEET'!$Q$9:$W$38,COLUMN(M364)-COLUMN($E$5),1),$E371),0)</f>
        <v>0</v>
      </c>
      <c r="N371" s="295">
        <f>IF(N$6=$C371,IF(INDEX('Surface DEET'!$Q$9:$W$38,COLUMN(N364)-COLUMN($E$5),1)&gt;0,INDEX('Surface DEET'!$Q$9:$W$38,COLUMN(N364)-COLUMN($E$5),1),$E371),0)</f>
        <v>0</v>
      </c>
      <c r="O371" s="295">
        <f>IF(O$6=$C371,IF(INDEX('Surface DEET'!$Q$9:$W$38,COLUMN(O364)-COLUMN($E$5),1)&gt;0,INDEX('Surface DEET'!$Q$9:$W$38,COLUMN(O364)-COLUMN($E$5),1),$E371),0)</f>
        <v>0</v>
      </c>
      <c r="P371" s="295">
        <f>IF(P$6=$C371,IF(INDEX('Surface DEET'!$Q$9:$W$38,COLUMN(P364)-COLUMN($E$5),1)&gt;0,INDEX('Surface DEET'!$Q$9:$W$38,COLUMN(P364)-COLUMN($E$5),1),$E371),0)</f>
        <v>0</v>
      </c>
      <c r="Q371" s="295">
        <f>IF(Q$6=$C371,IF(INDEX('Surface DEET'!$Q$9:$W$38,COLUMN(Q364)-COLUMN($E$5),1)&gt;0,INDEX('Surface DEET'!$Q$9:$W$38,COLUMN(Q364)-COLUMN($E$5),1),$E371),0)</f>
        <v>0</v>
      </c>
      <c r="R371" s="295">
        <f>IF(R$6=$C371,IF(INDEX('Surface DEET'!$Q$9:$W$38,COLUMN(R364)-COLUMN($E$5),1)&gt;0,INDEX('Surface DEET'!$Q$9:$W$38,COLUMN(R364)-COLUMN($E$5),1),$E371),0)</f>
        <v>0</v>
      </c>
      <c r="S371" s="295">
        <f>IF(S$6=$C371,IF(INDEX('Surface DEET'!$Q$9:$W$38,COLUMN(S364)-COLUMN($E$5),1)&gt;0,INDEX('Surface DEET'!$Q$9:$W$38,COLUMN(S364)-COLUMN($E$5),1),$E371),0)</f>
        <v>0</v>
      </c>
      <c r="T371" s="295">
        <f>IF(T$6=$C371,IF(INDEX('Surface DEET'!$Q$9:$W$38,COLUMN(T364)-COLUMN($E$5),1)&gt;0,INDEX('Surface DEET'!$Q$9:$W$38,COLUMN(T364)-COLUMN($E$5),1),$E371),0)</f>
        <v>0</v>
      </c>
      <c r="U371" s="295">
        <f>IF(U$6=$C371,IF(INDEX('Surface DEET'!$Q$9:$W$38,COLUMN(U364)-COLUMN($E$5),1)&gt;0,INDEX('Surface DEET'!$Q$9:$W$38,COLUMN(U364)-COLUMN($E$5),1),$E371),0)</f>
        <v>0</v>
      </c>
      <c r="V371" s="295">
        <f>IF(V$6=$C371,IF(INDEX('Surface DEET'!$Q$9:$W$38,COLUMN(V364)-COLUMN($E$5),1)&gt;0,INDEX('Surface DEET'!$Q$9:$W$38,COLUMN(V364)-COLUMN($E$5),1),$E371),0)</f>
        <v>0</v>
      </c>
      <c r="W371" s="295">
        <f>IF(W$6=$C371,IF(INDEX('Surface DEET'!$Q$9:$W$38,COLUMN(W364)-COLUMN($E$5),1)&gt;0,INDEX('Surface DEET'!$Q$9:$W$38,COLUMN(W364)-COLUMN($E$5),1),$E371),0)</f>
        <v>0</v>
      </c>
      <c r="X371" s="295">
        <f>IF(X$6=$C371,IF(INDEX('Surface DEET'!$Q$9:$W$38,COLUMN(X364)-COLUMN($E$5),1)&gt;0,INDEX('Surface DEET'!$Q$9:$W$38,COLUMN(X364)-COLUMN($E$5),1),$E371),0)</f>
        <v>0</v>
      </c>
      <c r="Y371" s="295">
        <f>IF(Y$6=$C371,IF(INDEX('Surface DEET'!$Q$9:$W$38,COLUMN(Y364)-COLUMN($E$5),1)&gt;0,INDEX('Surface DEET'!$Q$9:$W$38,COLUMN(Y364)-COLUMN($E$5),1),$E371),0)</f>
        <v>0</v>
      </c>
      <c r="Z371" s="295">
        <f>IF(Z$6=$C371,IF(INDEX('Surface DEET'!$Q$9:$W$38,COLUMN(Z364)-COLUMN($E$5),1)&gt;0,INDEX('Surface DEET'!$Q$9:$W$38,COLUMN(Z364)-COLUMN($E$5),1),$E371),0)</f>
        <v>0</v>
      </c>
      <c r="AA371" s="295">
        <f>IF(AA$6=$C371,IF(INDEX('Surface DEET'!$Q$9:$W$38,COLUMN(AA364)-COLUMN($E$5),1)&gt;0,INDEX('Surface DEET'!$Q$9:$W$38,COLUMN(AA364)-COLUMN($E$5),1),$E371),0)</f>
        <v>0</v>
      </c>
      <c r="AB371" s="295">
        <f>IF(AB$6=$C371,IF(INDEX('Surface DEET'!$Q$9:$W$38,COLUMN(AB364)-COLUMN($E$5),1)&gt;0,INDEX('Surface DEET'!$Q$9:$W$38,COLUMN(AB364)-COLUMN($E$5),1),$E371),0)</f>
        <v>0</v>
      </c>
      <c r="AC371" s="295">
        <f>IF(AC$6=$C371,IF(INDEX('Surface DEET'!$Q$9:$W$38,COLUMN(AC364)-COLUMN($E$5),1)&gt;0,INDEX('Surface DEET'!$Q$9:$W$38,COLUMN(AC364)-COLUMN($E$5),1),$E371),0)</f>
        <v>0</v>
      </c>
      <c r="AD371" s="295">
        <f>IF(AD$6=$C371,IF(INDEX('Surface DEET'!$Q$9:$W$38,COLUMN(AD364)-COLUMN($E$5),1)&gt;0,INDEX('Surface DEET'!$Q$9:$W$38,COLUMN(AD364)-COLUMN($E$5),1),$E371),0)</f>
        <v>0</v>
      </c>
      <c r="AE371" s="295">
        <f>IF(AE$6=$C371,IF(INDEX('Surface DEET'!$Q$9:$W$38,COLUMN(AE364)-COLUMN($E$5),1)&gt;0,INDEX('Surface DEET'!$Q$9:$W$38,COLUMN(AE364)-COLUMN($E$5),1),$E371),0)</f>
        <v>0</v>
      </c>
      <c r="AF371" s="295">
        <f>IF(AF$6=$C371,IF(INDEX('Surface DEET'!$Q$9:$W$38,COLUMN(AF364)-COLUMN($E$5),1)&gt;0,INDEX('Surface DEET'!$Q$9:$W$38,COLUMN(AF364)-COLUMN($E$5),1),$E371),0)</f>
        <v>0</v>
      </c>
      <c r="AG371" s="295">
        <f>IF(AG$6=$C371,IF(INDEX('Surface DEET'!$Q$9:$W$38,COLUMN(AG364)-COLUMN($E$5),1)&gt;0,INDEX('Surface DEET'!$Q$9:$W$38,COLUMN(AG364)-COLUMN($E$5),1),$E371),0)</f>
        <v>0</v>
      </c>
      <c r="AH371" s="295">
        <f>IF(AH$6=$C371,IF(INDEX('Surface DEET'!$Q$9:$W$38,COLUMN(AH364)-COLUMN($E$5),1)&gt;0,INDEX('Surface DEET'!$Q$9:$W$38,COLUMN(AH364)-COLUMN($E$5),1),$E371),0)</f>
        <v>0</v>
      </c>
      <c r="AI371" s="295">
        <f>IF(AI$6=$C371,INDEX('Surface DEET'!$Q$9:$W$38,COLUMN(AI364)-COLUMN($E$5),1),0)</f>
        <v>0</v>
      </c>
    </row>
    <row r="372" spans="2:35">
      <c r="B372" s="295" t="s">
        <v>549</v>
      </c>
      <c r="C372" s="295" t="s">
        <v>689</v>
      </c>
      <c r="D372" s="295" t="s">
        <v>691</v>
      </c>
      <c r="E372" s="295">
        <v>391</v>
      </c>
      <c r="F372" s="295">
        <f>IF(F$6=$C372,IF(INDEX('Surface DEET'!$Q$9:$W$38,COLUMN(F365)-COLUMN($E$5),4)&gt;0,INDEX('Surface DEET'!$Q$9:$W$38,COLUMN(F365)-COLUMN($E$5),4),$E372),0)</f>
        <v>0</v>
      </c>
      <c r="G372" s="295">
        <f>IF(G$6=$C372,IF(INDEX('Surface DEET'!$Q$9:$W$38,COLUMN(G365)-COLUMN($E$5),4)&gt;0,INDEX('Surface DEET'!$Q$9:$W$38,COLUMN(G365)-COLUMN($E$5),4),$E372),0)</f>
        <v>0</v>
      </c>
      <c r="H372" s="295">
        <f>IF(H$6=$C372,IF(INDEX('Surface DEET'!$Q$9:$W$38,COLUMN(H365)-COLUMN($E$5),4)&gt;0,INDEX('Surface DEET'!$Q$9:$W$38,COLUMN(H365)-COLUMN($E$5),4),$E372),0)</f>
        <v>0</v>
      </c>
      <c r="I372" s="295">
        <f>IF(I$6=$C372,IF(INDEX('Surface DEET'!$Q$9:$W$38,COLUMN(I365)-COLUMN($E$5),4)&gt;0,INDEX('Surface DEET'!$Q$9:$W$38,COLUMN(I365)-COLUMN($E$5),4),$E372),0)</f>
        <v>0</v>
      </c>
      <c r="J372" s="295">
        <f>IF(J$6=$C372,IF(INDEX('Surface DEET'!$Q$9:$W$38,COLUMN(J365)-COLUMN($E$5),4)&gt;0,INDEX('Surface DEET'!$Q$9:$W$38,COLUMN(J365)-COLUMN($E$5),4),$E372),0)</f>
        <v>0</v>
      </c>
      <c r="K372" s="295">
        <f>IF(K$6=$C372,IF(INDEX('Surface DEET'!$Q$9:$W$38,COLUMN(K365)-COLUMN($E$5),4)&gt;0,INDEX('Surface DEET'!$Q$9:$W$38,COLUMN(K365)-COLUMN($E$5),4),$E372),0)</f>
        <v>0</v>
      </c>
      <c r="L372" s="295">
        <f>IF(L$6=$C372,IF(INDEX('Surface DEET'!$Q$9:$W$38,COLUMN(L365)-COLUMN($E$5),4)&gt;0,INDEX('Surface DEET'!$Q$9:$W$38,COLUMN(L365)-COLUMN($E$5),4),$E372),0)</f>
        <v>0</v>
      </c>
      <c r="M372" s="295">
        <f>IF(M$6=$C372,IF(INDEX('Surface DEET'!$Q$9:$W$38,COLUMN(M365)-COLUMN($E$5),4)&gt;0,INDEX('Surface DEET'!$Q$9:$W$38,COLUMN(M365)-COLUMN($E$5),4),$E372),0)</f>
        <v>0</v>
      </c>
      <c r="N372" s="295">
        <f>IF(N$6=$C372,IF(INDEX('Surface DEET'!$Q$9:$W$38,COLUMN(N365)-COLUMN($E$5),4)&gt;0,INDEX('Surface DEET'!$Q$9:$W$38,COLUMN(N365)-COLUMN($E$5),4),$E372),0)</f>
        <v>0</v>
      </c>
      <c r="O372" s="295">
        <f>IF(O$6=$C372,IF(INDEX('Surface DEET'!$Q$9:$W$38,COLUMN(O365)-COLUMN($E$5),4)&gt;0,INDEX('Surface DEET'!$Q$9:$W$38,COLUMN(O365)-COLUMN($E$5),4),$E372),0)</f>
        <v>0</v>
      </c>
      <c r="P372" s="295">
        <f>IF(P$6=$C372,IF(INDEX('Surface DEET'!$Q$9:$W$38,COLUMN(P365)-COLUMN($E$5),4)&gt;0,INDEX('Surface DEET'!$Q$9:$W$38,COLUMN(P365)-COLUMN($E$5),4),$E372),0)</f>
        <v>0</v>
      </c>
      <c r="Q372" s="295">
        <f>IF(Q$6=$C372,IF(INDEX('Surface DEET'!$Q$9:$W$38,COLUMN(Q365)-COLUMN($E$5),4)&gt;0,INDEX('Surface DEET'!$Q$9:$W$38,COLUMN(Q365)-COLUMN($E$5),4),$E372),0)</f>
        <v>0</v>
      </c>
      <c r="R372" s="295">
        <f>IF(R$6=$C372,IF(INDEX('Surface DEET'!$Q$9:$W$38,COLUMN(R365)-COLUMN($E$5),4)&gt;0,INDEX('Surface DEET'!$Q$9:$W$38,COLUMN(R365)-COLUMN($E$5),4),$E372),0)</f>
        <v>0</v>
      </c>
      <c r="S372" s="295">
        <f>IF(S$6=$C372,IF(INDEX('Surface DEET'!$Q$9:$W$38,COLUMN(S365)-COLUMN($E$5),4)&gt;0,INDEX('Surface DEET'!$Q$9:$W$38,COLUMN(S365)-COLUMN($E$5),4),$E372),0)</f>
        <v>0</v>
      </c>
      <c r="T372" s="295">
        <f>IF(T$6=$C372,IF(INDEX('Surface DEET'!$Q$9:$W$38,COLUMN(T365)-COLUMN($E$5),4)&gt;0,INDEX('Surface DEET'!$Q$9:$W$38,COLUMN(T365)-COLUMN($E$5),4),$E372),0)</f>
        <v>0</v>
      </c>
      <c r="U372" s="295">
        <f>IF(U$6=$C372,IF(INDEX('Surface DEET'!$Q$9:$W$38,COLUMN(U365)-COLUMN($E$5),4)&gt;0,INDEX('Surface DEET'!$Q$9:$W$38,COLUMN(U365)-COLUMN($E$5),4),$E372),0)</f>
        <v>0</v>
      </c>
      <c r="V372" s="295">
        <f>IF(V$6=$C372,IF(INDEX('Surface DEET'!$Q$9:$W$38,COLUMN(V365)-COLUMN($E$5),4)&gt;0,INDEX('Surface DEET'!$Q$9:$W$38,COLUMN(V365)-COLUMN($E$5),4),$E372),0)</f>
        <v>0</v>
      </c>
      <c r="W372" s="295">
        <f>IF(W$6=$C372,IF(INDEX('Surface DEET'!$Q$9:$W$38,COLUMN(W365)-COLUMN($E$5),4)&gt;0,INDEX('Surface DEET'!$Q$9:$W$38,COLUMN(W365)-COLUMN($E$5),4),$E372),0)</f>
        <v>0</v>
      </c>
      <c r="X372" s="295">
        <f>IF(X$6=$C372,IF(INDEX('Surface DEET'!$Q$9:$W$38,COLUMN(X365)-COLUMN($E$5),4)&gt;0,INDEX('Surface DEET'!$Q$9:$W$38,COLUMN(X365)-COLUMN($E$5),4),$E372),0)</f>
        <v>0</v>
      </c>
      <c r="Y372" s="295">
        <f>IF(Y$6=$C372,IF(INDEX('Surface DEET'!$Q$9:$W$38,COLUMN(Y365)-COLUMN($E$5),4)&gt;0,INDEX('Surface DEET'!$Q$9:$W$38,COLUMN(Y365)-COLUMN($E$5),4),$E372),0)</f>
        <v>0</v>
      </c>
      <c r="Z372" s="295">
        <f>IF(Z$6=$C372,IF(INDEX('Surface DEET'!$Q$9:$W$38,COLUMN(Z365)-COLUMN($E$5),4)&gt;0,INDEX('Surface DEET'!$Q$9:$W$38,COLUMN(Z365)-COLUMN($E$5),4),$E372),0)</f>
        <v>0</v>
      </c>
      <c r="AA372" s="295">
        <f>IF(AA$6=$C372,IF(INDEX('Surface DEET'!$Q$9:$W$38,COLUMN(AA365)-COLUMN($E$5),4)&gt;0,INDEX('Surface DEET'!$Q$9:$W$38,COLUMN(AA365)-COLUMN($E$5),4),$E372),0)</f>
        <v>0</v>
      </c>
      <c r="AB372" s="295">
        <f>IF(AB$6=$C372,IF(INDEX('Surface DEET'!$Q$9:$W$38,COLUMN(AB365)-COLUMN($E$5),4)&gt;0,INDEX('Surface DEET'!$Q$9:$W$38,COLUMN(AB365)-COLUMN($E$5),4),$E372),0)</f>
        <v>0</v>
      </c>
      <c r="AC372" s="295">
        <f>IF(AC$6=$C372,IF(INDEX('Surface DEET'!$Q$9:$W$38,COLUMN(AC365)-COLUMN($E$5),4)&gt;0,INDEX('Surface DEET'!$Q$9:$W$38,COLUMN(AC365)-COLUMN($E$5),4),$E372),0)</f>
        <v>0</v>
      </c>
      <c r="AD372" s="295">
        <f>IF(AD$6=$C372,IF(INDEX('Surface DEET'!$Q$9:$W$38,COLUMN(AD365)-COLUMN($E$5),4)&gt;0,INDEX('Surface DEET'!$Q$9:$W$38,COLUMN(AD365)-COLUMN($E$5),4),$E372),0)</f>
        <v>0</v>
      </c>
      <c r="AE372" s="295">
        <f>IF(AE$6=$C372,IF(INDEX('Surface DEET'!$Q$9:$W$38,COLUMN(AE365)-COLUMN($E$5),4)&gt;0,INDEX('Surface DEET'!$Q$9:$W$38,COLUMN(AE365)-COLUMN($E$5),4),$E372),0)</f>
        <v>0</v>
      </c>
      <c r="AF372" s="295">
        <f>IF(AF$6=$C372,IF(INDEX('Surface DEET'!$Q$9:$W$38,COLUMN(AF365)-COLUMN($E$5),4)&gt;0,INDEX('Surface DEET'!$Q$9:$W$38,COLUMN(AF365)-COLUMN($E$5),4),$E372),0)</f>
        <v>0</v>
      </c>
      <c r="AG372" s="295">
        <f>IF(AG$6=$C372,IF(INDEX('Surface DEET'!$Q$9:$W$38,COLUMN(AG365)-COLUMN($E$5),4)&gt;0,INDEX('Surface DEET'!$Q$9:$W$38,COLUMN(AG365)-COLUMN($E$5),4),$E372),0)</f>
        <v>0</v>
      </c>
      <c r="AH372" s="295">
        <f>IF(AH$6=$C372,IF(INDEX('Surface DEET'!$Q$9:$W$38,COLUMN(AH365)-COLUMN($E$5),4)&gt;0,INDEX('Surface DEET'!$Q$9:$W$38,COLUMN(AH365)-COLUMN($E$5),4),$E372),0)</f>
        <v>0</v>
      </c>
      <c r="AI372" s="295">
        <f>IF(AI$6=$C372,INDEX('Surface DEET'!$Q$9:$W$38,COLUMN(AI365)-COLUMN($E$5),4),0)</f>
        <v>0</v>
      </c>
    </row>
    <row r="373" spans="2:35">
      <c r="B373" s="295" t="s">
        <v>552</v>
      </c>
      <c r="C373" s="295" t="s">
        <v>689</v>
      </c>
    </row>
    <row r="374" spans="2:35">
      <c r="B374" s="295" t="s">
        <v>542</v>
      </c>
      <c r="C374" s="295" t="s">
        <v>689</v>
      </c>
      <c r="D374" s="295" t="s">
        <v>542</v>
      </c>
      <c r="F374" s="295">
        <f>$E$368*($E$370*(F372/$E$372)+(1-$E$370)*(F371/$E$371))+0.28*$E$367*(F371-$E$371)/$E$371</f>
        <v>-14.000000000000002</v>
      </c>
      <c r="G374" s="295">
        <f t="shared" ref="G374:AI374" si="45">$E$368*($E$370*(G372/$E$372)+(1-$E$370)*(G371/$E$371))+0.28*$E$367*(G371-$E$371)/$E$371</f>
        <v>-14.000000000000002</v>
      </c>
      <c r="H374" s="295">
        <f t="shared" si="45"/>
        <v>-14.000000000000002</v>
      </c>
      <c r="I374" s="295">
        <f t="shared" si="45"/>
        <v>-14.000000000000002</v>
      </c>
      <c r="J374" s="295">
        <f t="shared" si="45"/>
        <v>-14.000000000000002</v>
      </c>
      <c r="K374" s="295">
        <f t="shared" si="45"/>
        <v>-14.000000000000002</v>
      </c>
      <c r="L374" s="295">
        <f t="shared" si="45"/>
        <v>-14.000000000000002</v>
      </c>
      <c r="M374" s="295">
        <f t="shared" si="45"/>
        <v>-14.000000000000002</v>
      </c>
      <c r="N374" s="295">
        <f t="shared" si="45"/>
        <v>-14.000000000000002</v>
      </c>
      <c r="O374" s="295">
        <f t="shared" si="45"/>
        <v>-14.000000000000002</v>
      </c>
      <c r="P374" s="295">
        <f t="shared" si="45"/>
        <v>-14.000000000000002</v>
      </c>
      <c r="Q374" s="295">
        <f t="shared" si="45"/>
        <v>-14.000000000000002</v>
      </c>
      <c r="R374" s="295">
        <f t="shared" si="45"/>
        <v>-14.000000000000002</v>
      </c>
      <c r="S374" s="295">
        <f t="shared" si="45"/>
        <v>-14.000000000000002</v>
      </c>
      <c r="T374" s="295">
        <f t="shared" si="45"/>
        <v>-14.000000000000002</v>
      </c>
      <c r="U374" s="295">
        <f t="shared" si="45"/>
        <v>-14.000000000000002</v>
      </c>
      <c r="V374" s="295">
        <f t="shared" si="45"/>
        <v>-14.000000000000002</v>
      </c>
      <c r="W374" s="295">
        <f t="shared" si="45"/>
        <v>-14.000000000000002</v>
      </c>
      <c r="X374" s="295">
        <f t="shared" si="45"/>
        <v>-14.000000000000002</v>
      </c>
      <c r="Y374" s="295">
        <f t="shared" si="45"/>
        <v>-14.000000000000002</v>
      </c>
      <c r="Z374" s="295">
        <f t="shared" si="45"/>
        <v>-14.000000000000002</v>
      </c>
      <c r="AA374" s="295">
        <f t="shared" si="45"/>
        <v>-14.000000000000002</v>
      </c>
      <c r="AB374" s="295">
        <f t="shared" si="45"/>
        <v>-14.000000000000002</v>
      </c>
      <c r="AC374" s="295">
        <f t="shared" si="45"/>
        <v>-14.000000000000002</v>
      </c>
      <c r="AD374" s="295">
        <f t="shared" si="45"/>
        <v>-14.000000000000002</v>
      </c>
      <c r="AE374" s="295">
        <f t="shared" si="45"/>
        <v>-14.000000000000002</v>
      </c>
      <c r="AF374" s="295">
        <f t="shared" si="45"/>
        <v>-14.000000000000002</v>
      </c>
      <c r="AG374" s="295">
        <f t="shared" si="45"/>
        <v>-14.000000000000002</v>
      </c>
      <c r="AH374" s="295">
        <f t="shared" si="45"/>
        <v>-14.000000000000002</v>
      </c>
      <c r="AI374" s="295">
        <f t="shared" si="45"/>
        <v>-14.000000000000002</v>
      </c>
    </row>
    <row r="375" spans="2:35">
      <c r="B375" s="93" t="s">
        <v>301</v>
      </c>
      <c r="C375" s="295" t="s">
        <v>692</v>
      </c>
      <c r="D375" s="93" t="s">
        <v>301</v>
      </c>
      <c r="E375" s="295">
        <f t="array" ref="E375">INDEX(CABS_CVC!$C$3:$O$894,MATCH(1, (CABS_CVC!$A$3:$A$894=Calculs_CABS!C375)*(CABS_CVC!$B$3:$B$894=Calculs_CABS!$D$2),0),MATCH(Calculs_CABS!$D$1,Liste_CABS!$B$3:$B$15,0))</f>
        <v>50</v>
      </c>
    </row>
    <row r="376" spans="2:35">
      <c r="B376" s="295" t="s">
        <v>543</v>
      </c>
      <c r="C376" s="295" t="s">
        <v>692</v>
      </c>
      <c r="D376" s="295" t="s">
        <v>543</v>
      </c>
      <c r="E376" s="295">
        <v>166</v>
      </c>
    </row>
    <row r="377" spans="2:35">
      <c r="B377" s="295" t="s">
        <v>544</v>
      </c>
      <c r="C377" s="295" t="s">
        <v>692</v>
      </c>
      <c r="D377" s="295" t="s">
        <v>544</v>
      </c>
      <c r="E377" s="295">
        <f>E375+E376</f>
        <v>216</v>
      </c>
    </row>
    <row r="378" spans="2:35">
      <c r="B378" s="295" t="s">
        <v>545</v>
      </c>
      <c r="C378" s="295" t="s">
        <v>692</v>
      </c>
      <c r="D378" s="295" t="s">
        <v>545</v>
      </c>
      <c r="E378" s="295">
        <v>0.85</v>
      </c>
    </row>
    <row r="379" spans="2:35">
      <c r="B379" s="295" t="s">
        <v>546</v>
      </c>
      <c r="C379" s="295" t="s">
        <v>692</v>
      </c>
      <c r="D379" s="295" t="s">
        <v>690</v>
      </c>
      <c r="E379" s="295">
        <v>3120</v>
      </c>
      <c r="F379" s="295">
        <f>IF(F$6=$C379,IF(INDEX('Surface DEET'!$Q$9:$W$38,COLUMN(F372)-COLUMN($E$5),1)&gt;0,INDEX('Surface DEET'!$Q$9:$W$38,COLUMN(F372)-COLUMN($E$5),1),$E379),0)</f>
        <v>0</v>
      </c>
      <c r="G379" s="295">
        <f>IF(G$6=$C379,IF(INDEX('Surface DEET'!$Q$9:$W$38,COLUMN(G372)-COLUMN($E$5),1)&gt;0,INDEX('Surface DEET'!$Q$9:$W$38,COLUMN(G372)-COLUMN($E$5),1),$E379),0)</f>
        <v>0</v>
      </c>
      <c r="H379" s="295">
        <f>IF(H$6=$C379,IF(INDEX('Surface DEET'!$Q$9:$W$38,COLUMN(H372)-COLUMN($E$5),1)&gt;0,INDEX('Surface DEET'!$Q$9:$W$38,COLUMN(H372)-COLUMN($E$5),1),$E379),0)</f>
        <v>0</v>
      </c>
      <c r="I379" s="295">
        <f>IF(I$6=$C379,IF(INDEX('Surface DEET'!$Q$9:$W$38,COLUMN(I372)-COLUMN($E$5),1)&gt;0,INDEX('Surface DEET'!$Q$9:$W$38,COLUMN(I372)-COLUMN($E$5),1),$E379),0)</f>
        <v>0</v>
      </c>
      <c r="J379" s="295">
        <f>IF(J$6=$C379,IF(INDEX('Surface DEET'!$Q$9:$W$38,COLUMN(J372)-COLUMN($E$5),1)&gt;0,INDEX('Surface DEET'!$Q$9:$W$38,COLUMN(J372)-COLUMN($E$5),1),$E379),0)</f>
        <v>0</v>
      </c>
      <c r="K379" s="295">
        <f>IF(K$6=$C379,IF(INDEX('Surface DEET'!$Q$9:$W$38,COLUMN(K372)-COLUMN($E$5),1)&gt;0,INDEX('Surface DEET'!$Q$9:$W$38,COLUMN(K372)-COLUMN($E$5),1),$E379),0)</f>
        <v>0</v>
      </c>
      <c r="L379" s="295">
        <f>IF(L$6=$C379,IF(INDEX('Surface DEET'!$Q$9:$W$38,COLUMN(L372)-COLUMN($E$5),1)&gt;0,INDEX('Surface DEET'!$Q$9:$W$38,COLUMN(L372)-COLUMN($E$5),1),$E379),0)</f>
        <v>0</v>
      </c>
      <c r="M379" s="295">
        <f>IF(M$6=$C379,IF(INDEX('Surface DEET'!$Q$9:$W$38,COLUMN(M372)-COLUMN($E$5),1)&gt;0,INDEX('Surface DEET'!$Q$9:$W$38,COLUMN(M372)-COLUMN($E$5),1),$E379),0)</f>
        <v>0</v>
      </c>
      <c r="N379" s="295">
        <f>IF(N$6=$C379,IF(INDEX('Surface DEET'!$Q$9:$W$38,COLUMN(N372)-COLUMN($E$5),1)&gt;0,INDEX('Surface DEET'!$Q$9:$W$38,COLUMN(N372)-COLUMN($E$5),1),$E379),0)</f>
        <v>0</v>
      </c>
      <c r="O379" s="295">
        <f>IF(O$6=$C379,IF(INDEX('Surface DEET'!$Q$9:$W$38,COLUMN(O372)-COLUMN($E$5),1)&gt;0,INDEX('Surface DEET'!$Q$9:$W$38,COLUMN(O372)-COLUMN($E$5),1),$E379),0)</f>
        <v>0</v>
      </c>
      <c r="P379" s="295">
        <f>IF(P$6=$C379,IF(INDEX('Surface DEET'!$Q$9:$W$38,COLUMN(P372)-COLUMN($E$5),1)&gt;0,INDEX('Surface DEET'!$Q$9:$W$38,COLUMN(P372)-COLUMN($E$5),1),$E379),0)</f>
        <v>0</v>
      </c>
      <c r="Q379" s="295">
        <f>IF(Q$6=$C379,IF(INDEX('Surface DEET'!$Q$9:$W$38,COLUMN(Q372)-COLUMN($E$5),1)&gt;0,INDEX('Surface DEET'!$Q$9:$W$38,COLUMN(Q372)-COLUMN($E$5),1),$E379),0)</f>
        <v>0</v>
      </c>
      <c r="R379" s="295">
        <f>IF(R$6=$C379,IF(INDEX('Surface DEET'!$Q$9:$W$38,COLUMN(R372)-COLUMN($E$5),1)&gt;0,INDEX('Surface DEET'!$Q$9:$W$38,COLUMN(R372)-COLUMN($E$5),1),$E379),0)</f>
        <v>0</v>
      </c>
      <c r="S379" s="295">
        <f>IF(S$6=$C379,IF(INDEX('Surface DEET'!$Q$9:$W$38,COLUMN(S372)-COLUMN($E$5),1)&gt;0,INDEX('Surface DEET'!$Q$9:$W$38,COLUMN(S372)-COLUMN($E$5),1),$E379),0)</f>
        <v>0</v>
      </c>
      <c r="T379" s="295">
        <f>IF(T$6=$C379,IF(INDEX('Surface DEET'!$Q$9:$W$38,COLUMN(T372)-COLUMN($E$5),1)&gt;0,INDEX('Surface DEET'!$Q$9:$W$38,COLUMN(T372)-COLUMN($E$5),1),$E379),0)</f>
        <v>0</v>
      </c>
      <c r="U379" s="295">
        <f>IF(U$6=$C379,IF(INDEX('Surface DEET'!$Q$9:$W$38,COLUMN(U372)-COLUMN($E$5),1)&gt;0,INDEX('Surface DEET'!$Q$9:$W$38,COLUMN(U372)-COLUMN($E$5),1),$E379),0)</f>
        <v>0</v>
      </c>
      <c r="V379" s="295">
        <f>IF(V$6=$C379,IF(INDEX('Surface DEET'!$Q$9:$W$38,COLUMN(V372)-COLUMN($E$5),1)&gt;0,INDEX('Surface DEET'!$Q$9:$W$38,COLUMN(V372)-COLUMN($E$5),1),$E379),0)</f>
        <v>0</v>
      </c>
      <c r="W379" s="295">
        <f>IF(W$6=$C379,IF(INDEX('Surface DEET'!$Q$9:$W$38,COLUMN(W372)-COLUMN($E$5),1)&gt;0,INDEX('Surface DEET'!$Q$9:$W$38,COLUMN(W372)-COLUMN($E$5),1),$E379),0)</f>
        <v>0</v>
      </c>
      <c r="X379" s="295">
        <f>IF(X$6=$C379,IF(INDEX('Surface DEET'!$Q$9:$W$38,COLUMN(X372)-COLUMN($E$5),1)&gt;0,INDEX('Surface DEET'!$Q$9:$W$38,COLUMN(X372)-COLUMN($E$5),1),$E379),0)</f>
        <v>0</v>
      </c>
      <c r="Y379" s="295">
        <f>IF(Y$6=$C379,IF(INDEX('Surface DEET'!$Q$9:$W$38,COLUMN(Y372)-COLUMN($E$5),1)&gt;0,INDEX('Surface DEET'!$Q$9:$W$38,COLUMN(Y372)-COLUMN($E$5),1),$E379),0)</f>
        <v>0</v>
      </c>
      <c r="Z379" s="295">
        <f>IF(Z$6=$C379,IF(INDEX('Surface DEET'!$Q$9:$W$38,COLUMN(Z372)-COLUMN($E$5),1)&gt;0,INDEX('Surface DEET'!$Q$9:$W$38,COLUMN(Z372)-COLUMN($E$5),1),$E379),0)</f>
        <v>0</v>
      </c>
      <c r="AA379" s="295">
        <f>IF(AA$6=$C379,IF(INDEX('Surface DEET'!$Q$9:$W$38,COLUMN(AA372)-COLUMN($E$5),1)&gt;0,INDEX('Surface DEET'!$Q$9:$W$38,COLUMN(AA372)-COLUMN($E$5),1),$E379),0)</f>
        <v>0</v>
      </c>
      <c r="AB379" s="295">
        <f>IF(AB$6=$C379,IF(INDEX('Surface DEET'!$Q$9:$W$38,COLUMN(AB372)-COLUMN($E$5),1)&gt;0,INDEX('Surface DEET'!$Q$9:$W$38,COLUMN(AB372)-COLUMN($E$5),1),$E379),0)</f>
        <v>0</v>
      </c>
      <c r="AC379" s="295">
        <f>IF(AC$6=$C379,IF(INDEX('Surface DEET'!$Q$9:$W$38,COLUMN(AC372)-COLUMN($E$5),1)&gt;0,INDEX('Surface DEET'!$Q$9:$W$38,COLUMN(AC372)-COLUMN($E$5),1),$E379),0)</f>
        <v>0</v>
      </c>
      <c r="AD379" s="295">
        <f>IF(AD$6=$C379,IF(INDEX('Surface DEET'!$Q$9:$W$38,COLUMN(AD372)-COLUMN($E$5),1)&gt;0,INDEX('Surface DEET'!$Q$9:$W$38,COLUMN(AD372)-COLUMN($E$5),1),$E379),0)</f>
        <v>0</v>
      </c>
      <c r="AE379" s="295">
        <f>IF(AE$6=$C379,IF(INDEX('Surface DEET'!$Q$9:$W$38,COLUMN(AE372)-COLUMN($E$5),1)&gt;0,INDEX('Surface DEET'!$Q$9:$W$38,COLUMN(AE372)-COLUMN($E$5),1),$E379),0)</f>
        <v>0</v>
      </c>
      <c r="AF379" s="295">
        <f>IF(AF$6=$C379,IF(INDEX('Surface DEET'!$Q$9:$W$38,COLUMN(AF372)-COLUMN($E$5),1)&gt;0,INDEX('Surface DEET'!$Q$9:$W$38,COLUMN(AF372)-COLUMN($E$5),1),$E379),0)</f>
        <v>0</v>
      </c>
      <c r="AG379" s="295">
        <f>IF(AG$6=$C379,IF(INDEX('Surface DEET'!$Q$9:$W$38,COLUMN(AG372)-COLUMN($E$5),1)&gt;0,INDEX('Surface DEET'!$Q$9:$W$38,COLUMN(AG372)-COLUMN($E$5),1),$E379),0)</f>
        <v>0</v>
      </c>
      <c r="AH379" s="295">
        <f>IF(AH$6=$C379,IF(INDEX('Surface DEET'!$Q$9:$W$38,COLUMN(AH372)-COLUMN($E$5),1)&gt;0,INDEX('Surface DEET'!$Q$9:$W$38,COLUMN(AH372)-COLUMN($E$5),1),$E379),0)</f>
        <v>0</v>
      </c>
      <c r="AI379" s="295">
        <f>IF(AI$6=$C379,INDEX('Surface DEET'!$Q$9:$W$38,COLUMN(AI372)-COLUMN($E$5),1),0)</f>
        <v>0</v>
      </c>
    </row>
    <row r="380" spans="2:35">
      <c r="B380" s="295" t="s">
        <v>549</v>
      </c>
      <c r="C380" s="295" t="s">
        <v>692</v>
      </c>
      <c r="D380" s="295" t="s">
        <v>691</v>
      </c>
      <c r="E380" s="295">
        <v>95</v>
      </c>
      <c r="F380" s="295">
        <f>IF(F$6=$C380,IF(INDEX('Surface DEET'!$Q$9:$W$38,COLUMN(F373)-COLUMN($E$5),4)&gt;0,INDEX('Surface DEET'!$Q$9:$W$38,COLUMN(F373)-COLUMN($E$5),4),$E380),0)</f>
        <v>0</v>
      </c>
      <c r="G380" s="295">
        <f>IF(G$6=$C380,IF(INDEX('Surface DEET'!$Q$9:$W$38,COLUMN(G373)-COLUMN($E$5),4)&gt;0,INDEX('Surface DEET'!$Q$9:$W$38,COLUMN(G373)-COLUMN($E$5),4),$E380),0)</f>
        <v>0</v>
      </c>
      <c r="H380" s="295">
        <f>IF(H$6=$C380,IF(INDEX('Surface DEET'!$Q$9:$W$38,COLUMN(H373)-COLUMN($E$5),4)&gt;0,INDEX('Surface DEET'!$Q$9:$W$38,COLUMN(H373)-COLUMN($E$5),4),$E380),0)</f>
        <v>0</v>
      </c>
      <c r="I380" s="295">
        <f>IF(I$6=$C380,IF(INDEX('Surface DEET'!$Q$9:$W$38,COLUMN(I373)-COLUMN($E$5),4)&gt;0,INDEX('Surface DEET'!$Q$9:$W$38,COLUMN(I373)-COLUMN($E$5),4),$E380),0)</f>
        <v>0</v>
      </c>
      <c r="J380" s="295">
        <f>IF(J$6=$C380,IF(INDEX('Surface DEET'!$Q$9:$W$38,COLUMN(J373)-COLUMN($E$5),4)&gt;0,INDEX('Surface DEET'!$Q$9:$W$38,COLUMN(J373)-COLUMN($E$5),4),$E380),0)</f>
        <v>0</v>
      </c>
      <c r="K380" s="295">
        <f>IF(K$6=$C380,IF(INDEX('Surface DEET'!$Q$9:$W$38,COLUMN(K373)-COLUMN($E$5),4)&gt;0,INDEX('Surface DEET'!$Q$9:$W$38,COLUMN(K373)-COLUMN($E$5),4),$E380),0)</f>
        <v>0</v>
      </c>
      <c r="L380" s="295">
        <f>IF(L$6=$C380,IF(INDEX('Surface DEET'!$Q$9:$W$38,COLUMN(L373)-COLUMN($E$5),4)&gt;0,INDEX('Surface DEET'!$Q$9:$W$38,COLUMN(L373)-COLUMN($E$5),4),$E380),0)</f>
        <v>0</v>
      </c>
      <c r="M380" s="295">
        <f>IF(M$6=$C380,IF(INDEX('Surface DEET'!$Q$9:$W$38,COLUMN(M373)-COLUMN($E$5),4)&gt;0,INDEX('Surface DEET'!$Q$9:$W$38,COLUMN(M373)-COLUMN($E$5),4),$E380),0)</f>
        <v>0</v>
      </c>
      <c r="N380" s="295">
        <f>IF(N$6=$C380,IF(INDEX('Surface DEET'!$Q$9:$W$38,COLUMN(N373)-COLUMN($E$5),4)&gt;0,INDEX('Surface DEET'!$Q$9:$W$38,COLUMN(N373)-COLUMN($E$5),4),$E380),0)</f>
        <v>0</v>
      </c>
      <c r="O380" s="295">
        <f>IF(O$6=$C380,IF(INDEX('Surface DEET'!$Q$9:$W$38,COLUMN(O373)-COLUMN($E$5),4)&gt;0,INDEX('Surface DEET'!$Q$9:$W$38,COLUMN(O373)-COLUMN($E$5),4),$E380),0)</f>
        <v>0</v>
      </c>
      <c r="P380" s="295">
        <f>IF(P$6=$C380,IF(INDEX('Surface DEET'!$Q$9:$W$38,COLUMN(P373)-COLUMN($E$5),4)&gt;0,INDEX('Surface DEET'!$Q$9:$W$38,COLUMN(P373)-COLUMN($E$5),4),$E380),0)</f>
        <v>0</v>
      </c>
      <c r="Q380" s="295">
        <f>IF(Q$6=$C380,IF(INDEX('Surface DEET'!$Q$9:$W$38,COLUMN(Q373)-COLUMN($E$5),4)&gt;0,INDEX('Surface DEET'!$Q$9:$W$38,COLUMN(Q373)-COLUMN($E$5),4),$E380),0)</f>
        <v>0</v>
      </c>
      <c r="R380" s="295">
        <f>IF(R$6=$C380,IF(INDEX('Surface DEET'!$Q$9:$W$38,COLUMN(R373)-COLUMN($E$5),4)&gt;0,INDEX('Surface DEET'!$Q$9:$W$38,COLUMN(R373)-COLUMN($E$5),4),$E380),0)</f>
        <v>0</v>
      </c>
      <c r="S380" s="295">
        <f>IF(S$6=$C380,IF(INDEX('Surface DEET'!$Q$9:$W$38,COLUMN(S373)-COLUMN($E$5),4)&gt;0,INDEX('Surface DEET'!$Q$9:$W$38,COLUMN(S373)-COLUMN($E$5),4),$E380),0)</f>
        <v>0</v>
      </c>
      <c r="T380" s="295">
        <f>IF(T$6=$C380,IF(INDEX('Surface DEET'!$Q$9:$W$38,COLUMN(T373)-COLUMN($E$5),4)&gt;0,INDEX('Surface DEET'!$Q$9:$W$38,COLUMN(T373)-COLUMN($E$5),4),$E380),0)</f>
        <v>0</v>
      </c>
      <c r="U380" s="295">
        <f>IF(U$6=$C380,IF(INDEX('Surface DEET'!$Q$9:$W$38,COLUMN(U373)-COLUMN($E$5),4)&gt;0,INDEX('Surface DEET'!$Q$9:$W$38,COLUMN(U373)-COLUMN($E$5),4),$E380),0)</f>
        <v>0</v>
      </c>
      <c r="V380" s="295">
        <f>IF(V$6=$C380,IF(INDEX('Surface DEET'!$Q$9:$W$38,COLUMN(V373)-COLUMN($E$5),4)&gt;0,INDEX('Surface DEET'!$Q$9:$W$38,COLUMN(V373)-COLUMN($E$5),4),$E380),0)</f>
        <v>0</v>
      </c>
      <c r="W380" s="295">
        <f>IF(W$6=$C380,IF(INDEX('Surface DEET'!$Q$9:$W$38,COLUMN(W373)-COLUMN($E$5),4)&gt;0,INDEX('Surface DEET'!$Q$9:$W$38,COLUMN(W373)-COLUMN($E$5),4),$E380),0)</f>
        <v>0</v>
      </c>
      <c r="X380" s="295">
        <f>IF(X$6=$C380,IF(INDEX('Surface DEET'!$Q$9:$W$38,COLUMN(X373)-COLUMN($E$5),4)&gt;0,INDEX('Surface DEET'!$Q$9:$W$38,COLUMN(X373)-COLUMN($E$5),4),$E380),0)</f>
        <v>0</v>
      </c>
      <c r="Y380" s="295">
        <f>IF(Y$6=$C380,IF(INDEX('Surface DEET'!$Q$9:$W$38,COLUMN(Y373)-COLUMN($E$5),4)&gt;0,INDEX('Surface DEET'!$Q$9:$W$38,COLUMN(Y373)-COLUMN($E$5),4),$E380),0)</f>
        <v>0</v>
      </c>
      <c r="Z380" s="295">
        <f>IF(Z$6=$C380,IF(INDEX('Surface DEET'!$Q$9:$W$38,COLUMN(Z373)-COLUMN($E$5),4)&gt;0,INDEX('Surface DEET'!$Q$9:$W$38,COLUMN(Z373)-COLUMN($E$5),4),$E380),0)</f>
        <v>0</v>
      </c>
      <c r="AA380" s="295">
        <f>IF(AA$6=$C380,IF(INDEX('Surface DEET'!$Q$9:$W$38,COLUMN(AA373)-COLUMN($E$5),4)&gt;0,INDEX('Surface DEET'!$Q$9:$W$38,COLUMN(AA373)-COLUMN($E$5),4),$E380),0)</f>
        <v>0</v>
      </c>
      <c r="AB380" s="295">
        <f>IF(AB$6=$C380,IF(INDEX('Surface DEET'!$Q$9:$W$38,COLUMN(AB373)-COLUMN($E$5),4)&gt;0,INDEX('Surface DEET'!$Q$9:$W$38,COLUMN(AB373)-COLUMN($E$5),4),$E380),0)</f>
        <v>0</v>
      </c>
      <c r="AC380" s="295">
        <f>IF(AC$6=$C380,IF(INDEX('Surface DEET'!$Q$9:$W$38,COLUMN(AC373)-COLUMN($E$5),4)&gt;0,INDEX('Surface DEET'!$Q$9:$W$38,COLUMN(AC373)-COLUMN($E$5),4),$E380),0)</f>
        <v>0</v>
      </c>
      <c r="AD380" s="295">
        <f>IF(AD$6=$C380,IF(INDEX('Surface DEET'!$Q$9:$W$38,COLUMN(AD373)-COLUMN($E$5),4)&gt;0,INDEX('Surface DEET'!$Q$9:$W$38,COLUMN(AD373)-COLUMN($E$5),4),$E380),0)</f>
        <v>0</v>
      </c>
      <c r="AE380" s="295">
        <f>IF(AE$6=$C380,IF(INDEX('Surface DEET'!$Q$9:$W$38,COLUMN(AE373)-COLUMN($E$5),4)&gt;0,INDEX('Surface DEET'!$Q$9:$W$38,COLUMN(AE373)-COLUMN($E$5),4),$E380),0)</f>
        <v>0</v>
      </c>
      <c r="AF380" s="295">
        <f>IF(AF$6=$C380,IF(INDEX('Surface DEET'!$Q$9:$W$38,COLUMN(AF373)-COLUMN($E$5),4)&gt;0,INDEX('Surface DEET'!$Q$9:$W$38,COLUMN(AF373)-COLUMN($E$5),4),$E380),0)</f>
        <v>0</v>
      </c>
      <c r="AG380" s="295">
        <f>IF(AG$6=$C380,IF(INDEX('Surface DEET'!$Q$9:$W$38,COLUMN(AG373)-COLUMN($E$5),4)&gt;0,INDEX('Surface DEET'!$Q$9:$W$38,COLUMN(AG373)-COLUMN($E$5),4),$E380),0)</f>
        <v>0</v>
      </c>
      <c r="AH380" s="295">
        <f>IF(AH$6=$C380,IF(INDEX('Surface DEET'!$Q$9:$W$38,COLUMN(AH373)-COLUMN($E$5),4)&gt;0,INDEX('Surface DEET'!$Q$9:$W$38,COLUMN(AH373)-COLUMN($E$5),4),$E380),0)</f>
        <v>0</v>
      </c>
      <c r="AI380" s="295">
        <f>IF(AI$6=$C380,INDEX('Surface DEET'!$Q$9:$W$38,COLUMN(AI373)-COLUMN($E$5),4),0)</f>
        <v>0</v>
      </c>
    </row>
    <row r="381" spans="2:35">
      <c r="B381" s="295" t="s">
        <v>552</v>
      </c>
      <c r="C381" s="295" t="s">
        <v>692</v>
      </c>
    </row>
    <row r="382" spans="2:35">
      <c r="B382" s="295" t="s">
        <v>542</v>
      </c>
      <c r="C382" s="295" t="s">
        <v>692</v>
      </c>
      <c r="D382" s="295" t="s">
        <v>542</v>
      </c>
      <c r="F382" s="295">
        <f>$E$376*($E$378*(F380/$E$380)+(1-$E$378)*(F379/$E$379))+0.28*$E$375*(F379-$E$379)/$E$379</f>
        <v>-14.000000000000002</v>
      </c>
      <c r="G382" s="295">
        <f t="shared" ref="G382:AI382" si="46">$E$376*($E$378*(G380/$E$380)+(1-$E$378)*(G379/$E$379))+0.28*$E$375*(G379-$E$379)/$E$379</f>
        <v>-14.000000000000002</v>
      </c>
      <c r="H382" s="295">
        <f t="shared" si="46"/>
        <v>-14.000000000000002</v>
      </c>
      <c r="I382" s="295">
        <f t="shared" si="46"/>
        <v>-14.000000000000002</v>
      </c>
      <c r="J382" s="295">
        <f t="shared" si="46"/>
        <v>-14.000000000000002</v>
      </c>
      <c r="K382" s="295">
        <f t="shared" si="46"/>
        <v>-14.000000000000002</v>
      </c>
      <c r="L382" s="295">
        <f t="shared" si="46"/>
        <v>-14.000000000000002</v>
      </c>
      <c r="M382" s="295">
        <f t="shared" si="46"/>
        <v>-14.000000000000002</v>
      </c>
      <c r="N382" s="295">
        <f t="shared" si="46"/>
        <v>-14.000000000000002</v>
      </c>
      <c r="O382" s="295">
        <f t="shared" si="46"/>
        <v>-14.000000000000002</v>
      </c>
      <c r="P382" s="295">
        <f t="shared" si="46"/>
        <v>-14.000000000000002</v>
      </c>
      <c r="Q382" s="295">
        <f t="shared" si="46"/>
        <v>-14.000000000000002</v>
      </c>
      <c r="R382" s="295">
        <f t="shared" si="46"/>
        <v>-14.000000000000002</v>
      </c>
      <c r="S382" s="295">
        <f t="shared" si="46"/>
        <v>-14.000000000000002</v>
      </c>
      <c r="T382" s="295">
        <f t="shared" si="46"/>
        <v>-14.000000000000002</v>
      </c>
      <c r="U382" s="295">
        <f t="shared" si="46"/>
        <v>-14.000000000000002</v>
      </c>
      <c r="V382" s="295">
        <f t="shared" si="46"/>
        <v>-14.000000000000002</v>
      </c>
      <c r="W382" s="295">
        <f t="shared" si="46"/>
        <v>-14.000000000000002</v>
      </c>
      <c r="X382" s="295">
        <f t="shared" si="46"/>
        <v>-14.000000000000002</v>
      </c>
      <c r="Y382" s="295">
        <f t="shared" si="46"/>
        <v>-14.000000000000002</v>
      </c>
      <c r="Z382" s="295">
        <f t="shared" si="46"/>
        <v>-14.000000000000002</v>
      </c>
      <c r="AA382" s="295">
        <f t="shared" si="46"/>
        <v>-14.000000000000002</v>
      </c>
      <c r="AB382" s="295">
        <f t="shared" si="46"/>
        <v>-14.000000000000002</v>
      </c>
      <c r="AC382" s="295">
        <f t="shared" si="46"/>
        <v>-14.000000000000002</v>
      </c>
      <c r="AD382" s="295">
        <f t="shared" si="46"/>
        <v>-14.000000000000002</v>
      </c>
      <c r="AE382" s="295">
        <f t="shared" si="46"/>
        <v>-14.000000000000002</v>
      </c>
      <c r="AF382" s="295">
        <f t="shared" si="46"/>
        <v>-14.000000000000002</v>
      </c>
      <c r="AG382" s="295">
        <f t="shared" si="46"/>
        <v>-14.000000000000002</v>
      </c>
      <c r="AH382" s="295">
        <f t="shared" si="46"/>
        <v>-14.000000000000002</v>
      </c>
      <c r="AI382" s="295">
        <f t="shared" si="46"/>
        <v>-14.000000000000002</v>
      </c>
    </row>
    <row r="383" spans="2:35">
      <c r="B383" s="93" t="s">
        <v>301</v>
      </c>
      <c r="C383" s="295" t="s">
        <v>693</v>
      </c>
      <c r="D383" s="93" t="s">
        <v>301</v>
      </c>
      <c r="E383" s="295">
        <f t="array" ref="E383">INDEX(CABS_CVC!$C$3:$O$894,MATCH(1, (CABS_CVC!$A$3:$A$894=Calculs_CABS!C383)*(CABS_CVC!$B$3:$B$894=Calculs_CABS!$D$2),0),MATCH(Calculs_CABS!$D$1,Liste_CABS!$B$3:$B$15,0))</f>
        <v>60</v>
      </c>
    </row>
    <row r="384" spans="2:35">
      <c r="B384" s="295" t="s">
        <v>543</v>
      </c>
      <c r="C384" s="295" t="s">
        <v>693</v>
      </c>
      <c r="D384" s="295" t="s">
        <v>543</v>
      </c>
      <c r="E384" s="295">
        <v>20</v>
      </c>
    </row>
    <row r="385" spans="2:35">
      <c r="B385" s="295" t="s">
        <v>544</v>
      </c>
      <c r="C385" s="295" t="s">
        <v>693</v>
      </c>
      <c r="D385" s="295" t="s">
        <v>544</v>
      </c>
      <c r="E385" s="295">
        <f>E383+E384</f>
        <v>80</v>
      </c>
    </row>
    <row r="386" spans="2:35">
      <c r="B386" s="295" t="s">
        <v>545</v>
      </c>
      <c r="C386" s="295" t="s">
        <v>693</v>
      </c>
      <c r="D386" s="295" t="s">
        <v>545</v>
      </c>
      <c r="E386" s="295">
        <v>0</v>
      </c>
    </row>
    <row r="387" spans="2:35">
      <c r="B387" s="295" t="s">
        <v>546</v>
      </c>
      <c r="C387" s="295" t="s">
        <v>693</v>
      </c>
      <c r="D387" s="295" t="s">
        <v>690</v>
      </c>
      <c r="E387" s="295">
        <v>1900</v>
      </c>
      <c r="F387" s="295">
        <f>IF(F$6=$C387,IF(INDEX('Surface DEET'!$Q$9:$W$38,COLUMN(F380)-COLUMN($E$5),1)&gt;0,INDEX('Surface DEET'!$Q$9:$W$38,COLUMN(F380)-COLUMN($E$5),1),$E387),0)</f>
        <v>0</v>
      </c>
      <c r="G387" s="295">
        <f>IF(G$6=$C387,IF(INDEX('Surface DEET'!$Q$9:$W$38,COLUMN(G380)-COLUMN($E$5),1)&gt;0,INDEX('Surface DEET'!$Q$9:$W$38,COLUMN(G380)-COLUMN($E$5),1),$E387),0)</f>
        <v>0</v>
      </c>
      <c r="H387" s="295">
        <f>IF(H$6=$C387,IF(INDEX('Surface DEET'!$Q$9:$W$38,COLUMN(H380)-COLUMN($E$5),1)&gt;0,INDEX('Surface DEET'!$Q$9:$W$38,COLUMN(H380)-COLUMN($E$5),1),$E387),0)</f>
        <v>0</v>
      </c>
      <c r="I387" s="295">
        <f>IF(I$6=$C387,IF(INDEX('Surface DEET'!$Q$9:$W$38,COLUMN(I380)-COLUMN($E$5),1)&gt;0,INDEX('Surface DEET'!$Q$9:$W$38,COLUMN(I380)-COLUMN($E$5),1),$E387),0)</f>
        <v>0</v>
      </c>
      <c r="J387" s="295">
        <f>IF(J$6=$C387,IF(INDEX('Surface DEET'!$Q$9:$W$38,COLUMN(J380)-COLUMN($E$5),1)&gt;0,INDEX('Surface DEET'!$Q$9:$W$38,COLUMN(J380)-COLUMN($E$5),1),$E387),0)</f>
        <v>0</v>
      </c>
      <c r="K387" s="295">
        <f>IF(K$6=$C387,IF(INDEX('Surface DEET'!$Q$9:$W$38,COLUMN(K380)-COLUMN($E$5),1)&gt;0,INDEX('Surface DEET'!$Q$9:$W$38,COLUMN(K380)-COLUMN($E$5),1),$E387),0)</f>
        <v>0</v>
      </c>
      <c r="L387" s="295">
        <f>IF(L$6=$C387,IF(INDEX('Surface DEET'!$Q$9:$W$38,COLUMN(L380)-COLUMN($E$5),1)&gt;0,INDEX('Surface DEET'!$Q$9:$W$38,COLUMN(L380)-COLUMN($E$5),1),$E387),0)</f>
        <v>0</v>
      </c>
      <c r="M387" s="295">
        <f>IF(M$6=$C387,IF(INDEX('Surface DEET'!$Q$9:$W$38,COLUMN(M380)-COLUMN($E$5),1)&gt;0,INDEX('Surface DEET'!$Q$9:$W$38,COLUMN(M380)-COLUMN($E$5),1),$E387),0)</f>
        <v>0</v>
      </c>
      <c r="N387" s="295">
        <f>IF(N$6=$C387,IF(INDEX('Surface DEET'!$Q$9:$W$38,COLUMN(N380)-COLUMN($E$5),1)&gt;0,INDEX('Surface DEET'!$Q$9:$W$38,COLUMN(N380)-COLUMN($E$5),1),$E387),0)</f>
        <v>0</v>
      </c>
      <c r="O387" s="295">
        <f>IF(O$6=$C387,IF(INDEX('Surface DEET'!$Q$9:$W$38,COLUMN(O380)-COLUMN($E$5),1)&gt;0,INDEX('Surface DEET'!$Q$9:$W$38,COLUMN(O380)-COLUMN($E$5),1),$E387),0)</f>
        <v>0</v>
      </c>
      <c r="P387" s="295">
        <f>IF(P$6=$C387,IF(INDEX('Surface DEET'!$Q$9:$W$38,COLUMN(P380)-COLUMN($E$5),1)&gt;0,INDEX('Surface DEET'!$Q$9:$W$38,COLUMN(P380)-COLUMN($E$5),1),$E387),0)</f>
        <v>0</v>
      </c>
      <c r="Q387" s="295">
        <f>IF(Q$6=$C387,IF(INDEX('Surface DEET'!$Q$9:$W$38,COLUMN(Q380)-COLUMN($E$5),1)&gt;0,INDEX('Surface DEET'!$Q$9:$W$38,COLUMN(Q380)-COLUMN($E$5),1),$E387),0)</f>
        <v>0</v>
      </c>
      <c r="R387" s="295">
        <f>IF(R$6=$C387,IF(INDEX('Surface DEET'!$Q$9:$W$38,COLUMN(R380)-COLUMN($E$5),1)&gt;0,INDEX('Surface DEET'!$Q$9:$W$38,COLUMN(R380)-COLUMN($E$5),1),$E387),0)</f>
        <v>0</v>
      </c>
      <c r="S387" s="295">
        <f>IF(S$6=$C387,IF(INDEX('Surface DEET'!$Q$9:$W$38,COLUMN(S380)-COLUMN($E$5),1)&gt;0,INDEX('Surface DEET'!$Q$9:$W$38,COLUMN(S380)-COLUMN($E$5),1),$E387),0)</f>
        <v>0</v>
      </c>
      <c r="T387" s="295">
        <f>IF(T$6=$C387,IF(INDEX('Surface DEET'!$Q$9:$W$38,COLUMN(T380)-COLUMN($E$5),1)&gt;0,INDEX('Surface DEET'!$Q$9:$W$38,COLUMN(T380)-COLUMN($E$5),1),$E387),0)</f>
        <v>0</v>
      </c>
      <c r="U387" s="295">
        <f>IF(U$6=$C387,IF(INDEX('Surface DEET'!$Q$9:$W$38,COLUMN(U380)-COLUMN($E$5),1)&gt;0,INDEX('Surface DEET'!$Q$9:$W$38,COLUMN(U380)-COLUMN($E$5),1),$E387),0)</f>
        <v>0</v>
      </c>
      <c r="V387" s="295">
        <f>IF(V$6=$C387,IF(INDEX('Surface DEET'!$Q$9:$W$38,COLUMN(V380)-COLUMN($E$5),1)&gt;0,INDEX('Surface DEET'!$Q$9:$W$38,COLUMN(V380)-COLUMN($E$5),1),$E387),0)</f>
        <v>0</v>
      </c>
      <c r="W387" s="295">
        <f>IF(W$6=$C387,IF(INDEX('Surface DEET'!$Q$9:$W$38,COLUMN(W380)-COLUMN($E$5),1)&gt;0,INDEX('Surface DEET'!$Q$9:$W$38,COLUMN(W380)-COLUMN($E$5),1),$E387),0)</f>
        <v>0</v>
      </c>
      <c r="X387" s="295">
        <f>IF(X$6=$C387,IF(INDEX('Surface DEET'!$Q$9:$W$38,COLUMN(X380)-COLUMN($E$5),1)&gt;0,INDEX('Surface DEET'!$Q$9:$W$38,COLUMN(X380)-COLUMN($E$5),1),$E387),0)</f>
        <v>0</v>
      </c>
      <c r="Y387" s="295">
        <f>IF(Y$6=$C387,IF(INDEX('Surface DEET'!$Q$9:$W$38,COLUMN(Y380)-COLUMN($E$5),1)&gt;0,INDEX('Surface DEET'!$Q$9:$W$38,COLUMN(Y380)-COLUMN($E$5),1),$E387),0)</f>
        <v>0</v>
      </c>
      <c r="Z387" s="295">
        <f>IF(Z$6=$C387,IF(INDEX('Surface DEET'!$Q$9:$W$38,COLUMN(Z380)-COLUMN($E$5),1)&gt;0,INDEX('Surface DEET'!$Q$9:$W$38,COLUMN(Z380)-COLUMN($E$5),1),$E387),0)</f>
        <v>0</v>
      </c>
      <c r="AA387" s="295">
        <f>IF(AA$6=$C387,IF(INDEX('Surface DEET'!$Q$9:$W$38,COLUMN(AA380)-COLUMN($E$5),1)&gt;0,INDEX('Surface DEET'!$Q$9:$W$38,COLUMN(AA380)-COLUMN($E$5),1),$E387),0)</f>
        <v>0</v>
      </c>
      <c r="AB387" s="295">
        <f>IF(AB$6=$C387,IF(INDEX('Surface DEET'!$Q$9:$W$38,COLUMN(AB380)-COLUMN($E$5),1)&gt;0,INDEX('Surface DEET'!$Q$9:$W$38,COLUMN(AB380)-COLUMN($E$5),1),$E387),0)</f>
        <v>0</v>
      </c>
      <c r="AC387" s="295">
        <f>IF(AC$6=$C387,IF(INDEX('Surface DEET'!$Q$9:$W$38,COLUMN(AC380)-COLUMN($E$5),1)&gt;0,INDEX('Surface DEET'!$Q$9:$W$38,COLUMN(AC380)-COLUMN($E$5),1),$E387),0)</f>
        <v>0</v>
      </c>
      <c r="AD387" s="295">
        <f>IF(AD$6=$C387,IF(INDEX('Surface DEET'!$Q$9:$W$38,COLUMN(AD380)-COLUMN($E$5),1)&gt;0,INDEX('Surface DEET'!$Q$9:$W$38,COLUMN(AD380)-COLUMN($E$5),1),$E387),0)</f>
        <v>0</v>
      </c>
      <c r="AE387" s="295">
        <f>IF(AE$6=$C387,IF(INDEX('Surface DEET'!$Q$9:$W$38,COLUMN(AE380)-COLUMN($E$5),1)&gt;0,INDEX('Surface DEET'!$Q$9:$W$38,COLUMN(AE380)-COLUMN($E$5),1),$E387),0)</f>
        <v>0</v>
      </c>
      <c r="AF387" s="295">
        <f>IF(AF$6=$C387,IF(INDEX('Surface DEET'!$Q$9:$W$38,COLUMN(AF380)-COLUMN($E$5),1)&gt;0,INDEX('Surface DEET'!$Q$9:$W$38,COLUMN(AF380)-COLUMN($E$5),1),$E387),0)</f>
        <v>0</v>
      </c>
      <c r="AG387" s="295">
        <f>IF(AG$6=$C387,IF(INDEX('Surface DEET'!$Q$9:$W$38,COLUMN(AG380)-COLUMN($E$5),1)&gt;0,INDEX('Surface DEET'!$Q$9:$W$38,COLUMN(AG380)-COLUMN($E$5),1),$E387),0)</f>
        <v>0</v>
      </c>
      <c r="AH387" s="295">
        <f>IF(AH$6=$C387,IF(INDEX('Surface DEET'!$Q$9:$W$38,COLUMN(AH380)-COLUMN($E$5),1)&gt;0,INDEX('Surface DEET'!$Q$9:$W$38,COLUMN(AH380)-COLUMN($E$5),1),$E387),0)</f>
        <v>0</v>
      </c>
      <c r="AI387" s="295">
        <f>IF(AI$6=$C387,IF(INDEX('Surface DEET'!$Q$9:$W$38,COLUMN(AI380)-COLUMN($E$5),1)&gt;0,INDEX('Surface DEET'!$Q$9:$W$38,COLUMN(AI380)-COLUMN($E$5),1),$E387),0)</f>
        <v>0</v>
      </c>
    </row>
    <row r="388" spans="2:35">
      <c r="B388" s="295" t="s">
        <v>542</v>
      </c>
      <c r="C388" s="295" t="s">
        <v>693</v>
      </c>
      <c r="D388" s="295" t="s">
        <v>542</v>
      </c>
      <c r="F388" s="295">
        <f>$E384*F387/$E387+0.28*$E383*(F387-$E387)/$E387</f>
        <v>-16.8</v>
      </c>
      <c r="G388" s="295">
        <f t="shared" ref="G388:AI388" si="47">$E384*G387/$E387+0.28*$E383*(G387-$E387)/$E387</f>
        <v>-16.8</v>
      </c>
      <c r="H388" s="295">
        <f t="shared" si="47"/>
        <v>-16.8</v>
      </c>
      <c r="I388" s="295">
        <f t="shared" si="47"/>
        <v>-16.8</v>
      </c>
      <c r="J388" s="295">
        <f t="shared" si="47"/>
        <v>-16.8</v>
      </c>
      <c r="K388" s="295">
        <f t="shared" si="47"/>
        <v>-16.8</v>
      </c>
      <c r="L388" s="295">
        <f t="shared" si="47"/>
        <v>-16.8</v>
      </c>
      <c r="M388" s="295">
        <f t="shared" si="47"/>
        <v>-16.8</v>
      </c>
      <c r="N388" s="295">
        <f t="shared" si="47"/>
        <v>-16.8</v>
      </c>
      <c r="O388" s="295">
        <f t="shared" si="47"/>
        <v>-16.8</v>
      </c>
      <c r="P388" s="295">
        <f t="shared" si="47"/>
        <v>-16.8</v>
      </c>
      <c r="Q388" s="295">
        <f t="shared" si="47"/>
        <v>-16.8</v>
      </c>
      <c r="R388" s="295">
        <f t="shared" si="47"/>
        <v>-16.8</v>
      </c>
      <c r="S388" s="295">
        <f t="shared" si="47"/>
        <v>-16.8</v>
      </c>
      <c r="T388" s="295">
        <f t="shared" si="47"/>
        <v>-16.8</v>
      </c>
      <c r="U388" s="295">
        <f t="shared" si="47"/>
        <v>-16.8</v>
      </c>
      <c r="V388" s="295">
        <f t="shared" si="47"/>
        <v>-16.8</v>
      </c>
      <c r="W388" s="295">
        <f t="shared" si="47"/>
        <v>-16.8</v>
      </c>
      <c r="X388" s="295">
        <f t="shared" si="47"/>
        <v>-16.8</v>
      </c>
      <c r="Y388" s="295">
        <f t="shared" si="47"/>
        <v>-16.8</v>
      </c>
      <c r="Z388" s="295">
        <f t="shared" si="47"/>
        <v>-16.8</v>
      </c>
      <c r="AA388" s="295">
        <f t="shared" si="47"/>
        <v>-16.8</v>
      </c>
      <c r="AB388" s="295">
        <f t="shared" si="47"/>
        <v>-16.8</v>
      </c>
      <c r="AC388" s="295">
        <f t="shared" si="47"/>
        <v>-16.8</v>
      </c>
      <c r="AD388" s="295">
        <f t="shared" si="47"/>
        <v>-16.8</v>
      </c>
      <c r="AE388" s="295">
        <f t="shared" si="47"/>
        <v>-16.8</v>
      </c>
      <c r="AF388" s="295">
        <f t="shared" si="47"/>
        <v>-16.8</v>
      </c>
      <c r="AG388" s="295">
        <f t="shared" si="47"/>
        <v>-16.8</v>
      </c>
      <c r="AH388" s="295">
        <f t="shared" si="47"/>
        <v>-16.8</v>
      </c>
      <c r="AI388" s="295">
        <f t="shared" si="47"/>
        <v>-16.8</v>
      </c>
    </row>
    <row r="389" spans="2:35">
      <c r="B389" s="93" t="s">
        <v>301</v>
      </c>
      <c r="C389" s="295" t="s">
        <v>694</v>
      </c>
      <c r="D389" s="93" t="s">
        <v>301</v>
      </c>
      <c r="E389" s="295">
        <f t="array" ref="E389">INDEX(CABS_CVC!$C$3:$O$894,MATCH(1, (CABS_CVC!$A$3:$A$894=Calculs_CABS!C389)*(CABS_CVC!$B$3:$B$894=Calculs_CABS!$D$2),0),MATCH(Calculs_CABS!$D$1,Liste_CABS!$B$3:$B$15,0))</f>
        <v>60</v>
      </c>
    </row>
    <row r="390" spans="2:35">
      <c r="B390" s="295" t="s">
        <v>543</v>
      </c>
      <c r="C390" s="295" t="s">
        <v>694</v>
      </c>
      <c r="D390" s="295" t="s">
        <v>543</v>
      </c>
      <c r="E390" s="295">
        <v>90</v>
      </c>
    </row>
    <row r="391" spans="2:35">
      <c r="B391" s="295" t="s">
        <v>544</v>
      </c>
      <c r="C391" s="295" t="s">
        <v>694</v>
      </c>
      <c r="D391" s="295" t="s">
        <v>544</v>
      </c>
      <c r="E391" s="295">
        <f>E389+E390</f>
        <v>150</v>
      </c>
    </row>
    <row r="392" spans="2:35">
      <c r="B392" s="295" t="s">
        <v>545</v>
      </c>
      <c r="C392" s="295" t="s">
        <v>694</v>
      </c>
      <c r="D392" s="295" t="s">
        <v>545</v>
      </c>
      <c r="E392" s="295">
        <v>0.89</v>
      </c>
    </row>
    <row r="393" spans="2:35">
      <c r="B393" s="295" t="s">
        <v>546</v>
      </c>
      <c r="C393" s="295" t="s">
        <v>694</v>
      </c>
      <c r="D393" s="295" t="s">
        <v>690</v>
      </c>
      <c r="E393" s="295">
        <v>1900</v>
      </c>
      <c r="F393" s="295">
        <f>IF(F$6=$C393,IF(INDEX('Surface DEET'!$Q$9:$W$38,COLUMN(F386)-COLUMN($E$5),1)&gt;0,INDEX('Surface DEET'!$Q$9:$W$38,COLUMN(F386)-COLUMN($E$5),1),$E393),0)</f>
        <v>0</v>
      </c>
      <c r="G393" s="295">
        <f>IF(G$6=$C393,IF(INDEX('Surface DEET'!$Q$9:$W$38,COLUMN(G386)-COLUMN($E$5),1)&gt;0,INDEX('Surface DEET'!$Q$9:$W$38,COLUMN(G386)-COLUMN($E$5),1),$E393),0)</f>
        <v>0</v>
      </c>
      <c r="H393" s="295">
        <f>IF(H$6=$C393,IF(INDEX('Surface DEET'!$Q$9:$W$38,COLUMN(H386)-COLUMN($E$5),1)&gt;0,INDEX('Surface DEET'!$Q$9:$W$38,COLUMN(H386)-COLUMN($E$5),1),$E393),0)</f>
        <v>0</v>
      </c>
      <c r="I393" s="295">
        <f>IF(I$6=$C393,IF(INDEX('Surface DEET'!$Q$9:$W$38,COLUMN(I386)-COLUMN($E$5),1)&gt;0,INDEX('Surface DEET'!$Q$9:$W$38,COLUMN(I386)-COLUMN($E$5),1),$E393),0)</f>
        <v>0</v>
      </c>
      <c r="J393" s="295">
        <f>IF(J$6=$C393,IF(INDEX('Surface DEET'!$Q$9:$W$38,COLUMN(J386)-COLUMN($E$5),1)&gt;0,INDEX('Surface DEET'!$Q$9:$W$38,COLUMN(J386)-COLUMN($E$5),1),$E393),0)</f>
        <v>0</v>
      </c>
      <c r="K393" s="295">
        <f>IF(K$6=$C393,IF(INDEX('Surface DEET'!$Q$9:$W$38,COLUMN(K386)-COLUMN($E$5),1)&gt;0,INDEX('Surface DEET'!$Q$9:$W$38,COLUMN(K386)-COLUMN($E$5),1),$E393),0)</f>
        <v>0</v>
      </c>
      <c r="L393" s="295">
        <f>IF(L$6=$C393,IF(INDEX('Surface DEET'!$Q$9:$W$38,COLUMN(L386)-COLUMN($E$5),1)&gt;0,INDEX('Surface DEET'!$Q$9:$W$38,COLUMN(L386)-COLUMN($E$5),1),$E393),0)</f>
        <v>0</v>
      </c>
      <c r="M393" s="295">
        <f>IF(M$6=$C393,IF(INDEX('Surface DEET'!$Q$9:$W$38,COLUMN(M386)-COLUMN($E$5),1)&gt;0,INDEX('Surface DEET'!$Q$9:$W$38,COLUMN(M386)-COLUMN($E$5),1),$E393),0)</f>
        <v>0</v>
      </c>
      <c r="N393" s="295">
        <f>IF(N$6=$C393,IF(INDEX('Surface DEET'!$Q$9:$W$38,COLUMN(N386)-COLUMN($E$5),1)&gt;0,INDEX('Surface DEET'!$Q$9:$W$38,COLUMN(N386)-COLUMN($E$5),1),$E393),0)</f>
        <v>0</v>
      </c>
      <c r="O393" s="295">
        <f>IF(O$6=$C393,IF(INDEX('Surface DEET'!$Q$9:$W$38,COLUMN(O386)-COLUMN($E$5),1)&gt;0,INDEX('Surface DEET'!$Q$9:$W$38,COLUMN(O386)-COLUMN($E$5),1),$E393),0)</f>
        <v>0</v>
      </c>
      <c r="P393" s="295">
        <f>IF(P$6=$C393,IF(INDEX('Surface DEET'!$Q$9:$W$38,COLUMN(P386)-COLUMN($E$5),1)&gt;0,INDEX('Surface DEET'!$Q$9:$W$38,COLUMN(P386)-COLUMN($E$5),1),$E393),0)</f>
        <v>0</v>
      </c>
      <c r="Q393" s="295">
        <f>IF(Q$6=$C393,IF(INDEX('Surface DEET'!$Q$9:$W$38,COLUMN(Q386)-COLUMN($E$5),1)&gt;0,INDEX('Surface DEET'!$Q$9:$W$38,COLUMN(Q386)-COLUMN($E$5),1),$E393),0)</f>
        <v>0</v>
      </c>
      <c r="R393" s="295">
        <f>IF(R$6=$C393,IF(INDEX('Surface DEET'!$Q$9:$W$38,COLUMN(R386)-COLUMN($E$5),1)&gt;0,INDEX('Surface DEET'!$Q$9:$W$38,COLUMN(R386)-COLUMN($E$5),1),$E393),0)</f>
        <v>0</v>
      </c>
      <c r="S393" s="295">
        <f>IF(S$6=$C393,IF(INDEX('Surface DEET'!$Q$9:$W$38,COLUMN(S386)-COLUMN($E$5),1)&gt;0,INDEX('Surface DEET'!$Q$9:$W$38,COLUMN(S386)-COLUMN($E$5),1),$E393),0)</f>
        <v>0</v>
      </c>
      <c r="T393" s="295">
        <f>IF(T$6=$C393,IF(INDEX('Surface DEET'!$Q$9:$W$38,COLUMN(T386)-COLUMN($E$5),1)&gt;0,INDEX('Surface DEET'!$Q$9:$W$38,COLUMN(T386)-COLUMN($E$5),1),$E393),0)</f>
        <v>0</v>
      </c>
      <c r="U393" s="295">
        <f>IF(U$6=$C393,IF(INDEX('Surface DEET'!$Q$9:$W$38,COLUMN(U386)-COLUMN($E$5),1)&gt;0,INDEX('Surface DEET'!$Q$9:$W$38,COLUMN(U386)-COLUMN($E$5),1),$E393),0)</f>
        <v>0</v>
      </c>
      <c r="V393" s="295">
        <f>IF(V$6=$C393,IF(INDEX('Surface DEET'!$Q$9:$W$38,COLUMN(V386)-COLUMN($E$5),1)&gt;0,INDEX('Surface DEET'!$Q$9:$W$38,COLUMN(V386)-COLUMN($E$5),1),$E393),0)</f>
        <v>0</v>
      </c>
      <c r="W393" s="295">
        <f>IF(W$6=$C393,IF(INDEX('Surface DEET'!$Q$9:$W$38,COLUMN(W386)-COLUMN($E$5),1)&gt;0,INDEX('Surface DEET'!$Q$9:$W$38,COLUMN(W386)-COLUMN($E$5),1),$E393),0)</f>
        <v>0</v>
      </c>
      <c r="X393" s="295">
        <f>IF(X$6=$C393,IF(INDEX('Surface DEET'!$Q$9:$W$38,COLUMN(X386)-COLUMN($E$5),1)&gt;0,INDEX('Surface DEET'!$Q$9:$W$38,COLUMN(X386)-COLUMN($E$5),1),$E393),0)</f>
        <v>0</v>
      </c>
      <c r="Y393" s="295">
        <f>IF(Y$6=$C393,IF(INDEX('Surface DEET'!$Q$9:$W$38,COLUMN(Y386)-COLUMN($E$5),1)&gt;0,INDEX('Surface DEET'!$Q$9:$W$38,COLUMN(Y386)-COLUMN($E$5),1),$E393),0)</f>
        <v>0</v>
      </c>
      <c r="Z393" s="295">
        <f>IF(Z$6=$C393,IF(INDEX('Surface DEET'!$Q$9:$W$38,COLUMN(Z386)-COLUMN($E$5),1)&gt;0,INDEX('Surface DEET'!$Q$9:$W$38,COLUMN(Z386)-COLUMN($E$5),1),$E393),0)</f>
        <v>0</v>
      </c>
      <c r="AA393" s="295">
        <f>IF(AA$6=$C393,IF(INDEX('Surface DEET'!$Q$9:$W$38,COLUMN(AA386)-COLUMN($E$5),1)&gt;0,INDEX('Surface DEET'!$Q$9:$W$38,COLUMN(AA386)-COLUMN($E$5),1),$E393),0)</f>
        <v>0</v>
      </c>
      <c r="AB393" s="295">
        <f>IF(AB$6=$C393,IF(INDEX('Surface DEET'!$Q$9:$W$38,COLUMN(AB386)-COLUMN($E$5),1)&gt;0,INDEX('Surface DEET'!$Q$9:$W$38,COLUMN(AB386)-COLUMN($E$5),1),$E393),0)</f>
        <v>0</v>
      </c>
      <c r="AC393" s="295">
        <f>IF(AC$6=$C393,IF(INDEX('Surface DEET'!$Q$9:$W$38,COLUMN(AC386)-COLUMN($E$5),1)&gt;0,INDEX('Surface DEET'!$Q$9:$W$38,COLUMN(AC386)-COLUMN($E$5),1),$E393),0)</f>
        <v>0</v>
      </c>
      <c r="AD393" s="295">
        <f>IF(AD$6=$C393,IF(INDEX('Surface DEET'!$Q$9:$W$38,COLUMN(AD386)-COLUMN($E$5),1)&gt;0,INDEX('Surface DEET'!$Q$9:$W$38,COLUMN(AD386)-COLUMN($E$5),1),$E393),0)</f>
        <v>0</v>
      </c>
      <c r="AE393" s="295">
        <f>IF(AE$6=$C393,IF(INDEX('Surface DEET'!$Q$9:$W$38,COLUMN(AE386)-COLUMN($E$5),1)&gt;0,INDEX('Surface DEET'!$Q$9:$W$38,COLUMN(AE386)-COLUMN($E$5),1),$E393),0)</f>
        <v>0</v>
      </c>
      <c r="AF393" s="295">
        <f>IF(AF$6=$C393,IF(INDEX('Surface DEET'!$Q$9:$W$38,COLUMN(AF386)-COLUMN($E$5),1)&gt;0,INDEX('Surface DEET'!$Q$9:$W$38,COLUMN(AF386)-COLUMN($E$5),1),$E393),0)</f>
        <v>0</v>
      </c>
      <c r="AG393" s="295">
        <f>IF(AG$6=$C393,IF(INDEX('Surface DEET'!$Q$9:$W$38,COLUMN(AG386)-COLUMN($E$5),1)&gt;0,INDEX('Surface DEET'!$Q$9:$W$38,COLUMN(AG386)-COLUMN($E$5),1),$E393),0)</f>
        <v>0</v>
      </c>
      <c r="AH393" s="295">
        <f>IF(AH$6=$C393,IF(INDEX('Surface DEET'!$Q$9:$W$38,COLUMN(AH386)-COLUMN($E$5),1)&gt;0,INDEX('Surface DEET'!$Q$9:$W$38,COLUMN(AH386)-COLUMN($E$5),1),$E393),0)</f>
        <v>0</v>
      </c>
      <c r="AI393" s="295">
        <f>IF(AI$6=$C393,INDEX('Surface DEET'!$Q$9:$W$38,COLUMN(AI386)-COLUMN($E$5),1),0)</f>
        <v>0</v>
      </c>
    </row>
    <row r="394" spans="2:35">
      <c r="B394" s="295" t="s">
        <v>549</v>
      </c>
      <c r="C394" s="295" t="s">
        <v>694</v>
      </c>
      <c r="D394" s="295" t="s">
        <v>691</v>
      </c>
      <c r="E394" s="295">
        <v>80</v>
      </c>
      <c r="F394" s="295">
        <f>IF(F$6=$C394,IF(INDEX('Surface DEET'!$Q$9:$W$38,COLUMN(F387)-COLUMN($E$5),4)&gt;0,INDEX('Surface DEET'!$Q$9:$W$38,COLUMN(F387)-COLUMN($E$5),4),$E394),0)</f>
        <v>0</v>
      </c>
      <c r="G394" s="295">
        <f>IF(G$6=$C394,IF(INDEX('Surface DEET'!$Q$9:$W$38,COLUMN(G387)-COLUMN($E$5),4)&gt;0,INDEX('Surface DEET'!$Q$9:$W$38,COLUMN(G387)-COLUMN($E$5),4),$E394),0)</f>
        <v>0</v>
      </c>
      <c r="H394" s="295">
        <f>IF(H$6=$C394,IF(INDEX('Surface DEET'!$Q$9:$W$38,COLUMN(H387)-COLUMN($E$5),4)&gt;0,INDEX('Surface DEET'!$Q$9:$W$38,COLUMN(H387)-COLUMN($E$5),4),$E394),0)</f>
        <v>0</v>
      </c>
      <c r="I394" s="295">
        <f>IF(I$6=$C394,IF(INDEX('Surface DEET'!$Q$9:$W$38,COLUMN(I387)-COLUMN($E$5),4)&gt;0,INDEX('Surface DEET'!$Q$9:$W$38,COLUMN(I387)-COLUMN($E$5),4),$E394),0)</f>
        <v>0</v>
      </c>
      <c r="J394" s="295">
        <f>IF(J$6=$C394,IF(INDEX('Surface DEET'!$Q$9:$W$38,COLUMN(J387)-COLUMN($E$5),4)&gt;0,INDEX('Surface DEET'!$Q$9:$W$38,COLUMN(J387)-COLUMN($E$5),4),$E394),0)</f>
        <v>0</v>
      </c>
      <c r="K394" s="295">
        <f>IF(K$6=$C394,IF(INDEX('Surface DEET'!$Q$9:$W$38,COLUMN(K387)-COLUMN($E$5),4)&gt;0,INDEX('Surface DEET'!$Q$9:$W$38,COLUMN(K387)-COLUMN($E$5),4),$E394),0)</f>
        <v>0</v>
      </c>
      <c r="L394" s="295">
        <f>IF(L$6=$C394,IF(INDEX('Surface DEET'!$Q$9:$W$38,COLUMN(L387)-COLUMN($E$5),4)&gt;0,INDEX('Surface DEET'!$Q$9:$W$38,COLUMN(L387)-COLUMN($E$5),4),$E394),0)</f>
        <v>0</v>
      </c>
      <c r="M394" s="295">
        <f>IF(M$6=$C394,IF(INDEX('Surface DEET'!$Q$9:$W$38,COLUMN(M387)-COLUMN($E$5),4)&gt;0,INDEX('Surface DEET'!$Q$9:$W$38,COLUMN(M387)-COLUMN($E$5),4),$E394),0)</f>
        <v>0</v>
      </c>
      <c r="N394" s="295">
        <f>IF(N$6=$C394,IF(INDEX('Surface DEET'!$Q$9:$W$38,COLUMN(N387)-COLUMN($E$5),4)&gt;0,INDEX('Surface DEET'!$Q$9:$W$38,COLUMN(N387)-COLUMN($E$5),4),$E394),0)</f>
        <v>0</v>
      </c>
      <c r="O394" s="295">
        <f>IF(O$6=$C394,IF(INDEX('Surface DEET'!$Q$9:$W$38,COLUMN(O387)-COLUMN($E$5),4)&gt;0,INDEX('Surface DEET'!$Q$9:$W$38,COLUMN(O387)-COLUMN($E$5),4),$E394),0)</f>
        <v>0</v>
      </c>
      <c r="P394" s="295">
        <f>IF(P$6=$C394,IF(INDEX('Surface DEET'!$Q$9:$W$38,COLUMN(P387)-COLUMN($E$5),4)&gt;0,INDEX('Surface DEET'!$Q$9:$W$38,COLUMN(P387)-COLUMN($E$5),4),$E394),0)</f>
        <v>0</v>
      </c>
      <c r="Q394" s="295">
        <f>IF(Q$6=$C394,IF(INDEX('Surface DEET'!$Q$9:$W$38,COLUMN(Q387)-COLUMN($E$5),4)&gt;0,INDEX('Surface DEET'!$Q$9:$W$38,COLUMN(Q387)-COLUMN($E$5),4),$E394),0)</f>
        <v>0</v>
      </c>
      <c r="R394" s="295">
        <f>IF(R$6=$C394,IF(INDEX('Surface DEET'!$Q$9:$W$38,COLUMN(R387)-COLUMN($E$5),4)&gt;0,INDEX('Surface DEET'!$Q$9:$W$38,COLUMN(R387)-COLUMN($E$5),4),$E394),0)</f>
        <v>0</v>
      </c>
      <c r="S394" s="295">
        <f>IF(S$6=$C394,IF(INDEX('Surface DEET'!$Q$9:$W$38,COLUMN(S387)-COLUMN($E$5),4)&gt;0,INDEX('Surface DEET'!$Q$9:$W$38,COLUMN(S387)-COLUMN($E$5),4),$E394),0)</f>
        <v>0</v>
      </c>
      <c r="T394" s="295">
        <f>IF(T$6=$C394,IF(INDEX('Surface DEET'!$Q$9:$W$38,COLUMN(T387)-COLUMN($E$5),4)&gt;0,INDEX('Surface DEET'!$Q$9:$W$38,COLUMN(T387)-COLUMN($E$5),4),$E394),0)</f>
        <v>0</v>
      </c>
      <c r="U394" s="295">
        <f>IF(U$6=$C394,IF(INDEX('Surface DEET'!$Q$9:$W$38,COLUMN(U387)-COLUMN($E$5),4)&gt;0,INDEX('Surface DEET'!$Q$9:$W$38,COLUMN(U387)-COLUMN($E$5),4),$E394),0)</f>
        <v>0</v>
      </c>
      <c r="V394" s="295">
        <f>IF(V$6=$C394,IF(INDEX('Surface DEET'!$Q$9:$W$38,COLUMN(V387)-COLUMN($E$5),4)&gt;0,INDEX('Surface DEET'!$Q$9:$W$38,COLUMN(V387)-COLUMN($E$5),4),$E394),0)</f>
        <v>0</v>
      </c>
      <c r="W394" s="295">
        <f>IF(W$6=$C394,IF(INDEX('Surface DEET'!$Q$9:$W$38,COLUMN(W387)-COLUMN($E$5),4)&gt;0,INDEX('Surface DEET'!$Q$9:$W$38,COLUMN(W387)-COLUMN($E$5),4),$E394),0)</f>
        <v>0</v>
      </c>
      <c r="X394" s="295">
        <f>IF(X$6=$C394,IF(INDEX('Surface DEET'!$Q$9:$W$38,COLUMN(X387)-COLUMN($E$5),4)&gt;0,INDEX('Surface DEET'!$Q$9:$W$38,COLUMN(X387)-COLUMN($E$5),4),$E394),0)</f>
        <v>0</v>
      </c>
      <c r="Y394" s="295">
        <f>IF(Y$6=$C394,IF(INDEX('Surface DEET'!$Q$9:$W$38,COLUMN(Y387)-COLUMN($E$5),4)&gt;0,INDEX('Surface DEET'!$Q$9:$W$38,COLUMN(Y387)-COLUMN($E$5),4),$E394),0)</f>
        <v>0</v>
      </c>
      <c r="Z394" s="295">
        <f>IF(Z$6=$C394,IF(INDEX('Surface DEET'!$Q$9:$W$38,COLUMN(Z387)-COLUMN($E$5),4)&gt;0,INDEX('Surface DEET'!$Q$9:$W$38,COLUMN(Z387)-COLUMN($E$5),4),$E394),0)</f>
        <v>0</v>
      </c>
      <c r="AA394" s="295">
        <f>IF(AA$6=$C394,IF(INDEX('Surface DEET'!$Q$9:$W$38,COLUMN(AA387)-COLUMN($E$5),4)&gt;0,INDEX('Surface DEET'!$Q$9:$W$38,COLUMN(AA387)-COLUMN($E$5),4),$E394),0)</f>
        <v>0</v>
      </c>
      <c r="AB394" s="295">
        <f>IF(AB$6=$C394,IF(INDEX('Surface DEET'!$Q$9:$W$38,COLUMN(AB387)-COLUMN($E$5),4)&gt;0,INDEX('Surface DEET'!$Q$9:$W$38,COLUMN(AB387)-COLUMN($E$5),4),$E394),0)</f>
        <v>0</v>
      </c>
      <c r="AC394" s="295">
        <f>IF(AC$6=$C394,IF(INDEX('Surface DEET'!$Q$9:$W$38,COLUMN(AC387)-COLUMN($E$5),4)&gt;0,INDEX('Surface DEET'!$Q$9:$W$38,COLUMN(AC387)-COLUMN($E$5),4),$E394),0)</f>
        <v>0</v>
      </c>
      <c r="AD394" s="295">
        <f>IF(AD$6=$C394,IF(INDEX('Surface DEET'!$Q$9:$W$38,COLUMN(AD387)-COLUMN($E$5),4)&gt;0,INDEX('Surface DEET'!$Q$9:$W$38,COLUMN(AD387)-COLUMN($E$5),4),$E394),0)</f>
        <v>0</v>
      </c>
      <c r="AE394" s="295">
        <f>IF(AE$6=$C394,IF(INDEX('Surface DEET'!$Q$9:$W$38,COLUMN(AE387)-COLUMN($E$5),4)&gt;0,INDEX('Surface DEET'!$Q$9:$W$38,COLUMN(AE387)-COLUMN($E$5),4),$E394),0)</f>
        <v>0</v>
      </c>
      <c r="AF394" s="295">
        <f>IF(AF$6=$C394,IF(INDEX('Surface DEET'!$Q$9:$W$38,COLUMN(AF387)-COLUMN($E$5),4)&gt;0,INDEX('Surface DEET'!$Q$9:$W$38,COLUMN(AF387)-COLUMN($E$5),4),$E394),0)</f>
        <v>0</v>
      </c>
      <c r="AG394" s="295">
        <f>IF(AG$6=$C394,IF(INDEX('Surface DEET'!$Q$9:$W$38,COLUMN(AG387)-COLUMN($E$5),4)&gt;0,INDEX('Surface DEET'!$Q$9:$W$38,COLUMN(AG387)-COLUMN($E$5),4),$E394),0)</f>
        <v>0</v>
      </c>
      <c r="AH394" s="295">
        <f>IF(AH$6=$C394,IF(INDEX('Surface DEET'!$Q$9:$W$38,COLUMN(AH387)-COLUMN($E$5),4)&gt;0,INDEX('Surface DEET'!$Q$9:$W$38,COLUMN(AH387)-COLUMN($E$5),4),$E394),0)</f>
        <v>0</v>
      </c>
      <c r="AI394" s="295">
        <f>IF(AI$6=$C394,INDEX('Surface DEET'!$Q$9:$W$38,COLUMN(AI387)-COLUMN($E$5),4),0)</f>
        <v>0</v>
      </c>
    </row>
    <row r="395" spans="2:35">
      <c r="B395" s="295" t="s">
        <v>542</v>
      </c>
      <c r="C395" s="295" t="s">
        <v>694</v>
      </c>
      <c r="D395" s="295" t="s">
        <v>542</v>
      </c>
      <c r="F395" s="295">
        <f>$E$390*($E$392*(F394/$E$394)+(1-$E$392)*(F393/$E$393))+0.28*$E$389*(F393-$E393)/$E$393</f>
        <v>-16.8</v>
      </c>
      <c r="G395" s="295">
        <f t="shared" ref="G395:AI395" si="48">$E$390*($E$392*(G394/$E$394)+(1-$E$392)*(G393/$E$393))+0.28*$E$389*(G393-$E393)/$E$393</f>
        <v>-16.8</v>
      </c>
      <c r="H395" s="295">
        <f t="shared" si="48"/>
        <v>-16.8</v>
      </c>
      <c r="I395" s="295">
        <f t="shared" si="48"/>
        <v>-16.8</v>
      </c>
      <c r="J395" s="295">
        <f t="shared" si="48"/>
        <v>-16.8</v>
      </c>
      <c r="K395" s="295">
        <f t="shared" si="48"/>
        <v>-16.8</v>
      </c>
      <c r="L395" s="295">
        <f t="shared" si="48"/>
        <v>-16.8</v>
      </c>
      <c r="M395" s="295">
        <f t="shared" si="48"/>
        <v>-16.8</v>
      </c>
      <c r="N395" s="295">
        <f t="shared" si="48"/>
        <v>-16.8</v>
      </c>
      <c r="O395" s="295">
        <f t="shared" si="48"/>
        <v>-16.8</v>
      </c>
      <c r="P395" s="295">
        <f t="shared" si="48"/>
        <v>-16.8</v>
      </c>
      <c r="Q395" s="295">
        <f t="shared" si="48"/>
        <v>-16.8</v>
      </c>
      <c r="R395" s="295">
        <f t="shared" si="48"/>
        <v>-16.8</v>
      </c>
      <c r="S395" s="295">
        <f t="shared" si="48"/>
        <v>-16.8</v>
      </c>
      <c r="T395" s="295">
        <f t="shared" si="48"/>
        <v>-16.8</v>
      </c>
      <c r="U395" s="295">
        <f t="shared" si="48"/>
        <v>-16.8</v>
      </c>
      <c r="V395" s="295">
        <f t="shared" si="48"/>
        <v>-16.8</v>
      </c>
      <c r="W395" s="295">
        <f t="shared" si="48"/>
        <v>-16.8</v>
      </c>
      <c r="X395" s="295">
        <f t="shared" si="48"/>
        <v>-16.8</v>
      </c>
      <c r="Y395" s="295">
        <f t="shared" si="48"/>
        <v>-16.8</v>
      </c>
      <c r="Z395" s="295">
        <f t="shared" si="48"/>
        <v>-16.8</v>
      </c>
      <c r="AA395" s="295">
        <f t="shared" si="48"/>
        <v>-16.8</v>
      </c>
      <c r="AB395" s="295">
        <f t="shared" si="48"/>
        <v>-16.8</v>
      </c>
      <c r="AC395" s="295">
        <f t="shared" si="48"/>
        <v>-16.8</v>
      </c>
      <c r="AD395" s="295">
        <f t="shared" si="48"/>
        <v>-16.8</v>
      </c>
      <c r="AE395" s="295">
        <f t="shared" si="48"/>
        <v>-16.8</v>
      </c>
      <c r="AF395" s="295">
        <f t="shared" si="48"/>
        <v>-16.8</v>
      </c>
      <c r="AG395" s="295">
        <f t="shared" si="48"/>
        <v>-16.8</v>
      </c>
      <c r="AH395" s="295">
        <f t="shared" si="48"/>
        <v>-16.8</v>
      </c>
      <c r="AI395" s="295">
        <f t="shared" si="48"/>
        <v>-16.8</v>
      </c>
    </row>
  </sheetData>
  <mergeCells count="20">
    <mergeCell ref="A96:A105"/>
    <mergeCell ref="A10:A16"/>
    <mergeCell ref="A17:A23"/>
    <mergeCell ref="A24:A30"/>
    <mergeCell ref="A31:A38"/>
    <mergeCell ref="A39:A46"/>
    <mergeCell ref="A47:A53"/>
    <mergeCell ref="A54:A60"/>
    <mergeCell ref="A61:A70"/>
    <mergeCell ref="A72:A77"/>
    <mergeCell ref="A78:A84"/>
    <mergeCell ref="A85:A95"/>
    <mergeCell ref="A149:A156"/>
    <mergeCell ref="A157:A164"/>
    <mergeCell ref="A106:A113"/>
    <mergeCell ref="A114:A120"/>
    <mergeCell ref="A121:A128"/>
    <mergeCell ref="A129:A136"/>
    <mergeCell ref="A137:A142"/>
    <mergeCell ref="A143:A14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4">
    <tabColor theme="5"/>
  </sheetPr>
  <dimension ref="A1:K33"/>
  <sheetViews>
    <sheetView zoomScale="115" zoomScaleNormal="115" workbookViewId="0">
      <selection activeCell="D5" sqref="D5"/>
    </sheetView>
  </sheetViews>
  <sheetFormatPr baseColWidth="10" defaultColWidth="0" defaultRowHeight="14.5" zeroHeight="1"/>
  <cols>
    <col min="1" max="11" width="11.453125" customWidth="1"/>
    <col min="12" max="16384" width="11.453125" hidden="1"/>
  </cols>
  <sheetData>
    <row r="1" spans="1:11">
      <c r="A1" s="38"/>
      <c r="B1" s="38"/>
      <c r="C1" s="38"/>
      <c r="D1" s="38"/>
      <c r="E1" s="38"/>
      <c r="F1" s="38"/>
      <c r="G1" s="38"/>
      <c r="H1" s="38"/>
      <c r="I1" s="38"/>
      <c r="J1" s="38"/>
      <c r="K1" s="38"/>
    </row>
    <row r="2" spans="1:11">
      <c r="A2" s="38"/>
      <c r="B2" s="38"/>
      <c r="C2" s="38"/>
      <c r="D2" s="38"/>
      <c r="E2" s="38"/>
      <c r="F2" s="38"/>
      <c r="G2" s="38"/>
      <c r="H2" s="38"/>
      <c r="I2" s="38"/>
      <c r="J2" s="38"/>
      <c r="K2" s="38"/>
    </row>
    <row r="3" spans="1:11">
      <c r="A3" s="38"/>
      <c r="B3" s="107" t="s">
        <v>0</v>
      </c>
      <c r="C3" s="554">
        <f>Site!C2</f>
        <v>0</v>
      </c>
      <c r="D3" s="554"/>
      <c r="E3" s="554"/>
      <c r="F3" s="38"/>
      <c r="G3" s="106" t="s">
        <v>58</v>
      </c>
      <c r="H3" s="79">
        <f>'CALCUL DEET'!R14</f>
        <v>2025</v>
      </c>
      <c r="I3" s="38"/>
      <c r="J3" s="38"/>
      <c r="K3" s="38"/>
    </row>
    <row r="4" spans="1:11">
      <c r="A4" s="38"/>
      <c r="B4" s="38"/>
      <c r="C4" s="106" t="s">
        <v>56</v>
      </c>
      <c r="D4" s="79" t="str">
        <f>DJU!A2</f>
        <v>Le Mans</v>
      </c>
      <c r="E4" s="38"/>
      <c r="F4" s="38"/>
      <c r="G4" s="106" t="s">
        <v>59</v>
      </c>
      <c r="H4" s="79" t="str">
        <f>'CALCUL DEET'!C7</f>
        <v>Année</v>
      </c>
      <c r="I4" s="38"/>
      <c r="J4" s="38"/>
      <c r="K4" s="38"/>
    </row>
    <row r="5" spans="1:11">
      <c r="A5" s="38"/>
      <c r="B5" s="38"/>
      <c r="E5" s="38"/>
      <c r="F5" s="38"/>
      <c r="G5" s="38"/>
      <c r="H5" s="38"/>
      <c r="I5" s="38"/>
      <c r="J5" s="38"/>
      <c r="K5" s="38"/>
    </row>
    <row r="6" spans="1:11">
      <c r="A6" s="38"/>
      <c r="B6" s="38"/>
      <c r="E6" s="38"/>
      <c r="F6" s="38"/>
      <c r="G6" s="38"/>
      <c r="H6" s="38"/>
      <c r="I6" s="38"/>
      <c r="J6" s="38"/>
      <c r="K6" s="38"/>
    </row>
    <row r="7" spans="1:11">
      <c r="A7" s="38"/>
      <c r="B7" s="38"/>
      <c r="C7" s="38"/>
      <c r="D7" s="38"/>
      <c r="E7" s="38"/>
      <c r="F7" s="38"/>
      <c r="G7" s="38"/>
      <c r="H7" s="38"/>
      <c r="I7" s="38"/>
      <c r="J7" s="38"/>
      <c r="K7" s="38"/>
    </row>
    <row r="8" spans="1:11">
      <c r="A8" s="38"/>
      <c r="B8" s="38"/>
      <c r="C8" s="38"/>
      <c r="D8" s="38"/>
      <c r="E8" s="38"/>
      <c r="F8" s="38"/>
      <c r="G8" s="38"/>
      <c r="H8" s="38"/>
      <c r="I8" s="38"/>
      <c r="J8" s="38"/>
      <c r="K8" s="38"/>
    </row>
    <row r="9" spans="1:11">
      <c r="A9" s="38"/>
      <c r="B9" s="38"/>
      <c r="C9" s="38"/>
      <c r="D9" s="38"/>
      <c r="E9" s="38"/>
      <c r="F9" s="38"/>
      <c r="G9" s="38"/>
      <c r="H9" s="38"/>
      <c r="I9" s="38"/>
      <c r="J9" s="38"/>
      <c r="K9" s="38"/>
    </row>
    <row r="10" spans="1:11">
      <c r="A10" s="38"/>
      <c r="B10" s="38"/>
      <c r="C10" s="38"/>
      <c r="D10" s="38"/>
      <c r="E10" s="38"/>
      <c r="F10" s="38"/>
      <c r="G10" s="38"/>
      <c r="H10" s="38"/>
      <c r="I10" s="38"/>
      <c r="J10" s="38"/>
      <c r="K10" s="38"/>
    </row>
    <row r="11" spans="1:11">
      <c r="A11" s="38"/>
      <c r="B11" s="38"/>
      <c r="C11" s="38"/>
      <c r="D11" s="38"/>
      <c r="E11" s="38"/>
      <c r="F11" s="38"/>
      <c r="G11" s="38"/>
      <c r="H11" s="38"/>
      <c r="I11" s="38"/>
      <c r="J11" s="38"/>
      <c r="K11" s="38"/>
    </row>
    <row r="12" spans="1:11">
      <c r="A12" s="38"/>
      <c r="B12" s="38"/>
      <c r="C12" s="38"/>
      <c r="D12" s="38"/>
      <c r="E12" s="38"/>
      <c r="F12" s="38"/>
      <c r="G12" s="38"/>
      <c r="H12" s="38"/>
      <c r="I12" s="38"/>
      <c r="J12" s="38"/>
      <c r="K12" s="38"/>
    </row>
    <row r="13" spans="1:11">
      <c r="A13" s="38"/>
      <c r="B13" s="38"/>
      <c r="C13" s="38"/>
      <c r="D13" s="38"/>
      <c r="E13" s="38"/>
      <c r="F13" s="38"/>
      <c r="G13" s="38"/>
      <c r="H13" s="38"/>
      <c r="I13" s="38"/>
      <c r="J13" s="38"/>
      <c r="K13" s="38"/>
    </row>
    <row r="14" spans="1:11">
      <c r="A14" s="38"/>
      <c r="B14" s="38"/>
      <c r="C14" s="38"/>
      <c r="D14" s="38"/>
      <c r="E14" s="38"/>
      <c r="F14" s="38"/>
      <c r="G14" s="38"/>
      <c r="H14" s="38"/>
      <c r="I14" s="38"/>
      <c r="J14" s="38"/>
      <c r="K14" s="38"/>
    </row>
    <row r="15" spans="1:11">
      <c r="A15" s="38"/>
      <c r="B15" s="38"/>
      <c r="C15" s="38"/>
      <c r="D15" s="38"/>
      <c r="E15" s="38"/>
      <c r="F15" s="38"/>
      <c r="G15" s="38"/>
      <c r="H15" s="38"/>
      <c r="I15" s="38"/>
      <c r="J15" s="38"/>
      <c r="K15" s="38"/>
    </row>
    <row r="16" spans="1:11">
      <c r="A16" s="38"/>
      <c r="B16" s="38"/>
      <c r="C16" s="38"/>
      <c r="D16" s="38"/>
      <c r="E16" s="38"/>
      <c r="F16" s="38"/>
      <c r="G16" s="38"/>
      <c r="H16" s="38"/>
      <c r="I16" s="38"/>
      <c r="J16" s="38"/>
      <c r="K16" s="38"/>
    </row>
    <row r="17" spans="1:11">
      <c r="A17" s="38"/>
      <c r="B17" s="38"/>
      <c r="C17" s="38"/>
      <c r="D17" s="38"/>
      <c r="E17" s="38"/>
      <c r="F17" s="38"/>
      <c r="G17" s="38"/>
      <c r="H17" s="38"/>
      <c r="I17" s="38"/>
      <c r="J17" s="38"/>
      <c r="K17" s="38"/>
    </row>
    <row r="18" spans="1:11">
      <c r="A18" s="38"/>
      <c r="B18" s="38"/>
      <c r="C18" s="38"/>
      <c r="D18" s="38"/>
      <c r="E18" s="38"/>
      <c r="F18" s="38"/>
      <c r="G18" s="38"/>
      <c r="H18" s="38"/>
      <c r="I18" s="38"/>
      <c r="J18" s="38"/>
      <c r="K18" s="38"/>
    </row>
    <row r="19" spans="1:11">
      <c r="A19" s="38"/>
      <c r="B19" s="38"/>
      <c r="C19" s="38"/>
      <c r="D19" s="38"/>
      <c r="E19" s="38"/>
      <c r="F19" s="38"/>
      <c r="G19" s="38"/>
      <c r="H19" s="38"/>
      <c r="I19" s="38"/>
      <c r="J19" s="38"/>
      <c r="K19" s="38"/>
    </row>
    <row r="20" spans="1:11">
      <c r="A20" s="38"/>
      <c r="B20" s="38"/>
      <c r="C20" s="38"/>
      <c r="D20" s="38"/>
      <c r="E20" s="38"/>
      <c r="F20" s="38"/>
      <c r="G20" s="38"/>
      <c r="H20" s="38"/>
      <c r="I20" s="38"/>
      <c r="J20" s="38"/>
      <c r="K20" s="38"/>
    </row>
    <row r="21" spans="1:11">
      <c r="A21" s="38"/>
      <c r="B21" s="38"/>
      <c r="C21" s="38"/>
      <c r="D21" s="38"/>
      <c r="E21" s="38"/>
      <c r="F21" s="38"/>
      <c r="G21" s="38"/>
      <c r="H21" s="38"/>
      <c r="I21" s="38"/>
      <c r="J21" s="38"/>
      <c r="K21" s="38"/>
    </row>
    <row r="22" spans="1:11">
      <c r="A22" s="38"/>
      <c r="B22" s="38"/>
      <c r="C22" s="38"/>
      <c r="D22" s="38"/>
      <c r="E22" s="38"/>
      <c r="F22" s="38"/>
      <c r="G22" s="38"/>
      <c r="H22" s="38"/>
      <c r="I22" s="38"/>
      <c r="J22" s="38"/>
      <c r="K22" s="38"/>
    </row>
    <row r="23" spans="1:11">
      <c r="A23" s="38"/>
      <c r="B23" s="38"/>
      <c r="C23" s="38"/>
      <c r="D23" s="38"/>
      <c r="E23" s="38"/>
      <c r="F23" s="38"/>
      <c r="G23" s="38"/>
      <c r="H23" s="38"/>
      <c r="I23" s="38"/>
      <c r="J23" s="38"/>
      <c r="K23" s="38"/>
    </row>
    <row r="24" spans="1:11">
      <c r="A24" s="38"/>
      <c r="B24" s="38"/>
      <c r="C24" s="38"/>
      <c r="D24" s="38"/>
      <c r="E24" s="38"/>
      <c r="F24" s="38"/>
      <c r="G24" s="38"/>
      <c r="H24" s="38"/>
      <c r="I24" s="38"/>
      <c r="J24" s="38"/>
      <c r="K24" s="38"/>
    </row>
    <row r="25" spans="1:11">
      <c r="A25" s="38"/>
      <c r="B25" s="38"/>
      <c r="C25" s="38"/>
      <c r="D25" s="38"/>
      <c r="E25" s="38"/>
      <c r="F25" s="38"/>
      <c r="G25" s="38"/>
      <c r="H25" s="38"/>
      <c r="I25" s="38"/>
      <c r="J25" s="38"/>
      <c r="K25" s="38"/>
    </row>
    <row r="26" spans="1:11">
      <c r="A26" s="38"/>
      <c r="B26" s="38"/>
      <c r="C26" s="38"/>
      <c r="D26" s="38"/>
      <c r="E26" s="38"/>
      <c r="F26" s="38"/>
      <c r="G26" s="38"/>
      <c r="H26" s="38"/>
      <c r="I26" s="38"/>
      <c r="J26" s="38"/>
      <c r="K26" s="38"/>
    </row>
    <row r="27" spans="1:11">
      <c r="A27" s="38"/>
      <c r="B27" s="38"/>
      <c r="C27" s="38"/>
      <c r="D27" s="38"/>
      <c r="E27" s="38"/>
      <c r="F27" s="38"/>
      <c r="G27" s="38"/>
      <c r="H27" s="38"/>
      <c r="I27" s="38"/>
      <c r="J27" s="38"/>
      <c r="K27" s="38"/>
    </row>
    <row r="28" spans="1:11">
      <c r="A28" s="38"/>
      <c r="B28" s="38"/>
      <c r="C28" s="38"/>
      <c r="D28" s="38"/>
      <c r="E28" s="38"/>
      <c r="F28" s="38"/>
      <c r="G28" s="38"/>
      <c r="H28" s="38"/>
      <c r="I28" s="38"/>
      <c r="J28" s="38"/>
      <c r="K28" s="38"/>
    </row>
    <row r="29" spans="1:11">
      <c r="A29" s="38"/>
      <c r="B29" s="38"/>
      <c r="C29" s="38"/>
      <c r="D29" s="38"/>
      <c r="E29" s="38"/>
      <c r="F29" s="38"/>
      <c r="G29" s="38"/>
      <c r="H29" s="38"/>
      <c r="I29" s="38"/>
      <c r="J29" s="38"/>
      <c r="K29" s="38"/>
    </row>
    <row r="30" spans="1:11">
      <c r="A30" s="38"/>
      <c r="B30" s="38"/>
      <c r="C30" s="38"/>
      <c r="D30" s="38"/>
      <c r="E30" s="38"/>
      <c r="F30" s="38"/>
      <c r="G30" s="38"/>
      <c r="H30" s="38"/>
      <c r="I30" s="38"/>
      <c r="J30" s="38"/>
      <c r="K30" s="38"/>
    </row>
    <row r="31" spans="1:11">
      <c r="A31" s="38"/>
      <c r="B31" s="38"/>
      <c r="C31" s="38"/>
      <c r="D31" s="38"/>
      <c r="E31" s="38"/>
      <c r="F31" s="38"/>
      <c r="G31" s="38"/>
      <c r="H31" s="38"/>
      <c r="I31" s="38"/>
      <c r="J31" s="38"/>
      <c r="K31" s="38"/>
    </row>
    <row r="32" spans="1:11">
      <c r="A32" s="38"/>
      <c r="B32" s="38"/>
      <c r="C32" s="38"/>
      <c r="D32" s="38"/>
      <c r="E32" s="38"/>
      <c r="F32" s="38"/>
      <c r="G32" s="38"/>
      <c r="H32" s="38"/>
      <c r="I32" s="38"/>
      <c r="J32" s="38"/>
      <c r="K32" s="38"/>
    </row>
    <row r="33" spans="1:11">
      <c r="A33" s="38"/>
      <c r="B33" s="38"/>
      <c r="C33" s="38"/>
      <c r="D33" s="38"/>
      <c r="E33" s="38"/>
      <c r="F33" s="38"/>
      <c r="G33" s="38"/>
      <c r="H33" s="38"/>
      <c r="I33" s="38"/>
      <c r="J33" s="38"/>
      <c r="K33" s="38"/>
    </row>
  </sheetData>
  <sheetProtection sheet="1" objects="1" scenarios="1"/>
  <protectedRanges>
    <protectedRange sqref="C3:E3" name="Plage1"/>
  </protectedRanges>
  <mergeCells count="1">
    <mergeCell ref="C3:E3"/>
  </mergeCells>
  <pageMargins left="0.7" right="0.7"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1"/>
  <dimension ref="B2:W91"/>
  <sheetViews>
    <sheetView topLeftCell="A7" zoomScale="85" zoomScaleNormal="85" workbookViewId="0">
      <selection activeCell="D36" sqref="D36"/>
    </sheetView>
  </sheetViews>
  <sheetFormatPr baseColWidth="10" defaultColWidth="11.453125" defaultRowHeight="14.5"/>
  <cols>
    <col min="2" max="2" width="18.81640625" customWidth="1"/>
    <col min="3" max="3" width="15.453125" customWidth="1"/>
    <col min="4" max="4" width="12.7265625" bestFit="1" customWidth="1"/>
    <col min="5" max="5" width="14.7265625" customWidth="1"/>
    <col min="9" max="9" width="13" customWidth="1"/>
    <col min="15" max="15" width="11.453125" customWidth="1"/>
    <col min="18" max="18" width="24.81640625" customWidth="1"/>
  </cols>
  <sheetData>
    <row r="2" spans="2:23">
      <c r="G2" t="s">
        <v>346</v>
      </c>
      <c r="H2" t="s">
        <v>347</v>
      </c>
    </row>
    <row r="3" spans="2:23">
      <c r="B3" t="s">
        <v>348</v>
      </c>
      <c r="F3" t="s">
        <v>72</v>
      </c>
      <c r="G3">
        <f>'CALCUL DEET'!V7</f>
        <v>2322.9499999999998</v>
      </c>
      <c r="H3">
        <f>'CALCUL DEET'!W7</f>
        <v>369.95</v>
      </c>
    </row>
    <row r="4" spans="2:23">
      <c r="B4" t="s">
        <v>349</v>
      </c>
    </row>
    <row r="5" spans="2:23">
      <c r="B5" t="s">
        <v>350</v>
      </c>
    </row>
    <row r="6" spans="2:23">
      <c r="B6" t="s">
        <v>351</v>
      </c>
      <c r="U6" s="408" t="s">
        <v>718</v>
      </c>
    </row>
    <row r="7" spans="2:23">
      <c r="B7" t="s">
        <v>352</v>
      </c>
      <c r="C7" t="str">
        <f>INDEX(Site!$B$7:$B$20,'CALCUL DEET'!$D$7,1)</f>
        <v>Année</v>
      </c>
      <c r="D7">
        <v>1</v>
      </c>
      <c r="Q7" t="s">
        <v>353</v>
      </c>
      <c r="U7" t="s">
        <v>715</v>
      </c>
      <c r="V7">
        <f>AVERAGE(V8:V27)</f>
        <v>2322.9499999999998</v>
      </c>
      <c r="W7" s="295">
        <f>AVERAGE(W8:W27)</f>
        <v>369.95</v>
      </c>
    </row>
    <row r="8" spans="2:23">
      <c r="Q8" t="s">
        <v>354</v>
      </c>
      <c r="R8" s="146">
        <f>ROUND(D39,1)</f>
        <v>0</v>
      </c>
      <c r="U8">
        <v>2001</v>
      </c>
      <c r="V8">
        <f>IFERROR(GETPIVOTDATA("DJU(chauffagiste)",DJU!$H$13,"annee",U8),"")</f>
        <v>2423</v>
      </c>
      <c r="W8">
        <f>IFERROR(GETPIVOTDATA("DJU(climaticien)",DJU!$L$13,"annee",U8),"")</f>
        <v>315</v>
      </c>
    </row>
    <row r="9" spans="2:23">
      <c r="D9" s="117">
        <f>IF(D10="",0,-30%)</f>
        <v>0</v>
      </c>
      <c r="E9" s="117">
        <f>IF(E10="",0,30%)</f>
        <v>0</v>
      </c>
      <c r="F9" s="117">
        <f>IF(F10="",0,-20%)</f>
        <v>0</v>
      </c>
      <c r="G9" s="117">
        <f>IF(G10="",0,20%)</f>
        <v>0</v>
      </c>
      <c r="H9" s="117">
        <f>IF(H10="",0,-30%)</f>
        <v>0</v>
      </c>
      <c r="I9" s="117">
        <f>IF(I10="",0,30%)</f>
        <v>0</v>
      </c>
      <c r="J9" s="117">
        <f>IF(J10="",0,-20%)</f>
        <v>0</v>
      </c>
      <c r="K9" s="117">
        <f>IF(K10="",0,20%)</f>
        <v>0</v>
      </c>
      <c r="L9" s="117">
        <f>IF(L10="",0,-30%)</f>
        <v>0</v>
      </c>
      <c r="M9" s="117">
        <f>IF(M10="",0,30%)</f>
        <v>0</v>
      </c>
      <c r="N9" s="117">
        <f>IF(N10="",0,-20%)</f>
        <v>0</v>
      </c>
      <c r="O9" s="117">
        <f>IF(O10="",0,20%)</f>
        <v>0</v>
      </c>
      <c r="Q9" t="s">
        <v>355</v>
      </c>
      <c r="R9">
        <f>R8*0.6</f>
        <v>0</v>
      </c>
      <c r="U9">
        <v>2002</v>
      </c>
      <c r="V9" s="406">
        <f>IFERROR(GETPIVOTDATA("DJU(chauffagiste)",DJU!$H$13,"annee",U9),"")</f>
        <v>2195</v>
      </c>
      <c r="W9" s="406">
        <f>IFERROR(GETPIVOTDATA("DJU(climaticien)",DJU!$L$13,"annee",U9),"")</f>
        <v>234</v>
      </c>
    </row>
    <row r="10" spans="2:23">
      <c r="E10" t="str">
        <f>IF(VLOOKUP('CALCUL DEET'!E11,Site!$B$8:$M$28,8,0)=0,"",VLOOKUP('CALCUL DEET'!E11,Site!$B$8:$M$28,8,0))</f>
        <v/>
      </c>
      <c r="F10" s="479" t="str">
        <f>IF(VLOOKUP('CALCUL DEET'!F11,Site!$B$8:$M$28,8,0)=0,"",VLOOKUP('CALCUL DEET'!F11,Site!$B$8:$M$28,8,0))</f>
        <v/>
      </c>
      <c r="G10" s="479" t="str">
        <f>IF(VLOOKUP('CALCUL DEET'!G11,Site!$B$8:$M$28,8,0)=0,"",VLOOKUP('CALCUL DEET'!G11,Site!$B$8:$M$28,8,0))</f>
        <v/>
      </c>
      <c r="H10" s="479" t="str">
        <f>IF(VLOOKUP('CALCUL DEET'!H11,Site!$B$8:$M$28,8,0)=0,"",VLOOKUP('CALCUL DEET'!H11,Site!$B$8:$M$28,8,0))</f>
        <v/>
      </c>
      <c r="I10" s="479" t="str">
        <f>IF(VLOOKUP('CALCUL DEET'!I11,Site!$B$8:$M$28,8,0)=0,"",VLOOKUP('CALCUL DEET'!I11,Site!$B$8:$M$28,8,0))</f>
        <v/>
      </c>
      <c r="J10" s="479" t="str">
        <f>IF(VLOOKUP('CALCUL DEET'!J11,Site!$B$8:$M$28,8,0)=0,"",VLOOKUP('CALCUL DEET'!J11,Site!$B$8:$M$28,8,0))</f>
        <v/>
      </c>
      <c r="K10" s="479" t="str">
        <f>IF(VLOOKUP('CALCUL DEET'!K11,Site!$B$8:$M$28,8,0)=0,"",VLOOKUP('CALCUL DEET'!K11,Site!$B$8:$M$28,8,0))</f>
        <v/>
      </c>
      <c r="L10" s="479" t="str">
        <f>IF(VLOOKUP('CALCUL DEET'!L11,Site!$B$8:$M$28,8,0)=0,"",VLOOKUP('CALCUL DEET'!L11,Site!$B$8:$M$28,8,0))</f>
        <v/>
      </c>
      <c r="M10" s="479" t="str">
        <f>IF(VLOOKUP('CALCUL DEET'!M11,Site!$B$8:$M$28,8,0)=0,"",VLOOKUP('CALCUL DEET'!M11,Site!$B$8:$M$28,8,0))</f>
        <v/>
      </c>
      <c r="N10" s="479" t="str">
        <f>IF(VLOOKUP('CALCUL DEET'!N11,Site!$B$8:$M$28,8,0)=0,"",VLOOKUP('CALCUL DEET'!N11,Site!$B$8:$M$28,8,0))</f>
        <v/>
      </c>
      <c r="O10" s="479" t="str">
        <f>IF(VLOOKUP('CALCUL DEET'!O11,Site!$B$8:$M$28,8,0)=0,"",VLOOKUP('CALCUL DEET'!O11,Site!$B$8:$M$28,8,0))</f>
        <v/>
      </c>
      <c r="Q10" t="s">
        <v>356</v>
      </c>
      <c r="R10">
        <f>R8*0.5</f>
        <v>0</v>
      </c>
      <c r="U10" s="406">
        <v>2003</v>
      </c>
      <c r="V10" s="406">
        <f>IFERROR(GETPIVOTDATA("DJU(chauffagiste)",DJU!$H$13,"annee",U10),"")</f>
        <v>2384</v>
      </c>
      <c r="W10" s="406">
        <f>IFERROR(GETPIVOTDATA("DJU(climaticien)",DJU!$L$13,"annee",U10),"")</f>
        <v>517</v>
      </c>
    </row>
    <row r="11" spans="2:23">
      <c r="B11" s="31" t="s">
        <v>7</v>
      </c>
      <c r="D11" t="str">
        <f>C7</f>
        <v>Année</v>
      </c>
      <c r="E11">
        <v>2020</v>
      </c>
      <c r="F11">
        <v>2021</v>
      </c>
      <c r="G11">
        <v>2022</v>
      </c>
      <c r="H11">
        <v>2023</v>
      </c>
      <c r="I11">
        <v>2024</v>
      </c>
      <c r="J11">
        <v>2025</v>
      </c>
      <c r="K11">
        <v>2026</v>
      </c>
      <c r="L11">
        <v>2027</v>
      </c>
      <c r="M11">
        <v>2028</v>
      </c>
      <c r="N11">
        <v>2029</v>
      </c>
      <c r="O11">
        <v>2030</v>
      </c>
      <c r="Q11" t="s">
        <v>357</v>
      </c>
      <c r="R11">
        <f>R8*0.4</f>
        <v>0</v>
      </c>
      <c r="U11" s="406">
        <v>2004</v>
      </c>
      <c r="V11" s="406">
        <f>IFERROR(GETPIVOTDATA("DJU(chauffagiste)",DJU!$H$13,"annee",U11),"")</f>
        <v>2472</v>
      </c>
      <c r="W11" s="406">
        <f>IFERROR(GETPIVOTDATA("DJU(climaticien)",DJU!$L$13,"annee",U11),"")</f>
        <v>341</v>
      </c>
    </row>
    <row r="12" spans="2:23">
      <c r="B12" s="555" t="s">
        <v>27</v>
      </c>
      <c r="C12" t="s">
        <v>28</v>
      </c>
      <c r="D12">
        <f>IFERROR(GETPIVOTDATA("[Measures].[Somme de Conso_kWh_PCI]",TCD_Conso!$B$3,"[Tab_concat].[Type]","[Tab_concat].[Type].&amp;[Consommation]","[Tab_concat].[Detail usage]","[Tab_concat].[Detail usage].&amp;["&amp;$C12&amp;"]","[Tab_concat].[Annee]","[Tab_concat].[Annee].&amp;["&amp;D$11&amp;"]"),0)</f>
        <v>0</v>
      </c>
      <c r="E12" s="460">
        <f>IFERROR(GETPIVOTDATA("[Measures].[Somme de Conso_kWh_PCI]",TCD_Conso!$B$3,"[Tab_concat].[Type]","[Tab_concat].[Type].&amp;[Consommation]","[Tab_concat].[Detail usage]","[Tab_concat].[Detail usage].&amp;["&amp;$C12&amp;"]","[Tab_concat].[Annee]","[Tab_concat].[Annee].&amp;["&amp;E$11&amp;"]"),0)</f>
        <v>114406.00000000009</v>
      </c>
      <c r="F12" s="460">
        <f>IFERROR(GETPIVOTDATA("[Measures].[Somme de Conso_kWh_PCI]",TCD_Conso!$B$3,"[Tab_concat].[Type]","[Tab_concat].[Type].&amp;[Consommation]","[Tab_concat].[Detail usage]","[Tab_concat].[Detail usage].&amp;["&amp;$C12&amp;"]","[Tab_concat].[Annee]","[Tab_concat].[Annee].&amp;["&amp;F$11&amp;"]"),0)</f>
        <v>120936.00000000015</v>
      </c>
      <c r="G12" s="460">
        <f>IFERROR(GETPIVOTDATA("[Measures].[Somme de Conso_kWh_PCI]",TCD_Conso!$B$3,"[Tab_concat].[Type]","[Tab_concat].[Type].&amp;[Consommation]","[Tab_concat].[Detail usage]","[Tab_concat].[Detail usage].&amp;["&amp;$C12&amp;"]","[Tab_concat].[Annee]","[Tab_concat].[Annee].&amp;["&amp;G$11&amp;"]"),0)</f>
        <v>125358.99999999997</v>
      </c>
      <c r="H12" s="460">
        <f>IFERROR(GETPIVOTDATA("[Measures].[Somme de Conso_kWh_PCI]",TCD_Conso!$B$3,"[Tab_concat].[Type]","[Tab_concat].[Type].&amp;[Consommation]","[Tab_concat].[Detail usage]","[Tab_concat].[Detail usage].&amp;["&amp;$C12&amp;"]","[Tab_concat].[Annee]","[Tab_concat].[Annee].&amp;["&amp;H$11&amp;"]"),0)</f>
        <v>123982.99999999985</v>
      </c>
      <c r="I12" s="460">
        <f>IFERROR(GETPIVOTDATA("[Measures].[Somme de Conso_kWh_PCI]",TCD_Conso!$B$3,"[Tab_concat].[Type]","[Tab_concat].[Type].&amp;[Consommation]","[Tab_concat].[Detail usage]","[Tab_concat].[Detail usage].&amp;["&amp;$C12&amp;"]","[Tab_concat].[Annee]","[Tab_concat].[Annee].&amp;["&amp;I$11&amp;"]"),0)</f>
        <v>122740.38709677407</v>
      </c>
      <c r="J12" s="460">
        <f>IFERROR(GETPIVOTDATA("[Measures].[Somme de Conso_kWh_PCI]",TCD_Conso!$B$3,"[Tab_concat].[Type]","[Tab_concat].[Type].&amp;[Consommation]","[Tab_concat].[Detail usage]","[Tab_concat].[Detail usage].&amp;["&amp;$C12&amp;"]","[Tab_concat].[Annee]","[Tab_concat].[Annee].&amp;["&amp;J$11&amp;"]"),0)</f>
        <v>127658.61290322569</v>
      </c>
      <c r="K12" s="460">
        <f>IFERROR(GETPIVOTDATA("[Measures].[Somme de Conso_kWh_PCI]",TCD_Conso!$B$3,"[Tab_concat].[Type]","[Tab_concat].[Type].&amp;[Consommation]","[Tab_concat].[Detail usage]","[Tab_concat].[Detail usage].&amp;["&amp;$C12&amp;"]","[Tab_concat].[Annee]","[Tab_concat].[Annee].&amp;["&amp;K$11&amp;"]"),0)</f>
        <v>0</v>
      </c>
      <c r="L12" s="460">
        <f>IFERROR(GETPIVOTDATA("[Measures].[Somme de Conso_kWh_PCI]",TCD_Conso!$B$3,"[Tab_concat].[Type]","[Tab_concat].[Type].&amp;[Consommation]","[Tab_concat].[Detail usage]","[Tab_concat].[Detail usage].&amp;["&amp;$C12&amp;"]","[Tab_concat].[Annee]","[Tab_concat].[Annee].&amp;["&amp;L$11&amp;"]"),0)</f>
        <v>0</v>
      </c>
      <c r="M12" s="460">
        <f>IFERROR(GETPIVOTDATA("[Measures].[Somme de Conso_kWh_PCI]",TCD_Conso!$B$3,"[Tab_concat].[Type]","[Tab_concat].[Type].&amp;[Consommation]","[Tab_concat].[Detail usage]","[Tab_concat].[Detail usage].&amp;["&amp;$C12&amp;"]","[Tab_concat].[Annee]","[Tab_concat].[Annee].&amp;["&amp;M$11&amp;"]"),0)</f>
        <v>0</v>
      </c>
      <c r="N12" s="460">
        <f>IFERROR(GETPIVOTDATA("[Measures].[Somme de Conso_kWh_PCI]",TCD_Conso!$B$3,"[Tab_concat].[Type]","[Tab_concat].[Type].&amp;[Consommation]","[Tab_concat].[Detail usage]","[Tab_concat].[Detail usage].&amp;["&amp;$C12&amp;"]","[Tab_concat].[Annee]","[Tab_concat].[Annee].&amp;["&amp;N$11&amp;"]"),0)</f>
        <v>0</v>
      </c>
      <c r="O12" s="460">
        <f>IFERROR(GETPIVOTDATA("[Measures].[Somme de Conso_kWh_PCI]",TCD_Conso!$B$3,"[Tab_concat].[Type]","[Tab_concat].[Type].&amp;[Consommation]","[Tab_concat].[Detail usage]","[Tab_concat].[Detail usage].&amp;["&amp;$C12&amp;"]","[Tab_concat].[Annee]","[Tab_concat].[Annee].&amp;["&amp;O$11&amp;"]"),0)</f>
        <v>0</v>
      </c>
      <c r="U12" s="406">
        <v>2005</v>
      </c>
      <c r="V12" s="406">
        <f>IFERROR(GETPIVOTDATA("DJU(chauffagiste)",DJU!$H$13,"annee",U12),"")</f>
        <v>2428</v>
      </c>
      <c r="W12" s="406">
        <f>IFERROR(GETPIVOTDATA("DJU(climaticien)",DJU!$L$13,"annee",U12),"")</f>
        <v>414</v>
      </c>
    </row>
    <row r="13" spans="2:23">
      <c r="B13" s="556"/>
      <c r="C13" t="s">
        <v>156</v>
      </c>
      <c r="D13" s="460">
        <f>IFERROR(GETPIVOTDATA("[Measures].[Somme de Conso_kWh_PCI]",TCD_Conso!$B$3,"[Tab_concat].[Type]","[Tab_concat].[Type].&amp;[Consommation]","[Tab_concat].[Detail usage]","[Tab_concat].[Detail usage].&amp;["&amp;$C13&amp;"]","[Tab_concat].[Annee]","[Tab_concat].[Annee].&amp;["&amp;D$11&amp;"]"),0)</f>
        <v>0</v>
      </c>
      <c r="E13" s="460">
        <f>IFERROR(GETPIVOTDATA("[Measures].[Somme de Conso_kWh_PCI]",TCD_Conso!$B$3,"[Tab_concat].[Type]","[Tab_concat].[Type].&amp;[Consommation]","[Tab_concat].[Detail usage]","[Tab_concat].[Detail usage].&amp;["&amp;$C13&amp;"]","[Tab_concat].[Annee]","[Tab_concat].[Annee].&amp;["&amp;E$11&amp;"]"),0)</f>
        <v>0</v>
      </c>
      <c r="F13" s="460">
        <f>IFERROR(GETPIVOTDATA("[Measures].[Somme de Conso_kWh_PCI]",TCD_Conso!$B$3,"[Tab_concat].[Type]","[Tab_concat].[Type].&amp;[Consommation]","[Tab_concat].[Detail usage]","[Tab_concat].[Detail usage].&amp;["&amp;$C13&amp;"]","[Tab_concat].[Annee]","[Tab_concat].[Annee].&amp;["&amp;F$11&amp;"]"),0)</f>
        <v>0</v>
      </c>
      <c r="G13" s="460">
        <f>IFERROR(GETPIVOTDATA("[Measures].[Somme de Conso_kWh_PCI]",TCD_Conso!$B$3,"[Tab_concat].[Type]","[Tab_concat].[Type].&amp;[Consommation]","[Tab_concat].[Detail usage]","[Tab_concat].[Detail usage].&amp;["&amp;$C13&amp;"]","[Tab_concat].[Annee]","[Tab_concat].[Annee].&amp;["&amp;G$11&amp;"]"),0)</f>
        <v>0</v>
      </c>
      <c r="H13" s="460">
        <f>IFERROR(GETPIVOTDATA("[Measures].[Somme de Conso_kWh_PCI]",TCD_Conso!$B$3,"[Tab_concat].[Type]","[Tab_concat].[Type].&amp;[Consommation]","[Tab_concat].[Detail usage]","[Tab_concat].[Detail usage].&amp;["&amp;$C13&amp;"]","[Tab_concat].[Annee]","[Tab_concat].[Annee].&amp;["&amp;H$11&amp;"]"),0)</f>
        <v>0</v>
      </c>
      <c r="I13" s="460">
        <f>IFERROR(GETPIVOTDATA("[Measures].[Somme de Conso_kWh_PCI]",TCD_Conso!$B$3,"[Tab_concat].[Type]","[Tab_concat].[Type].&amp;[Consommation]","[Tab_concat].[Detail usage]","[Tab_concat].[Detail usage].&amp;["&amp;$C13&amp;"]","[Tab_concat].[Annee]","[Tab_concat].[Annee].&amp;["&amp;I$11&amp;"]"),0)</f>
        <v>0</v>
      </c>
      <c r="J13" s="460">
        <f>IFERROR(GETPIVOTDATA("[Measures].[Somme de Conso_kWh_PCI]",TCD_Conso!$B$3,"[Tab_concat].[Type]","[Tab_concat].[Type].&amp;[Consommation]","[Tab_concat].[Detail usage]","[Tab_concat].[Detail usage].&amp;["&amp;$C13&amp;"]","[Tab_concat].[Annee]","[Tab_concat].[Annee].&amp;["&amp;J$11&amp;"]"),0)</f>
        <v>0</v>
      </c>
      <c r="K13" s="460">
        <f>IFERROR(GETPIVOTDATA("[Measures].[Somme de Conso_kWh_PCI]",TCD_Conso!$B$3,"[Tab_concat].[Type]","[Tab_concat].[Type].&amp;[Consommation]","[Tab_concat].[Detail usage]","[Tab_concat].[Detail usage].&amp;["&amp;$C13&amp;"]","[Tab_concat].[Annee]","[Tab_concat].[Annee].&amp;["&amp;K$11&amp;"]"),0)</f>
        <v>0</v>
      </c>
      <c r="L13" s="460">
        <f>IFERROR(GETPIVOTDATA("[Measures].[Somme de Conso_kWh_PCI]",TCD_Conso!$B$3,"[Tab_concat].[Type]","[Tab_concat].[Type].&amp;[Consommation]","[Tab_concat].[Detail usage]","[Tab_concat].[Detail usage].&amp;["&amp;$C13&amp;"]","[Tab_concat].[Annee]","[Tab_concat].[Annee].&amp;["&amp;L$11&amp;"]"),0)</f>
        <v>0</v>
      </c>
      <c r="M13" s="460">
        <f>IFERROR(GETPIVOTDATA("[Measures].[Somme de Conso_kWh_PCI]",TCD_Conso!$B$3,"[Tab_concat].[Type]","[Tab_concat].[Type].&amp;[Consommation]","[Tab_concat].[Detail usage]","[Tab_concat].[Detail usage].&amp;["&amp;$C13&amp;"]","[Tab_concat].[Annee]","[Tab_concat].[Annee].&amp;["&amp;M$11&amp;"]"),0)</f>
        <v>0</v>
      </c>
      <c r="N13" s="460">
        <f>IFERROR(GETPIVOTDATA("[Measures].[Somme de Conso_kWh_PCI]",TCD_Conso!$B$3,"[Tab_concat].[Type]","[Tab_concat].[Type].&amp;[Consommation]","[Tab_concat].[Detail usage]","[Tab_concat].[Detail usage].&amp;["&amp;$C13&amp;"]","[Tab_concat].[Annee]","[Tab_concat].[Annee].&amp;["&amp;N$11&amp;"]"),0)</f>
        <v>0</v>
      </c>
      <c r="O13" s="460">
        <f>IFERROR(GETPIVOTDATA("[Measures].[Somme de Conso_kWh_PCI]",TCD_Conso!$B$3,"[Tab_concat].[Type]","[Tab_concat].[Type].&amp;[Consommation]","[Tab_concat].[Detail usage]","[Tab_concat].[Detail usage].&amp;["&amp;$C13&amp;"]","[Tab_concat].[Annee]","[Tab_concat].[Annee].&amp;["&amp;O$11&amp;"]"),0)</f>
        <v>0</v>
      </c>
      <c r="Q13" t="s">
        <v>358</v>
      </c>
      <c r="R13">
        <v>6</v>
      </c>
      <c r="U13" s="406">
        <v>2006</v>
      </c>
      <c r="V13" s="406">
        <f>IFERROR(GETPIVOTDATA("DJU(chauffagiste)",DJU!$H$13,"annee",U13),"")</f>
        <v>2355</v>
      </c>
      <c r="W13" s="406">
        <f>IFERROR(GETPIVOTDATA("DJU(climaticien)",DJU!$L$13,"annee",U13),"")</f>
        <v>454</v>
      </c>
    </row>
    <row r="14" spans="2:23">
      <c r="B14" s="556"/>
      <c r="C14" s="32" t="s">
        <v>359</v>
      </c>
      <c r="D14">
        <f>IFERROR(D12-D13,"")</f>
        <v>0</v>
      </c>
      <c r="E14">
        <f t="shared" ref="E14:O14" si="0">IFERROR(E12-E13,"")</f>
        <v>114406.00000000009</v>
      </c>
      <c r="F14">
        <f t="shared" si="0"/>
        <v>120936.00000000015</v>
      </c>
      <c r="G14">
        <f t="shared" si="0"/>
        <v>125358.99999999997</v>
      </c>
      <c r="H14">
        <f t="shared" si="0"/>
        <v>123982.99999999985</v>
      </c>
      <c r="I14">
        <f t="shared" si="0"/>
        <v>122740.38709677407</v>
      </c>
      <c r="J14">
        <f t="shared" si="0"/>
        <v>127658.61290322569</v>
      </c>
      <c r="K14">
        <f t="shared" si="0"/>
        <v>0</v>
      </c>
      <c r="L14">
        <f t="shared" si="0"/>
        <v>0</v>
      </c>
      <c r="M14">
        <f t="shared" si="0"/>
        <v>0</v>
      </c>
      <c r="N14">
        <f t="shared" si="0"/>
        <v>0</v>
      </c>
      <c r="O14">
        <f t="shared" si="0"/>
        <v>0</v>
      </c>
      <c r="Q14" t="s">
        <v>360</v>
      </c>
      <c r="R14">
        <f>INDEX(E11:J11,1,R13)</f>
        <v>2025</v>
      </c>
      <c r="U14" s="406">
        <v>2007</v>
      </c>
      <c r="V14" s="406">
        <f>IFERROR(GETPIVOTDATA("DJU(chauffagiste)",DJU!$H$13,"annee",U14),"")</f>
        <v>2261</v>
      </c>
      <c r="W14" s="406">
        <f>IFERROR(GETPIVOTDATA("DJU(climaticien)",DJU!$L$13,"annee",U14),"")</f>
        <v>229</v>
      </c>
    </row>
    <row r="15" spans="2:23" ht="15" customHeight="1">
      <c r="B15" s="557" t="s">
        <v>361</v>
      </c>
      <c r="C15" s="32" t="s">
        <v>362</v>
      </c>
      <c r="D15" t="e">
        <f>ROUND(GETPIVOTDATA("Somme de DJU(chauffagiste)",DJU!$H$13,"annee",D11),0)</f>
        <v>#REF!</v>
      </c>
      <c r="E15">
        <f>ROUND(GETPIVOTDATA("Somme de DJU(chauffagiste)",DJU!$H$13,"annee",E11),0)</f>
        <v>1971</v>
      </c>
      <c r="F15">
        <f>ROUND(GETPIVOTDATA("Somme de DJU(chauffagiste)",DJU!$H$13,"annee",F11),0)</f>
        <v>2380</v>
      </c>
      <c r="G15">
        <f>ROUND(GETPIVOTDATA("Somme de DJU(chauffagiste)",DJU!$H$13,"annee",G11),0)</f>
        <v>2014</v>
      </c>
      <c r="H15">
        <f>ROUND(GETPIVOTDATA("Somme de DJU(chauffagiste)",DJU!$H$13,"annee",H11),0)</f>
        <v>1959</v>
      </c>
      <c r="I15">
        <f>ROUND(GETPIVOTDATA("Somme de DJU(chauffagiste)",DJU!$H$13,"annee",I11),0)</f>
        <v>2090</v>
      </c>
      <c r="J15">
        <f>ROUND(GETPIVOTDATA("Somme de DJU(chauffagiste)",DJU!$H$13,"annee",J11),0)</f>
        <v>2046</v>
      </c>
      <c r="K15">
        <f>ROUND(GETPIVOTDATA("Somme de DJU(chauffagiste)",DJU!$H$13,"annee",K11),0)</f>
        <v>338</v>
      </c>
      <c r="L15" t="e">
        <f>ROUND(GETPIVOTDATA("Somme de DJU(chauffagiste)",DJU!$H$13,"annee",L11),0)</f>
        <v>#REF!</v>
      </c>
      <c r="M15" t="e">
        <f>ROUND(GETPIVOTDATA("Somme de DJU(chauffagiste)",DJU!$H$13,"annee",M11),0)</f>
        <v>#REF!</v>
      </c>
      <c r="N15" t="e">
        <f>ROUND(GETPIVOTDATA("Somme de DJU(chauffagiste)",DJU!$H$13,"annee",N11),0)</f>
        <v>#REF!</v>
      </c>
      <c r="O15" t="e">
        <f>ROUND(GETPIVOTDATA("Somme de DJU(chauffagiste)",DJU!$H$13,"annee",O11),0)</f>
        <v>#REF!</v>
      </c>
      <c r="Q15" t="s">
        <v>363</v>
      </c>
      <c r="R15">
        <f>INDEX($E$11:$J$47,22,$R$13)</f>
        <v>0</v>
      </c>
      <c r="U15" s="406">
        <v>2008</v>
      </c>
      <c r="V15" s="406">
        <f>IFERROR(GETPIVOTDATA("DJU(chauffagiste)",DJU!$H$13,"annee",U15),"")</f>
        <v>2436</v>
      </c>
      <c r="W15" s="406">
        <f>IFERROR(GETPIVOTDATA("DJU(climaticien)",DJU!$L$13,"annee",U15),"")</f>
        <v>262</v>
      </c>
    </row>
    <row r="16" spans="2:23" ht="15" customHeight="1">
      <c r="B16" s="557"/>
      <c r="C16" s="32" t="s">
        <v>13</v>
      </c>
      <c r="D16" t="e">
        <f>VLOOKUP(D11,Site!$B$8:$H$23,7,FALSE)</f>
        <v>#N/A</v>
      </c>
      <c r="E16" t="str">
        <f>VLOOKUP(E11,Site!$B$8:$H$23,7,FALSE)</f>
        <v/>
      </c>
      <c r="F16" t="str">
        <f>VLOOKUP(F11,Site!$B$8:$H$23,7,FALSE)</f>
        <v/>
      </c>
      <c r="G16" t="str">
        <f>VLOOKUP(G11,Site!$B$8:$H$23,7,FALSE)</f>
        <v/>
      </c>
      <c r="H16" t="str">
        <f>VLOOKUP(H11,Site!$B$8:$H$23,7,FALSE)</f>
        <v/>
      </c>
      <c r="I16" t="str">
        <f>VLOOKUP(I11,Site!$B$8:$H$23,7,FALSE)</f>
        <v/>
      </c>
      <c r="J16" t="str">
        <f>VLOOKUP(J11,Site!$B$8:$H$23,7,FALSE)</f>
        <v/>
      </c>
      <c r="K16" t="e">
        <f>VLOOKUP(K11,Site!$B$8:$H$23,7,FALSE)</f>
        <v>#N/A</v>
      </c>
      <c r="L16" t="e">
        <f>VLOOKUP(L11,Site!$B$8:$H$23,7,FALSE)</f>
        <v>#N/A</v>
      </c>
      <c r="M16" t="e">
        <f>VLOOKUP(M11,Site!$B$8:$H$23,7,FALSE)</f>
        <v>#N/A</v>
      </c>
      <c r="N16" t="e">
        <f>VLOOKUP(N11,Site!$B$8:$H$23,7,FALSE)</f>
        <v>#N/A</v>
      </c>
      <c r="O16" t="e">
        <f>VLOOKUP(O11,Site!$B$8:$H$23,7,FALSE)</f>
        <v>#N/A</v>
      </c>
      <c r="U16" s="406">
        <v>2009</v>
      </c>
      <c r="V16" s="406">
        <f>IFERROR(GETPIVOTDATA("DJU(chauffagiste)",DJU!$H$13,"annee",U16),"")</f>
        <v>2448</v>
      </c>
      <c r="W16" s="406">
        <f>IFERROR(GETPIVOTDATA("DJU(climaticien)",DJU!$L$13,"annee",U16),"")</f>
        <v>359</v>
      </c>
    </row>
    <row r="17" spans="2:23" ht="15" customHeight="1">
      <c r="B17" s="557"/>
      <c r="C17" s="32" t="s">
        <v>364</v>
      </c>
      <c r="D17">
        <f>Controle_des_données!$B$34</f>
        <v>2.4699999999999999E-4</v>
      </c>
      <c r="E17">
        <f>Controle_des_données!$B$34</f>
        <v>2.4699999999999999E-4</v>
      </c>
      <c r="F17">
        <f>Controle_des_données!$B$34</f>
        <v>2.4699999999999999E-4</v>
      </c>
      <c r="G17">
        <f>Controle_des_données!$B$34</f>
        <v>2.4699999999999999E-4</v>
      </c>
      <c r="H17">
        <f>Controle_des_données!$B$34</f>
        <v>2.4699999999999999E-4</v>
      </c>
      <c r="I17">
        <f>Controle_des_données!$B$34</f>
        <v>2.4699999999999999E-4</v>
      </c>
      <c r="J17">
        <f>Controle_des_données!$B$34</f>
        <v>2.4699999999999999E-4</v>
      </c>
      <c r="K17">
        <f>Controle_des_données!$B$34</f>
        <v>2.4699999999999999E-4</v>
      </c>
      <c r="L17">
        <f>Controle_des_données!$B$34</f>
        <v>2.4699999999999999E-4</v>
      </c>
      <c r="M17">
        <f>Controle_des_données!$B$34</f>
        <v>2.4699999999999999E-4</v>
      </c>
      <c r="N17">
        <f>Controle_des_données!$B$34</f>
        <v>2.4699999999999999E-4</v>
      </c>
      <c r="O17">
        <f>Controle_des_données!$B$34</f>
        <v>2.4699999999999999E-4</v>
      </c>
      <c r="U17" s="406">
        <v>2010</v>
      </c>
      <c r="V17" s="406">
        <f>IFERROR(GETPIVOTDATA("DJU(chauffagiste)",DJU!$H$13,"annee",U17),"")</f>
        <v>2751</v>
      </c>
      <c r="W17" s="406">
        <f>IFERROR(GETPIVOTDATA("DJU(climaticien)",DJU!$L$13,"annee",U17),"")</f>
        <v>350</v>
      </c>
    </row>
    <row r="18" spans="2:23" ht="16.5" customHeight="1">
      <c r="B18" s="557"/>
      <c r="C18" s="32" t="s">
        <v>365</v>
      </c>
      <c r="D18" t="e">
        <f>VLOOKUP(D11,Site!$B$8:$E$28,3,FALSE)</f>
        <v>#N/A</v>
      </c>
      <c r="E18" s="495">
        <f>VLOOKUP(E11,Site!$B$8:$E$28,3,FALSE)</f>
        <v>0</v>
      </c>
      <c r="F18" s="495">
        <f>VLOOKUP(F11,Site!$B$8:$E$28,3,FALSE)</f>
        <v>0</v>
      </c>
      <c r="G18" s="495">
        <f>VLOOKUP(G11,Site!$B$8:$E$28,3,FALSE)</f>
        <v>0</v>
      </c>
      <c r="H18" s="495">
        <f>VLOOKUP(H11,Site!$B$8:$E$28,3,FALSE)</f>
        <v>0</v>
      </c>
      <c r="I18" s="495">
        <f>VLOOKUP(I11,Site!$B$8:$E$28,3,FALSE)</f>
        <v>0</v>
      </c>
      <c r="J18" s="495">
        <f>VLOOKUP(J11,Site!$B$8:$E$28,3,FALSE)</f>
        <v>0</v>
      </c>
      <c r="K18" s="495">
        <f>VLOOKUP(K11,Site!$B$8:$E$28,3,FALSE)</f>
        <v>0</v>
      </c>
      <c r="L18" s="495">
        <f>VLOOKUP(L11,Site!$B$8:$E$28,3,FALSE)</f>
        <v>0</v>
      </c>
      <c r="M18" s="495">
        <f>VLOOKUP(M11,Site!$B$8:$E$28,3,FALSE)</f>
        <v>0</v>
      </c>
      <c r="N18" s="495">
        <f>VLOOKUP(N11,Site!$B$8:$E$28,3,FALSE)</f>
        <v>0</v>
      </c>
      <c r="O18" s="495">
        <f>VLOOKUP(O11,Site!$B$8:$E$28,3,FALSE)</f>
        <v>0</v>
      </c>
      <c r="Q18" t="s">
        <v>366</v>
      </c>
      <c r="R18" s="52" t="e">
        <f>INDEX($E$11:$J$47,27,$R$13)</f>
        <v>#DIV/0!</v>
      </c>
      <c r="U18" s="406">
        <v>2011</v>
      </c>
      <c r="V18" s="406">
        <f>IFERROR(GETPIVOTDATA("DJU(chauffagiste)",DJU!$H$13,"annee",U18),"")</f>
        <v>2034</v>
      </c>
      <c r="W18" s="406">
        <f>IFERROR(GETPIVOTDATA("DJU(climaticien)",DJU!$L$13,"annee",U18),"")</f>
        <v>341</v>
      </c>
    </row>
    <row r="19" spans="2:23">
      <c r="B19" s="557"/>
      <c r="C19" s="32" t="s">
        <v>367</v>
      </c>
      <c r="D19">
        <f>IFERROR(IF(D27&gt;0,D27*MAX(-0.5,MIN(($G$3-D15)/D15,1)),D18/D32*MIN(D17*D15,1)*(D14+D30)*MAX(-0.5,MIN(($G$3-D15)/D15,1))),0)</f>
        <v>0</v>
      </c>
      <c r="E19">
        <f t="shared" ref="E19:O19" si="1">IFERROR(IF(E27&gt;0,E27*MAX(-0.5,MIN(($G$3-E15)/E15,1)),E18/E32*MIN(E17*E15,1)*(E14+E30)*MAX(-0.5,MIN(($G$3-E15)/E15,1))),0)</f>
        <v>0</v>
      </c>
      <c r="F19">
        <f t="shared" si="1"/>
        <v>0</v>
      </c>
      <c r="G19">
        <f t="shared" si="1"/>
        <v>0</v>
      </c>
      <c r="H19">
        <f t="shared" si="1"/>
        <v>0</v>
      </c>
      <c r="I19">
        <f t="shared" si="1"/>
        <v>0</v>
      </c>
      <c r="J19">
        <f t="shared" si="1"/>
        <v>0</v>
      </c>
      <c r="K19">
        <f t="shared" si="1"/>
        <v>0</v>
      </c>
      <c r="L19">
        <f t="shared" si="1"/>
        <v>0</v>
      </c>
      <c r="M19">
        <f t="shared" si="1"/>
        <v>0</v>
      </c>
      <c r="N19">
        <f t="shared" si="1"/>
        <v>0</v>
      </c>
      <c r="O19">
        <f t="shared" si="1"/>
        <v>0</v>
      </c>
      <c r="Q19" t="s">
        <v>368</v>
      </c>
      <c r="R19" s="52" t="e">
        <f>INDEX($E$11:$J$47,28,$R$13)</f>
        <v>#DIV/0!</v>
      </c>
      <c r="U19" s="406">
        <v>2012</v>
      </c>
      <c r="V19" s="406">
        <f>IFERROR(GETPIVOTDATA("DJU(chauffagiste)",DJU!$H$13,"annee",U19),"")</f>
        <v>2459</v>
      </c>
      <c r="W19" s="406">
        <f>IFERROR(GETPIVOTDATA("DJU(climaticien)",DJU!$L$13,"annee",U19),"")</f>
        <v>289</v>
      </c>
    </row>
    <row r="20" spans="2:23">
      <c r="B20" s="557" t="s">
        <v>369</v>
      </c>
      <c r="C20" t="s">
        <v>173</v>
      </c>
      <c r="D20" s="461">
        <f>IFERROR(GETPIVOTDATA("[Measures].[Somme de Conso_kWh_PCI]",TCD_Conso!$B$3,"[Tab_concat].[Type]","[Tab_concat].[Type].&amp;[Consommation]","[Tab_concat].[Detail usage]","[Tab_concat].[Detail usage].&amp;["&amp;$C20&amp;"]","[Tab_concat].[Annee]","[Tab_concat].[Annee].&amp;["&amp;D$11&amp;"]"),0)</f>
        <v>0</v>
      </c>
      <c r="E20" s="461">
        <f>IFERROR(GETPIVOTDATA("[Measures].[Somme de Conso_kWh_PCI]",TCD_Conso!$B$3,"[Tab_concat].[Type]","[Tab_concat].[Type].&amp;[Consommation]","[Tab_concat].[Detail usage]","[Tab_concat].[Detail usage].&amp;["&amp;$C20&amp;"]","[Tab_concat].[Annee]","[Tab_concat].[Annee].&amp;["&amp;E$11&amp;"]"),0)</f>
        <v>0</v>
      </c>
      <c r="F20" s="461">
        <f>IFERROR(GETPIVOTDATA("[Measures].[Somme de Conso_kWh_PCI]",TCD_Conso!$B$3,"[Tab_concat].[Type]","[Tab_concat].[Type].&amp;[Consommation]","[Tab_concat].[Detail usage]","[Tab_concat].[Detail usage].&amp;["&amp;$C20&amp;"]","[Tab_concat].[Annee]","[Tab_concat].[Annee].&amp;["&amp;F$11&amp;"]"),0)</f>
        <v>0</v>
      </c>
      <c r="G20" s="461">
        <f>IFERROR(GETPIVOTDATA("[Measures].[Somme de Conso_kWh_PCI]",TCD_Conso!$B$3,"[Tab_concat].[Type]","[Tab_concat].[Type].&amp;[Consommation]","[Tab_concat].[Detail usage]","[Tab_concat].[Detail usage].&amp;["&amp;$C20&amp;"]","[Tab_concat].[Annee]","[Tab_concat].[Annee].&amp;["&amp;G$11&amp;"]"),0)</f>
        <v>0</v>
      </c>
      <c r="H20" s="461">
        <f>IFERROR(GETPIVOTDATA("[Measures].[Somme de Conso_kWh_PCI]",TCD_Conso!$B$3,"[Tab_concat].[Type]","[Tab_concat].[Type].&amp;[Consommation]","[Tab_concat].[Detail usage]","[Tab_concat].[Detail usage].&amp;["&amp;$C20&amp;"]","[Tab_concat].[Annee]","[Tab_concat].[Annee].&amp;["&amp;H$11&amp;"]"),0)</f>
        <v>0</v>
      </c>
      <c r="I20" s="461">
        <f>IFERROR(GETPIVOTDATA("[Measures].[Somme de Conso_kWh_PCI]",TCD_Conso!$B$3,"[Tab_concat].[Type]","[Tab_concat].[Type].&amp;[Consommation]","[Tab_concat].[Detail usage]","[Tab_concat].[Detail usage].&amp;["&amp;$C20&amp;"]","[Tab_concat].[Annee]","[Tab_concat].[Annee].&amp;["&amp;I$11&amp;"]"),0)</f>
        <v>0</v>
      </c>
      <c r="J20" s="461">
        <f>IFERROR(GETPIVOTDATA("[Measures].[Somme de Conso_kWh_PCI]",TCD_Conso!$B$3,"[Tab_concat].[Type]","[Tab_concat].[Type].&amp;[Consommation]","[Tab_concat].[Detail usage]","[Tab_concat].[Detail usage].&amp;["&amp;$C20&amp;"]","[Tab_concat].[Annee]","[Tab_concat].[Annee].&amp;["&amp;J$11&amp;"]"),0)</f>
        <v>0</v>
      </c>
      <c r="K20" s="461">
        <f>IFERROR(GETPIVOTDATA("[Measures].[Somme de Conso_kWh_PCI]",TCD_Conso!$B$3,"[Tab_concat].[Type]","[Tab_concat].[Type].&amp;[Consommation]","[Tab_concat].[Detail usage]","[Tab_concat].[Detail usage].&amp;["&amp;$C20&amp;"]","[Tab_concat].[Annee]","[Tab_concat].[Annee].&amp;["&amp;K$11&amp;"]"),0)</f>
        <v>0</v>
      </c>
      <c r="L20" s="461">
        <f>IFERROR(GETPIVOTDATA("[Measures].[Somme de Conso_kWh_PCI]",TCD_Conso!$B$3,"[Tab_concat].[Type]","[Tab_concat].[Type].&amp;[Consommation]","[Tab_concat].[Detail usage]","[Tab_concat].[Detail usage].&amp;["&amp;$C20&amp;"]","[Tab_concat].[Annee]","[Tab_concat].[Annee].&amp;["&amp;L$11&amp;"]"),0)</f>
        <v>0</v>
      </c>
      <c r="M20" s="461">
        <f>IFERROR(GETPIVOTDATA("[Measures].[Somme de Conso_kWh_PCI]",TCD_Conso!$B$3,"[Tab_concat].[Type]","[Tab_concat].[Type].&amp;[Consommation]","[Tab_concat].[Detail usage]","[Tab_concat].[Detail usage].&amp;["&amp;$C20&amp;"]","[Tab_concat].[Annee]","[Tab_concat].[Annee].&amp;["&amp;M$11&amp;"]"),0)</f>
        <v>0</v>
      </c>
      <c r="N20" s="461">
        <f>IFERROR(GETPIVOTDATA("[Measures].[Somme de Conso_kWh_PCI]",TCD_Conso!$B$3,"[Tab_concat].[Type]","[Tab_concat].[Type].&amp;[Consommation]","[Tab_concat].[Detail usage]","[Tab_concat].[Detail usage].&amp;["&amp;$C20&amp;"]","[Tab_concat].[Annee]","[Tab_concat].[Annee].&amp;["&amp;N$11&amp;"]"),0)</f>
        <v>0</v>
      </c>
      <c r="O20" s="461">
        <f>IFERROR(GETPIVOTDATA("[Measures].[Somme de Conso_kWh_PCI]",TCD_Conso!$B$3,"[Tab_concat].[Type]","[Tab_concat].[Type].&amp;[Consommation]","[Tab_concat].[Detail usage]","[Tab_concat].[Detail usage].&amp;["&amp;$C20&amp;"]","[Tab_concat].[Annee]","[Tab_concat].[Annee].&amp;["&amp;O$11&amp;"]"),0)</f>
        <v>0</v>
      </c>
      <c r="Q20" t="s">
        <v>370</v>
      </c>
      <c r="R20" s="146" t="e">
        <f>INDEX($E$11:$J$47,29,$R$13)</f>
        <v>#DIV/0!</v>
      </c>
      <c r="U20" s="406">
        <v>2013</v>
      </c>
      <c r="V20" s="406">
        <f>IFERROR(GETPIVOTDATA("DJU(chauffagiste)",DJU!$H$13,"annee",U20),"")</f>
        <v>2576</v>
      </c>
      <c r="W20" s="406">
        <f>IFERROR(GETPIVOTDATA("DJU(climaticien)",DJU!$L$13,"annee",U20),"")</f>
        <v>354</v>
      </c>
    </row>
    <row r="21" spans="2:23" ht="15" customHeight="1">
      <c r="B21" s="557"/>
      <c r="C21" s="32" t="s">
        <v>371</v>
      </c>
      <c r="D21" t="e">
        <f>GETPIVOTDATA("DJU(climaticien)",DJU!$L$13,"annee",D11)</f>
        <v>#REF!</v>
      </c>
      <c r="E21">
        <f>GETPIVOTDATA("DJU(climaticien)",DJU!$L$13,"annee",E11)</f>
        <v>468</v>
      </c>
      <c r="F21">
        <f>GETPIVOTDATA("DJU(climaticien)",DJU!$L$13,"annee",F11)</f>
        <v>324</v>
      </c>
      <c r="G21">
        <f>GETPIVOTDATA("DJU(climaticien)",DJU!$L$13,"annee",G11)</f>
        <v>571</v>
      </c>
      <c r="H21">
        <f>GETPIVOTDATA("DJU(climaticien)",DJU!$L$13,"annee",H11)</f>
        <v>522</v>
      </c>
      <c r="I21">
        <f>GETPIVOTDATA("DJU(climaticien)",DJU!$L$13,"annee",I11)</f>
        <v>327</v>
      </c>
      <c r="J21">
        <f>GETPIVOTDATA("DJU(climaticien)",DJU!$L$13,"annee",J11)</f>
        <v>506</v>
      </c>
      <c r="K21">
        <f>GETPIVOTDATA("DJU(climaticien)",DJU!$L$13,"annee",K11)</f>
        <v>0</v>
      </c>
      <c r="L21" t="e">
        <f>GETPIVOTDATA("DJU(climaticien)",DJU!$L$13,"annee",L11)</f>
        <v>#REF!</v>
      </c>
      <c r="M21" t="e">
        <f>GETPIVOTDATA("DJU(climaticien)",DJU!$L$13,"annee",M11)</f>
        <v>#REF!</v>
      </c>
      <c r="N21" t="e">
        <f>GETPIVOTDATA("DJU(climaticien)",DJU!$L$13,"annee",N11)</f>
        <v>#REF!</v>
      </c>
      <c r="O21" t="e">
        <f>GETPIVOTDATA("DJU(climaticien)",DJU!$L$13,"annee",O11)</f>
        <v>#REF!</v>
      </c>
      <c r="Q21" t="s">
        <v>372</v>
      </c>
      <c r="R21" s="53" t="e">
        <f>(R20-R8)/R8</f>
        <v>#DIV/0!</v>
      </c>
      <c r="U21" s="406">
        <v>2014</v>
      </c>
      <c r="V21" s="406">
        <f>IFERROR(GETPIVOTDATA("DJU(chauffagiste)",DJU!$H$13,"annee",U21),"")</f>
        <v>2064</v>
      </c>
      <c r="W21" s="406">
        <f>IFERROR(GETPIVOTDATA("DJU(climaticien)",DJU!$L$13,"annee",U21),"")</f>
        <v>315</v>
      </c>
    </row>
    <row r="22" spans="2:23" ht="15" customHeight="1">
      <c r="B22" s="557"/>
      <c r="C22" s="32" t="s">
        <v>373</v>
      </c>
      <c r="D22">
        <f>Controle_des_données!$B$35</f>
        <v>5.3499999999999999E-5</v>
      </c>
      <c r="E22">
        <f>Controle_des_données!$B$35</f>
        <v>5.3499999999999999E-5</v>
      </c>
      <c r="F22">
        <f>Controle_des_données!$B$35</f>
        <v>5.3499999999999999E-5</v>
      </c>
      <c r="G22">
        <f>Controle_des_données!$B$35</f>
        <v>5.3499999999999999E-5</v>
      </c>
      <c r="H22">
        <f>Controle_des_données!$B$35</f>
        <v>5.3499999999999999E-5</v>
      </c>
      <c r="I22">
        <f>Controle_des_données!$B$35</f>
        <v>5.3499999999999999E-5</v>
      </c>
      <c r="J22">
        <f>Controle_des_données!$B$35</f>
        <v>5.3499999999999999E-5</v>
      </c>
      <c r="K22">
        <f>Controle_des_données!$B$35</f>
        <v>5.3499999999999999E-5</v>
      </c>
      <c r="L22">
        <f>Controle_des_données!$B$35</f>
        <v>5.3499999999999999E-5</v>
      </c>
      <c r="M22">
        <f>Controle_des_données!$B$35</f>
        <v>5.3499999999999999E-5</v>
      </c>
      <c r="N22">
        <f>Controle_des_données!$B$35</f>
        <v>5.3499999999999999E-5</v>
      </c>
      <c r="O22">
        <f>Controle_des_données!$B$35</f>
        <v>5.3499999999999999E-5</v>
      </c>
      <c r="R22" s="53"/>
      <c r="U22" s="406">
        <v>2015</v>
      </c>
      <c r="V22" s="406">
        <f>IFERROR(GETPIVOTDATA("DJU(chauffagiste)",DJU!$H$13,"annee",U22),"")</f>
        <v>2183</v>
      </c>
      <c r="W22" s="406">
        <f>IFERROR(GETPIVOTDATA("DJU(climaticien)",DJU!$L$13,"annee",U22),"")</f>
        <v>374</v>
      </c>
    </row>
    <row r="23" spans="2:23">
      <c r="B23" s="557"/>
      <c r="C23" s="32" t="s">
        <v>374</v>
      </c>
      <c r="D23" t="e">
        <f>VLOOKUP(D11,Site!$B$8:$E$23,4,FALSE)</f>
        <v>#N/A</v>
      </c>
      <c r="E23">
        <f>VLOOKUP(E11,Site!$B$8:$E$23,4,FALSE)</f>
        <v>0</v>
      </c>
      <c r="F23">
        <f>VLOOKUP(F11,Site!$B$8:$E$23,4,FALSE)</f>
        <v>0</v>
      </c>
      <c r="G23">
        <f>VLOOKUP(G11,Site!$B$8:$E$23,4,FALSE)</f>
        <v>0</v>
      </c>
      <c r="H23">
        <f>VLOOKUP(H11,Site!$B$8:$E$23,4,FALSE)</f>
        <v>0</v>
      </c>
      <c r="I23">
        <f>VLOOKUP(I11,Site!$B$8:$E$23,4,FALSE)</f>
        <v>0</v>
      </c>
      <c r="J23">
        <f>VLOOKUP(J11,Site!$B$8:$E$23,4,FALSE)</f>
        <v>0</v>
      </c>
      <c r="U23" s="406">
        <v>2016</v>
      </c>
      <c r="V23" s="406">
        <f>IFERROR(GETPIVOTDATA("DJU(chauffagiste)",DJU!$H$13,"annee",U23),"")</f>
        <v>2421</v>
      </c>
      <c r="W23" s="406">
        <f>IFERROR(GETPIVOTDATA("DJU(climaticien)",DJU!$L$13,"annee",U23),"")</f>
        <v>381</v>
      </c>
    </row>
    <row r="24" spans="2:23">
      <c r="B24" s="557"/>
      <c r="C24" s="32" t="s">
        <v>375</v>
      </c>
      <c r="D24">
        <f>IFERROR(IF(D20&gt;0,D20*MAX(-0.5,MIN(($H$3-D21)/D21,1)),D23/D32*MIN(D22*D21,1)*(D14+D30)*MAX(-0.5,MIN(($H$3-D21)/D21,1))),0)</f>
        <v>0</v>
      </c>
      <c r="E24">
        <f t="shared" ref="E24:O24" si="2">IFERROR(IF(E20&gt;0,E20*MAX(-0.5,MIN(($H$3-E21)/E21,1)),E23/E32*MIN(E22*E21,1)*(E14+E30)*MAX(-0.5,MIN(($H$3-E21)/E21,1))),0)</f>
        <v>0</v>
      </c>
      <c r="F24">
        <f t="shared" si="2"/>
        <v>0</v>
      </c>
      <c r="G24">
        <f t="shared" si="2"/>
        <v>0</v>
      </c>
      <c r="H24">
        <f t="shared" si="2"/>
        <v>0</v>
      </c>
      <c r="I24">
        <f t="shared" si="2"/>
        <v>0</v>
      </c>
      <c r="J24">
        <f t="shared" si="2"/>
        <v>0</v>
      </c>
      <c r="K24">
        <f t="shared" si="2"/>
        <v>0</v>
      </c>
      <c r="L24">
        <f t="shared" si="2"/>
        <v>0</v>
      </c>
      <c r="M24">
        <f t="shared" si="2"/>
        <v>0</v>
      </c>
      <c r="N24">
        <f t="shared" si="2"/>
        <v>0</v>
      </c>
      <c r="O24">
        <f t="shared" si="2"/>
        <v>0</v>
      </c>
      <c r="U24" s="406">
        <v>2017</v>
      </c>
      <c r="V24" s="406">
        <f>IFERROR(GETPIVOTDATA("DJU(chauffagiste)",DJU!$H$13,"annee",U24),"")</f>
        <v>2238</v>
      </c>
      <c r="W24" s="406">
        <f>IFERROR(GETPIVOTDATA("DJU(climaticien)",DJU!$L$13,"annee",U24),"")</f>
        <v>421</v>
      </c>
    </row>
    <row r="25" spans="2:23">
      <c r="B25" s="47"/>
      <c r="C25" s="32" t="s">
        <v>189</v>
      </c>
      <c r="D25" s="460">
        <f>IFERROR(GETPIVOTDATA("[Measures].[Somme de Conso_kWh_PCI]",TCD_Conso!$B$3,"[Tab_concat].[Type]","[Tab_concat].[Type].&amp;[Consommation]","[Tab_concat].[Detail usage]","[Tab_concat].[Detail usage].&amp;["&amp;$C25&amp;"]","[Tab_concat].[Annee]","[Tab_concat].[Annee].&amp;["&amp;D$11&amp;"]"),0)</f>
        <v>0</v>
      </c>
      <c r="E25" s="460">
        <f>IFERROR(GETPIVOTDATA("[Measures].[Somme de Conso_kWh_PCI]",TCD_Conso!$B$3,"[Tab_concat].[Type]","[Tab_concat].[Type].&amp;[Consommation]","[Tab_concat].[Detail usage]","[Tab_concat].[Detail usage].&amp;["&amp;$C25&amp;"]","[Tab_concat].[Annee]","[Tab_concat].[Annee].&amp;["&amp;E$11&amp;"]"),0)</f>
        <v>0</v>
      </c>
      <c r="F25" s="460">
        <f>IFERROR(GETPIVOTDATA("[Measures].[Somme de Conso_kWh_PCI]",TCD_Conso!$B$3,"[Tab_concat].[Type]","[Tab_concat].[Type].&amp;[Consommation]","[Tab_concat].[Detail usage]","[Tab_concat].[Detail usage].&amp;["&amp;$C25&amp;"]","[Tab_concat].[Annee]","[Tab_concat].[Annee].&amp;["&amp;F$11&amp;"]"),0)</f>
        <v>0</v>
      </c>
      <c r="G25" s="460">
        <f>IFERROR(GETPIVOTDATA("[Measures].[Somme de Conso_kWh_PCI]",TCD_Conso!$B$3,"[Tab_concat].[Type]","[Tab_concat].[Type].&amp;[Consommation]","[Tab_concat].[Detail usage]","[Tab_concat].[Detail usage].&amp;["&amp;$C25&amp;"]","[Tab_concat].[Annee]","[Tab_concat].[Annee].&amp;["&amp;G$11&amp;"]"),0)</f>
        <v>0</v>
      </c>
      <c r="H25" s="460">
        <f>IFERROR(GETPIVOTDATA("[Measures].[Somme de Conso_kWh_PCI]",TCD_Conso!$B$3,"[Tab_concat].[Type]","[Tab_concat].[Type].&amp;[Consommation]","[Tab_concat].[Detail usage]","[Tab_concat].[Detail usage].&amp;["&amp;$C25&amp;"]","[Tab_concat].[Annee]","[Tab_concat].[Annee].&amp;["&amp;H$11&amp;"]"),0)</f>
        <v>0</v>
      </c>
      <c r="I25" s="460">
        <f>IFERROR(GETPIVOTDATA("[Measures].[Somme de Conso_kWh_PCI]",TCD_Conso!$B$3,"[Tab_concat].[Type]","[Tab_concat].[Type].&amp;[Consommation]","[Tab_concat].[Detail usage]","[Tab_concat].[Detail usage].&amp;["&amp;$C25&amp;"]","[Tab_concat].[Annee]","[Tab_concat].[Annee].&amp;["&amp;I$11&amp;"]"),0)</f>
        <v>0</v>
      </c>
      <c r="J25" s="460">
        <f>IFERROR(GETPIVOTDATA("[Measures].[Somme de Conso_kWh_PCI]",TCD_Conso!$B$3,"[Tab_concat].[Type]","[Tab_concat].[Type].&amp;[Consommation]","[Tab_concat].[Detail usage]","[Tab_concat].[Detail usage].&amp;["&amp;$C25&amp;"]","[Tab_concat].[Annee]","[Tab_concat].[Annee].&amp;["&amp;J$11&amp;"]"),0)</f>
        <v>0</v>
      </c>
      <c r="K25" s="460">
        <f>IFERROR(GETPIVOTDATA("[Measures].[Somme de Conso_kWh_PCI]",TCD_Conso!$B$3,"[Tab_concat].[Type]","[Tab_concat].[Type].&amp;[Consommation]","[Tab_concat].[Detail usage]","[Tab_concat].[Detail usage].&amp;["&amp;$C25&amp;"]","[Tab_concat].[Annee]","[Tab_concat].[Annee].&amp;["&amp;K$11&amp;"]"),0)</f>
        <v>0</v>
      </c>
      <c r="L25" s="460">
        <f>IFERROR(GETPIVOTDATA("[Measures].[Somme de Conso_kWh_PCI]",TCD_Conso!$B$3,"[Tab_concat].[Type]","[Tab_concat].[Type].&amp;[Consommation]","[Tab_concat].[Detail usage]","[Tab_concat].[Detail usage].&amp;["&amp;$C25&amp;"]","[Tab_concat].[Annee]","[Tab_concat].[Annee].&amp;["&amp;L$11&amp;"]"),0)</f>
        <v>0</v>
      </c>
      <c r="M25" s="460">
        <f>IFERROR(GETPIVOTDATA("[Measures].[Somme de Conso_kWh_PCI]",TCD_Conso!$B$3,"[Tab_concat].[Type]","[Tab_concat].[Type].&amp;[Consommation]","[Tab_concat].[Detail usage]","[Tab_concat].[Detail usage].&amp;["&amp;$C25&amp;"]","[Tab_concat].[Annee]","[Tab_concat].[Annee].&amp;["&amp;M$11&amp;"]"),0)</f>
        <v>0</v>
      </c>
      <c r="N25" s="460">
        <f>IFERROR(GETPIVOTDATA("[Measures].[Somme de Conso_kWh_PCI]",TCD_Conso!$B$3,"[Tab_concat].[Type]","[Tab_concat].[Type].&amp;[Consommation]","[Tab_concat].[Detail usage]","[Tab_concat].[Detail usage].&amp;["&amp;$C25&amp;"]","[Tab_concat].[Annee]","[Tab_concat].[Annee].&amp;["&amp;N$11&amp;"]"),0)</f>
        <v>0</v>
      </c>
      <c r="O25" s="460">
        <f>IFERROR(GETPIVOTDATA("[Measures].[Somme de Conso_kWh_PCI]",TCD_Conso!$B$3,"[Tab_concat].[Type]","[Tab_concat].[Type].&amp;[Consommation]","[Tab_concat].[Detail usage]","[Tab_concat].[Detail usage].&amp;["&amp;$C25&amp;"]","[Tab_concat].[Annee]","[Tab_concat].[Annee].&amp;["&amp;O$11&amp;"]"),0)</f>
        <v>0</v>
      </c>
      <c r="U25" s="406">
        <v>2018</v>
      </c>
      <c r="V25" s="406">
        <f>IFERROR(GETPIVOTDATA("DJU(chauffagiste)",DJU!$H$13,"annee",U25),"")</f>
        <v>2147</v>
      </c>
      <c r="W25" s="406">
        <f>IFERROR(GETPIVOTDATA("DJU(climaticien)",DJU!$L$13,"annee",U25),"")</f>
        <v>529</v>
      </c>
    </row>
    <row r="26" spans="2:23">
      <c r="B26" s="556" t="s">
        <v>376</v>
      </c>
      <c r="C26" s="32" t="s">
        <v>149</v>
      </c>
      <c r="D26" s="460">
        <f>IFERROR(GETPIVOTDATA("[Measures].[Somme de Conso_kWh_PCI]",TCD_Conso!$B$3,"[Tab_concat].[Type]","[Tab_concat].[Type].&amp;[Consommation]","[Tab_concat].[Detail usage]","[Tab_concat].[Detail usage].&amp;["&amp;$C26&amp;"]","[Tab_concat].[Annee]","[Tab_concat].[Annee].&amp;["&amp;D$11&amp;"]"),0)</f>
        <v>0</v>
      </c>
      <c r="E26" s="460">
        <f>IFERROR(GETPIVOTDATA("[Measures].[Somme de Conso_kWh_PCI]",TCD_Conso!$B$3,"[Tab_concat].[Type]","[Tab_concat].[Type].&amp;[Consommation]","[Tab_concat].[Detail usage]","[Tab_concat].[Detail usage].&amp;["&amp;$C26&amp;"]","[Tab_concat].[Annee]","[Tab_concat].[Annee].&amp;["&amp;E$11&amp;"]"),0)</f>
        <v>0</v>
      </c>
      <c r="F26" s="460">
        <f>IFERROR(GETPIVOTDATA("[Measures].[Somme de Conso_kWh_PCI]",TCD_Conso!$B$3,"[Tab_concat].[Type]","[Tab_concat].[Type].&amp;[Consommation]","[Tab_concat].[Detail usage]","[Tab_concat].[Detail usage].&amp;["&amp;$C26&amp;"]","[Tab_concat].[Annee]","[Tab_concat].[Annee].&amp;["&amp;F$11&amp;"]"),0)</f>
        <v>0</v>
      </c>
      <c r="G26" s="460">
        <f>IFERROR(GETPIVOTDATA("[Measures].[Somme de Conso_kWh_PCI]",TCD_Conso!$B$3,"[Tab_concat].[Type]","[Tab_concat].[Type].&amp;[Consommation]","[Tab_concat].[Detail usage]","[Tab_concat].[Detail usage].&amp;["&amp;$C26&amp;"]","[Tab_concat].[Annee]","[Tab_concat].[Annee].&amp;["&amp;G$11&amp;"]"),0)</f>
        <v>0</v>
      </c>
      <c r="H26" s="460">
        <f>IFERROR(GETPIVOTDATA("[Measures].[Somme de Conso_kWh_PCI]",TCD_Conso!$B$3,"[Tab_concat].[Type]","[Tab_concat].[Type].&amp;[Consommation]","[Tab_concat].[Detail usage]","[Tab_concat].[Detail usage].&amp;["&amp;$C26&amp;"]","[Tab_concat].[Annee]","[Tab_concat].[Annee].&amp;["&amp;H$11&amp;"]"),0)</f>
        <v>0</v>
      </c>
      <c r="I26" s="460">
        <f>IFERROR(GETPIVOTDATA("[Measures].[Somme de Conso_kWh_PCI]",TCD_Conso!$B$3,"[Tab_concat].[Type]","[Tab_concat].[Type].&amp;[Consommation]","[Tab_concat].[Detail usage]","[Tab_concat].[Detail usage].&amp;["&amp;$C26&amp;"]","[Tab_concat].[Annee]","[Tab_concat].[Annee].&amp;["&amp;I$11&amp;"]"),0)</f>
        <v>0</v>
      </c>
      <c r="J26" s="460">
        <f>IFERROR(GETPIVOTDATA("[Measures].[Somme de Conso_kWh_PCI]",TCD_Conso!$B$3,"[Tab_concat].[Type]","[Tab_concat].[Type].&amp;[Consommation]","[Tab_concat].[Detail usage]","[Tab_concat].[Detail usage].&amp;["&amp;$C26&amp;"]","[Tab_concat].[Annee]","[Tab_concat].[Annee].&amp;["&amp;J$11&amp;"]"),0)</f>
        <v>0</v>
      </c>
      <c r="K26" s="460">
        <f>IFERROR(GETPIVOTDATA("[Measures].[Somme de Conso_kWh_PCI]",TCD_Conso!$B$3,"[Tab_concat].[Type]","[Tab_concat].[Type].&amp;[Consommation]","[Tab_concat].[Detail usage]","[Tab_concat].[Detail usage].&amp;["&amp;$C26&amp;"]","[Tab_concat].[Annee]","[Tab_concat].[Annee].&amp;["&amp;K$11&amp;"]"),0)</f>
        <v>0</v>
      </c>
      <c r="L26" s="460">
        <f>IFERROR(GETPIVOTDATA("[Measures].[Somme de Conso_kWh_PCI]",TCD_Conso!$B$3,"[Tab_concat].[Type]","[Tab_concat].[Type].&amp;[Consommation]","[Tab_concat].[Detail usage]","[Tab_concat].[Detail usage].&amp;["&amp;$C26&amp;"]","[Tab_concat].[Annee]","[Tab_concat].[Annee].&amp;["&amp;L$11&amp;"]"),0)</f>
        <v>0</v>
      </c>
      <c r="M26" s="460">
        <f>IFERROR(GETPIVOTDATA("[Measures].[Somme de Conso_kWh_PCI]",TCD_Conso!$B$3,"[Tab_concat].[Type]","[Tab_concat].[Type].&amp;[Consommation]","[Tab_concat].[Detail usage]","[Tab_concat].[Detail usage].&amp;["&amp;$C26&amp;"]","[Tab_concat].[Annee]","[Tab_concat].[Annee].&amp;["&amp;M$11&amp;"]"),0)</f>
        <v>0</v>
      </c>
      <c r="N26" s="460">
        <f>IFERROR(GETPIVOTDATA("[Measures].[Somme de Conso_kWh_PCI]",TCD_Conso!$B$3,"[Tab_concat].[Type]","[Tab_concat].[Type].&amp;[Consommation]","[Tab_concat].[Detail usage]","[Tab_concat].[Detail usage].&amp;["&amp;$C26&amp;"]","[Tab_concat].[Annee]","[Tab_concat].[Annee].&amp;["&amp;N$11&amp;"]"),0)</f>
        <v>0</v>
      </c>
      <c r="O26" s="460">
        <f>IFERROR(GETPIVOTDATA("[Measures].[Somme de Conso_kWh_PCI]",TCD_Conso!$B$3,"[Tab_concat].[Type]","[Tab_concat].[Type].&amp;[Consommation]","[Tab_concat].[Detail usage]","[Tab_concat].[Detail usage].&amp;["&amp;$C26&amp;"]","[Tab_concat].[Annee]","[Tab_concat].[Annee].&amp;["&amp;O$11&amp;"]"),0)</f>
        <v>0</v>
      </c>
      <c r="U26" s="406">
        <v>2019</v>
      </c>
      <c r="V26" s="406">
        <f>IFERROR(GETPIVOTDATA("DJU(chauffagiste)",DJU!$H$13,"annee",U26),"")</f>
        <v>2213</v>
      </c>
      <c r="W26" s="406">
        <f>IFERROR(GETPIVOTDATA("DJU(climaticien)",DJU!$L$13,"annee",U26),"")</f>
        <v>452</v>
      </c>
    </row>
    <row r="27" spans="2:23">
      <c r="B27" s="556"/>
      <c r="C27" s="32" t="s">
        <v>166</v>
      </c>
      <c r="D27" s="460">
        <f>IFERROR(GETPIVOTDATA("[Measures].[Somme de Conso_kWh_PCI]",TCD_Conso!$B$3,"[Tab_concat].[Type]","[Tab_concat].[Type].&amp;[Consommation]","[Tab_concat].[Detail usage]","[Tab_concat].[Detail usage].&amp;["&amp;$C27&amp;"]","[Tab_concat].[Annee]","[Tab_concat].[Annee].&amp;["&amp;D$11&amp;"]"),0)</f>
        <v>0</v>
      </c>
      <c r="E27" s="460">
        <f>IFERROR(GETPIVOTDATA("[Measures].[Somme de Conso_kWh_PCI]",TCD_Conso!$B$3,"[Tab_concat].[Type]","[Tab_concat].[Type].&amp;[Consommation]","[Tab_concat].[Detail usage]","[Tab_concat].[Detail usage].&amp;["&amp;$C27&amp;"]","[Tab_concat].[Annee]","[Tab_concat].[Annee].&amp;["&amp;E$11&amp;"]"),0)</f>
        <v>0</v>
      </c>
      <c r="F27" s="460">
        <f>IFERROR(GETPIVOTDATA("[Measures].[Somme de Conso_kWh_PCI]",TCD_Conso!$B$3,"[Tab_concat].[Type]","[Tab_concat].[Type].&amp;[Consommation]","[Tab_concat].[Detail usage]","[Tab_concat].[Detail usage].&amp;["&amp;$C27&amp;"]","[Tab_concat].[Annee]","[Tab_concat].[Annee].&amp;["&amp;F$11&amp;"]"),0)</f>
        <v>0</v>
      </c>
      <c r="G27" s="460">
        <f>IFERROR(GETPIVOTDATA("[Measures].[Somme de Conso_kWh_PCI]",TCD_Conso!$B$3,"[Tab_concat].[Type]","[Tab_concat].[Type].&amp;[Consommation]","[Tab_concat].[Detail usage]","[Tab_concat].[Detail usage].&amp;["&amp;$C27&amp;"]","[Tab_concat].[Annee]","[Tab_concat].[Annee].&amp;["&amp;G$11&amp;"]"),0)</f>
        <v>0</v>
      </c>
      <c r="H27" s="460">
        <f>IFERROR(GETPIVOTDATA("[Measures].[Somme de Conso_kWh_PCI]",TCD_Conso!$B$3,"[Tab_concat].[Type]","[Tab_concat].[Type].&amp;[Consommation]","[Tab_concat].[Detail usage]","[Tab_concat].[Detail usage].&amp;["&amp;$C27&amp;"]","[Tab_concat].[Annee]","[Tab_concat].[Annee].&amp;["&amp;H$11&amp;"]"),0)</f>
        <v>0</v>
      </c>
      <c r="I27" s="460">
        <f>IFERROR(GETPIVOTDATA("[Measures].[Somme de Conso_kWh_PCI]",TCD_Conso!$B$3,"[Tab_concat].[Type]","[Tab_concat].[Type].&amp;[Consommation]","[Tab_concat].[Detail usage]","[Tab_concat].[Detail usage].&amp;["&amp;$C27&amp;"]","[Tab_concat].[Annee]","[Tab_concat].[Annee].&amp;["&amp;I$11&amp;"]"),0)</f>
        <v>0</v>
      </c>
      <c r="J27" s="460">
        <f>IFERROR(GETPIVOTDATA("[Measures].[Somme de Conso_kWh_PCI]",TCD_Conso!$B$3,"[Tab_concat].[Type]","[Tab_concat].[Type].&amp;[Consommation]","[Tab_concat].[Detail usage]","[Tab_concat].[Detail usage].&amp;["&amp;$C27&amp;"]","[Tab_concat].[Annee]","[Tab_concat].[Annee].&amp;["&amp;J$11&amp;"]"),0)</f>
        <v>0</v>
      </c>
      <c r="K27" s="460">
        <f>IFERROR(GETPIVOTDATA("[Measures].[Somme de Conso_kWh_PCI]",TCD_Conso!$B$3,"[Tab_concat].[Type]","[Tab_concat].[Type].&amp;[Consommation]","[Tab_concat].[Detail usage]","[Tab_concat].[Detail usage].&amp;["&amp;$C27&amp;"]","[Tab_concat].[Annee]","[Tab_concat].[Annee].&amp;["&amp;K$11&amp;"]"),0)</f>
        <v>0</v>
      </c>
      <c r="L27" s="460">
        <f>IFERROR(GETPIVOTDATA("[Measures].[Somme de Conso_kWh_PCI]",TCD_Conso!$B$3,"[Tab_concat].[Type]","[Tab_concat].[Type].&amp;[Consommation]","[Tab_concat].[Detail usage]","[Tab_concat].[Detail usage].&amp;["&amp;$C27&amp;"]","[Tab_concat].[Annee]","[Tab_concat].[Annee].&amp;["&amp;L$11&amp;"]"),0)</f>
        <v>0</v>
      </c>
      <c r="M27" s="460">
        <f>IFERROR(GETPIVOTDATA("[Measures].[Somme de Conso_kWh_PCI]",TCD_Conso!$B$3,"[Tab_concat].[Type]","[Tab_concat].[Type].&amp;[Consommation]","[Tab_concat].[Detail usage]","[Tab_concat].[Detail usage].&amp;["&amp;$C27&amp;"]","[Tab_concat].[Annee]","[Tab_concat].[Annee].&amp;["&amp;M$11&amp;"]"),0)</f>
        <v>0</v>
      </c>
      <c r="N27" s="460">
        <f>IFERROR(GETPIVOTDATA("[Measures].[Somme de Conso_kWh_PCI]",TCD_Conso!$B$3,"[Tab_concat].[Type]","[Tab_concat].[Type].&amp;[Consommation]","[Tab_concat].[Detail usage]","[Tab_concat].[Detail usage].&amp;["&amp;$C27&amp;"]","[Tab_concat].[Annee]","[Tab_concat].[Annee].&amp;["&amp;N$11&amp;"]"),0)</f>
        <v>0</v>
      </c>
      <c r="O27" s="460">
        <f>IFERROR(GETPIVOTDATA("[Measures].[Somme de Conso_kWh_PCI]",TCD_Conso!$B$3,"[Tab_concat].[Type]","[Tab_concat].[Type].&amp;[Consommation]","[Tab_concat].[Detail usage]","[Tab_concat].[Detail usage].&amp;["&amp;$C27&amp;"]","[Tab_concat].[Annee]","[Tab_concat].[Annee].&amp;["&amp;O$11&amp;"]"),0)</f>
        <v>0</v>
      </c>
      <c r="U27" s="406">
        <v>2020</v>
      </c>
      <c r="V27" s="406">
        <f>IFERROR(GETPIVOTDATA("DJU(chauffagiste)",DJU!$H$13,"annee",U27),"")</f>
        <v>1971</v>
      </c>
      <c r="W27" s="406">
        <f>IFERROR(GETPIVOTDATA("DJU(climaticien)",DJU!$L$13,"annee",U27),"")</f>
        <v>468</v>
      </c>
    </row>
    <row r="28" spans="2:23">
      <c r="B28" s="556"/>
      <c r="C28" s="32" t="s">
        <v>329</v>
      </c>
      <c r="D28" s="460">
        <f>IFERROR(GETPIVOTDATA("[Measures].[Somme de Conso_kWh_PCI]",TCD_Conso!$B$3,"[Tab_concat].[Type]","[Tab_concat].[Type].&amp;[Consommation]","[Tab_concat].[Detail usage]","[Tab_concat].[Detail usage].&amp;["&amp;$C28&amp;"]","[Tab_concat].[Annee]","[Tab_concat].[Annee].&amp;["&amp;D$11&amp;"]"),0)</f>
        <v>0</v>
      </c>
      <c r="E28" s="460">
        <f>IFERROR(GETPIVOTDATA("[Measures].[Somme de Conso_kWh_PCI]",TCD_Conso!$B$3,"[Tab_concat].[Type]","[Tab_concat].[Type].&amp;[Consommation]","[Tab_concat].[Detail usage]","[Tab_concat].[Detail usage].&amp;["&amp;$C28&amp;"]","[Tab_concat].[Annee]","[Tab_concat].[Annee].&amp;["&amp;E$11&amp;"]"),0)</f>
        <v>0</v>
      </c>
      <c r="F28" s="460">
        <f>IFERROR(GETPIVOTDATA("[Measures].[Somme de Conso_kWh_PCI]",TCD_Conso!$B$3,"[Tab_concat].[Type]","[Tab_concat].[Type].&amp;[Consommation]","[Tab_concat].[Detail usage]","[Tab_concat].[Detail usage].&amp;["&amp;$C28&amp;"]","[Tab_concat].[Annee]","[Tab_concat].[Annee].&amp;["&amp;F$11&amp;"]"),0)</f>
        <v>0</v>
      </c>
      <c r="G28" s="460">
        <f>IFERROR(GETPIVOTDATA("[Measures].[Somme de Conso_kWh_PCI]",TCD_Conso!$B$3,"[Tab_concat].[Type]","[Tab_concat].[Type].&amp;[Consommation]","[Tab_concat].[Detail usage]","[Tab_concat].[Detail usage].&amp;["&amp;$C28&amp;"]","[Tab_concat].[Annee]","[Tab_concat].[Annee].&amp;["&amp;G$11&amp;"]"),0)</f>
        <v>0</v>
      </c>
      <c r="H28" s="460">
        <f>IFERROR(GETPIVOTDATA("[Measures].[Somme de Conso_kWh_PCI]",TCD_Conso!$B$3,"[Tab_concat].[Type]","[Tab_concat].[Type].&amp;[Consommation]","[Tab_concat].[Detail usage]","[Tab_concat].[Detail usage].&amp;["&amp;$C28&amp;"]","[Tab_concat].[Annee]","[Tab_concat].[Annee].&amp;["&amp;H$11&amp;"]"),0)</f>
        <v>0</v>
      </c>
      <c r="I28" s="460">
        <f>IFERROR(GETPIVOTDATA("[Measures].[Somme de Conso_kWh_PCI]",TCD_Conso!$B$3,"[Tab_concat].[Type]","[Tab_concat].[Type].&amp;[Consommation]","[Tab_concat].[Detail usage]","[Tab_concat].[Detail usage].&amp;["&amp;$C28&amp;"]","[Tab_concat].[Annee]","[Tab_concat].[Annee].&amp;["&amp;I$11&amp;"]"),0)</f>
        <v>0</v>
      </c>
      <c r="J28" s="460">
        <f>IFERROR(GETPIVOTDATA("[Measures].[Somme de Conso_kWh_PCI]",TCD_Conso!$B$3,"[Tab_concat].[Type]","[Tab_concat].[Type].&amp;[Consommation]","[Tab_concat].[Detail usage]","[Tab_concat].[Detail usage].&amp;["&amp;$C28&amp;"]","[Tab_concat].[Annee]","[Tab_concat].[Annee].&amp;["&amp;J$11&amp;"]"),0)</f>
        <v>0</v>
      </c>
      <c r="K28" s="460">
        <f>IFERROR(GETPIVOTDATA("[Measures].[Somme de Conso_kWh_PCI]",TCD_Conso!$B$3,"[Tab_concat].[Type]","[Tab_concat].[Type].&amp;[Consommation]","[Tab_concat].[Detail usage]","[Tab_concat].[Detail usage].&amp;["&amp;$C28&amp;"]","[Tab_concat].[Annee]","[Tab_concat].[Annee].&amp;["&amp;K$11&amp;"]"),0)</f>
        <v>0</v>
      </c>
      <c r="L28" s="460">
        <f>IFERROR(GETPIVOTDATA("[Measures].[Somme de Conso_kWh_PCI]",TCD_Conso!$B$3,"[Tab_concat].[Type]","[Tab_concat].[Type].&amp;[Consommation]","[Tab_concat].[Detail usage]","[Tab_concat].[Detail usage].&amp;["&amp;$C28&amp;"]","[Tab_concat].[Annee]","[Tab_concat].[Annee].&amp;["&amp;L$11&amp;"]"),0)</f>
        <v>0</v>
      </c>
      <c r="M28" s="460">
        <f>IFERROR(GETPIVOTDATA("[Measures].[Somme de Conso_kWh_PCI]",TCD_Conso!$B$3,"[Tab_concat].[Type]","[Tab_concat].[Type].&amp;[Consommation]","[Tab_concat].[Detail usage]","[Tab_concat].[Detail usage].&amp;["&amp;$C28&amp;"]","[Tab_concat].[Annee]","[Tab_concat].[Annee].&amp;["&amp;M$11&amp;"]"),0)</f>
        <v>0</v>
      </c>
      <c r="N28" s="460">
        <f>IFERROR(GETPIVOTDATA("[Measures].[Somme de Conso_kWh_PCI]",TCD_Conso!$B$3,"[Tab_concat].[Type]","[Tab_concat].[Type].&amp;[Consommation]","[Tab_concat].[Detail usage]","[Tab_concat].[Detail usage].&amp;["&amp;$C28&amp;"]","[Tab_concat].[Annee]","[Tab_concat].[Annee].&amp;["&amp;N$11&amp;"]"),0)</f>
        <v>0</v>
      </c>
      <c r="O28" s="460">
        <f>IFERROR(GETPIVOTDATA("[Measures].[Somme de Conso_kWh_PCI]",TCD_Conso!$B$3,"[Tab_concat].[Type]","[Tab_concat].[Type].&amp;[Consommation]","[Tab_concat].[Detail usage]","[Tab_concat].[Detail usage].&amp;["&amp;$C28&amp;"]","[Tab_concat].[Annee]","[Tab_concat].[Annee].&amp;["&amp;O$11&amp;"]"),0)</f>
        <v>0</v>
      </c>
    </row>
    <row r="29" spans="2:23">
      <c r="B29" s="556"/>
      <c r="C29" t="s">
        <v>184</v>
      </c>
      <c r="D29" s="460">
        <f>IFERROR(GETPIVOTDATA("[Measures].[Somme de Conso_kWh_PCI]",TCD_Conso!$B$3,"[Tab_concat].[Type]","[Tab_concat].[Type].&amp;[Consommation]","[Tab_concat].[Detail usage]","[Tab_concat].[Detail usage].&amp;["&amp;$C29&amp;"]","[Tab_concat].[Annee]","[Tab_concat].[Annee].&amp;["&amp;D$11&amp;"]"),0)</f>
        <v>0</v>
      </c>
      <c r="E29" s="460">
        <f>IFERROR(GETPIVOTDATA("[Measures].[Somme de Conso_kWh_PCI]",TCD_Conso!$B$3,"[Tab_concat].[Type]","[Tab_concat].[Type].&amp;[Consommation]","[Tab_concat].[Detail usage]","[Tab_concat].[Detail usage].&amp;["&amp;$C29&amp;"]","[Tab_concat].[Annee]","[Tab_concat].[Annee].&amp;["&amp;E$11&amp;"]"),0)</f>
        <v>342772.97297297243</v>
      </c>
      <c r="F29" s="460">
        <f>IFERROR(GETPIVOTDATA("[Measures].[Somme de Conso_kWh_PCI]",TCD_Conso!$B$3,"[Tab_concat].[Type]","[Tab_concat].[Type].&amp;[Consommation]","[Tab_concat].[Detail usage]","[Tab_concat].[Detail usage].&amp;["&amp;$C29&amp;"]","[Tab_concat].[Annee]","[Tab_concat].[Annee].&amp;["&amp;F$11&amp;"]"),0)</f>
        <v>414052.25225225126</v>
      </c>
      <c r="G29" s="460">
        <f>IFERROR(GETPIVOTDATA("[Measures].[Somme de Conso_kWh_PCI]",TCD_Conso!$B$3,"[Tab_concat].[Type]","[Tab_concat].[Type].&amp;[Consommation]","[Tab_concat].[Detail usage]","[Tab_concat].[Detail usage].&amp;["&amp;$C29&amp;"]","[Tab_concat].[Annee]","[Tab_concat].[Annee].&amp;["&amp;G$11&amp;"]"),0)</f>
        <v>354637.25661145058</v>
      </c>
      <c r="H29" s="460">
        <f>IFERROR(GETPIVOTDATA("[Measures].[Somme de Conso_kWh_PCI]",TCD_Conso!$B$3,"[Tab_concat].[Type]","[Tab_concat].[Type].&amp;[Consommation]","[Tab_concat].[Detail usage]","[Tab_concat].[Detail usage].&amp;["&amp;$C29&amp;"]","[Tab_concat].[Annee]","[Tab_concat].[Annee].&amp;["&amp;H$11&amp;"]"),0)</f>
        <v>253047.19558267947</v>
      </c>
      <c r="I29" s="460">
        <f>IFERROR(GETPIVOTDATA("[Measures].[Somme de Conso_kWh_PCI]",TCD_Conso!$B$3,"[Tab_concat].[Type]","[Tab_concat].[Type].&amp;[Consommation]","[Tab_concat].[Detail usage]","[Tab_concat].[Detail usage].&amp;["&amp;$C29&amp;"]","[Tab_concat].[Annee]","[Tab_concat].[Annee].&amp;["&amp;I$11&amp;"]"),0)</f>
        <v>261365.09735542</v>
      </c>
      <c r="J29" s="460">
        <f>IFERROR(GETPIVOTDATA("[Measures].[Somme de Conso_kWh_PCI]",TCD_Conso!$B$3,"[Tab_concat].[Type]","[Tab_concat].[Type].&amp;[Consommation]","[Tab_concat].[Detail usage]","[Tab_concat].[Detail usage].&amp;["&amp;$C29&amp;"]","[Tab_concat].[Annee]","[Tab_concat].[Annee].&amp;["&amp;J$11&amp;"]"),0)</f>
        <v>264427.92792792822</v>
      </c>
      <c r="K29" s="460">
        <f>IFERROR(GETPIVOTDATA("[Measures].[Somme de Conso_kWh_PCI]",TCD_Conso!$B$3,"[Tab_concat].[Type]","[Tab_concat].[Type].&amp;[Consommation]","[Tab_concat].[Detail usage]","[Tab_concat].[Detail usage].&amp;["&amp;$C29&amp;"]","[Tab_concat].[Annee]","[Tab_concat].[Annee].&amp;["&amp;K$11&amp;"]"),0)</f>
        <v>0</v>
      </c>
      <c r="L29" s="460">
        <f>IFERROR(GETPIVOTDATA("[Measures].[Somme de Conso_kWh_PCI]",TCD_Conso!$B$3,"[Tab_concat].[Type]","[Tab_concat].[Type].&amp;[Consommation]","[Tab_concat].[Detail usage]","[Tab_concat].[Detail usage].&amp;["&amp;$C29&amp;"]","[Tab_concat].[Annee]","[Tab_concat].[Annee].&amp;["&amp;L$11&amp;"]"),0)</f>
        <v>0</v>
      </c>
      <c r="M29" s="460">
        <f>IFERROR(GETPIVOTDATA("[Measures].[Somme de Conso_kWh_PCI]",TCD_Conso!$B$3,"[Tab_concat].[Type]","[Tab_concat].[Type].&amp;[Consommation]","[Tab_concat].[Detail usage]","[Tab_concat].[Detail usage].&amp;["&amp;$C29&amp;"]","[Tab_concat].[Annee]","[Tab_concat].[Annee].&amp;["&amp;M$11&amp;"]"),0)</f>
        <v>0</v>
      </c>
      <c r="N29" s="460">
        <f>IFERROR(GETPIVOTDATA("[Measures].[Somme de Conso_kWh_PCI]",TCD_Conso!$B$3,"[Tab_concat].[Type]","[Tab_concat].[Type].&amp;[Consommation]","[Tab_concat].[Detail usage]","[Tab_concat].[Detail usage].&amp;["&amp;$C29&amp;"]","[Tab_concat].[Annee]","[Tab_concat].[Annee].&amp;["&amp;N$11&amp;"]"),0)</f>
        <v>0</v>
      </c>
      <c r="O29" s="460">
        <f>IFERROR(GETPIVOTDATA("[Measures].[Somme de Conso_kWh_PCI]",TCD_Conso!$B$3,"[Tab_concat].[Type]","[Tab_concat].[Type].&amp;[Consommation]","[Tab_concat].[Detail usage]","[Tab_concat].[Detail usage].&amp;["&amp;$C29&amp;"]","[Tab_concat].[Annee]","[Tab_concat].[Annee].&amp;["&amp;O$11&amp;"]"),0)</f>
        <v>0</v>
      </c>
    </row>
    <row r="30" spans="2:23">
      <c r="B30" s="556"/>
      <c r="C30" s="32" t="s">
        <v>377</v>
      </c>
      <c r="D30">
        <f>SUM(D25:D29)</f>
        <v>0</v>
      </c>
      <c r="E30">
        <f t="shared" ref="E30:O30" si="3">SUM(E25:E29)</f>
        <v>342772.97297297243</v>
      </c>
      <c r="F30">
        <f t="shared" si="3"/>
        <v>414052.25225225126</v>
      </c>
      <c r="G30">
        <f t="shared" si="3"/>
        <v>354637.25661145058</v>
      </c>
      <c r="H30">
        <f t="shared" si="3"/>
        <v>253047.19558267947</v>
      </c>
      <c r="I30">
        <f t="shared" si="3"/>
        <v>261365.09735542</v>
      </c>
      <c r="J30">
        <f t="shared" si="3"/>
        <v>264427.92792792822</v>
      </c>
      <c r="K30">
        <f t="shared" si="3"/>
        <v>0</v>
      </c>
      <c r="L30">
        <f t="shared" si="3"/>
        <v>0</v>
      </c>
      <c r="M30">
        <f>SUM(M25:M29)</f>
        <v>0</v>
      </c>
      <c r="N30">
        <f t="shared" si="3"/>
        <v>0</v>
      </c>
      <c r="O30">
        <f t="shared" si="3"/>
        <v>0</v>
      </c>
    </row>
    <row r="31" spans="2:23">
      <c r="B31" s="556"/>
      <c r="C31" s="32" t="s">
        <v>378</v>
      </c>
      <c r="D31">
        <f>D30+D24+D19</f>
        <v>0</v>
      </c>
      <c r="E31">
        <f t="shared" ref="E31:J31" si="4">E30+E24+E19</f>
        <v>342772.97297297243</v>
      </c>
      <c r="F31">
        <f t="shared" si="4"/>
        <v>414052.25225225126</v>
      </c>
      <c r="G31">
        <f t="shared" si="4"/>
        <v>354637.25661145058</v>
      </c>
      <c r="H31">
        <f t="shared" si="4"/>
        <v>253047.19558267947</v>
      </c>
      <c r="I31">
        <f t="shared" si="4"/>
        <v>261365.09735542</v>
      </c>
      <c r="J31">
        <f t="shared" si="4"/>
        <v>264427.92792792822</v>
      </c>
      <c r="K31">
        <f>K30+K24+K19</f>
        <v>0</v>
      </c>
      <c r="L31">
        <f>L30+L24+L19</f>
        <v>0</v>
      </c>
      <c r="M31">
        <f>M30+M24+M19</f>
        <v>0</v>
      </c>
      <c r="N31">
        <f>N30+N24+N19</f>
        <v>0</v>
      </c>
      <c r="O31">
        <f>O30+O24+O19</f>
        <v>0</v>
      </c>
    </row>
    <row r="32" spans="2:23">
      <c r="B32" s="557" t="s">
        <v>379</v>
      </c>
      <c r="C32" s="32" t="s">
        <v>380</v>
      </c>
      <c r="D32" t="e">
        <f>VLOOKUP(D11,Site!$B$8:$E$28,2,FALSE)</f>
        <v>#N/A</v>
      </c>
      <c r="E32" s="495">
        <f>VLOOKUP(E11,Site!$B$8:$E$28,2,FALSE)</f>
        <v>0</v>
      </c>
      <c r="F32" s="495">
        <f>VLOOKUP(F11,Site!$B$8:$E$28,2,FALSE)</f>
        <v>0</v>
      </c>
      <c r="G32" s="495">
        <f>VLOOKUP(G11,Site!$B$8:$E$28,2,FALSE)</f>
        <v>0</v>
      </c>
      <c r="H32" s="495">
        <f>VLOOKUP(H11,Site!$B$8:$E$28,2,FALSE)</f>
        <v>0</v>
      </c>
      <c r="I32" s="495">
        <f>VLOOKUP(I11,Site!$B$8:$E$28,2,FALSE)</f>
        <v>0</v>
      </c>
      <c r="J32" s="495">
        <f>VLOOKUP(J11,Site!$B$8:$E$28,2,FALSE)</f>
        <v>0</v>
      </c>
      <c r="K32" s="495">
        <f>VLOOKUP(K11,Site!$B$8:$E$28,2,FALSE)</f>
        <v>0</v>
      </c>
      <c r="L32" s="495">
        <f>VLOOKUP(L11,Site!$B$8:$E$28,2,FALSE)</f>
        <v>0</v>
      </c>
      <c r="M32" s="495">
        <f>VLOOKUP(M11,Site!$B$8:$E$28,2,FALSE)</f>
        <v>0</v>
      </c>
      <c r="N32" s="495">
        <f>VLOOKUP(N11,Site!$B$8:$E$28,2,FALSE)</f>
        <v>0</v>
      </c>
      <c r="O32" s="495">
        <f>VLOOKUP(O11,Site!$B$8:$E$28,2,FALSE)</f>
        <v>0</v>
      </c>
    </row>
    <row r="33" spans="2:15">
      <c r="B33" s="557"/>
      <c r="C33" s="32" t="s">
        <v>27</v>
      </c>
      <c r="D33">
        <f>IF(D11&lt;=$R$14,D14/D32,0)</f>
        <v>0</v>
      </c>
      <c r="E33" t="e">
        <f t="shared" ref="E33:O33" si="5">IF(E11&lt;=$R$14,E14/E32,0)</f>
        <v>#DIV/0!</v>
      </c>
      <c r="F33" t="e">
        <f t="shared" si="5"/>
        <v>#DIV/0!</v>
      </c>
      <c r="G33" t="e">
        <f t="shared" si="5"/>
        <v>#DIV/0!</v>
      </c>
      <c r="H33" t="e">
        <f t="shared" si="5"/>
        <v>#DIV/0!</v>
      </c>
      <c r="I33" t="e">
        <f t="shared" si="5"/>
        <v>#DIV/0!</v>
      </c>
      <c r="J33" t="e">
        <f t="shared" si="5"/>
        <v>#DIV/0!</v>
      </c>
      <c r="K33">
        <f t="shared" si="5"/>
        <v>0</v>
      </c>
      <c r="L33">
        <f t="shared" si="5"/>
        <v>0</v>
      </c>
      <c r="M33">
        <f t="shared" si="5"/>
        <v>0</v>
      </c>
      <c r="N33">
        <f t="shared" si="5"/>
        <v>0</v>
      </c>
      <c r="O33">
        <f t="shared" si="5"/>
        <v>0</v>
      </c>
    </row>
    <row r="34" spans="2:15">
      <c r="B34" s="557"/>
      <c r="C34" s="32" t="s">
        <v>322</v>
      </c>
      <c r="D34">
        <f>IF(D11&lt;=$R$14,D30/D32,0)</f>
        <v>0</v>
      </c>
      <c r="E34" t="e">
        <f t="shared" ref="E34:O34" si="6">IF(E11&lt;=$R$14,E30/E32,0)</f>
        <v>#DIV/0!</v>
      </c>
      <c r="F34" t="e">
        <f t="shared" si="6"/>
        <v>#DIV/0!</v>
      </c>
      <c r="G34" t="e">
        <f t="shared" si="6"/>
        <v>#DIV/0!</v>
      </c>
      <c r="H34" t="e">
        <f t="shared" si="6"/>
        <v>#DIV/0!</v>
      </c>
      <c r="I34" t="e">
        <f t="shared" si="6"/>
        <v>#DIV/0!</v>
      </c>
      <c r="J34" t="e">
        <f t="shared" si="6"/>
        <v>#DIV/0!</v>
      </c>
      <c r="K34">
        <f t="shared" si="6"/>
        <v>0</v>
      </c>
      <c r="L34">
        <f t="shared" si="6"/>
        <v>0</v>
      </c>
      <c r="M34">
        <f t="shared" si="6"/>
        <v>0</v>
      </c>
      <c r="N34">
        <f t="shared" si="6"/>
        <v>0</v>
      </c>
      <c r="O34">
        <f t="shared" si="6"/>
        <v>0</v>
      </c>
    </row>
    <row r="35" spans="2:15">
      <c r="B35" s="47"/>
      <c r="C35" s="32" t="str">
        <f>IF(D26&gt;0,"ECS", IF(D28&gt;0,"ECS estimée","ECS+Cuisson estimées"))</f>
        <v>ECS+Cuisson estimées</v>
      </c>
      <c r="D35">
        <f>IF(D11&lt;=$R$14,IF(D26&gt;0,D26,HLOOKUP(D11,Estimation_ECS!$C$27:$R$30,4))/D32,0)</f>
        <v>0</v>
      </c>
      <c r="E35" t="e">
        <f>IF(E11&lt;=$R$14,IF(E26&gt;0,E26,HLOOKUP(E11,Estimation_ECS!$C$27:$R$30,4))/E32,0)</f>
        <v>#DIV/0!</v>
      </c>
      <c r="F35" t="e">
        <f>IF(F11&lt;=$R$14,IF(F26&gt;0,F26,HLOOKUP(F11,Estimation_ECS!$C$27:$R$30,4))/F32,0)</f>
        <v>#DIV/0!</v>
      </c>
      <c r="G35" t="e">
        <f>IF(G11&lt;=$R$14,IF(G26&gt;0,G26,HLOOKUP(G11,Estimation_ECS!$C$27:$R$30,4))/G32,0)</f>
        <v>#DIV/0!</v>
      </c>
      <c r="H35" t="e">
        <f>IF(H11&lt;=$R$14,IF(H26&gt;0,H26,HLOOKUP(H11,Estimation_ECS!$C$27:$R$30,4))/H32,0)</f>
        <v>#DIV/0!</v>
      </c>
      <c r="I35" t="e">
        <f>IF(I11&lt;=$R$14,IF(I26&gt;0,I26,HLOOKUP(I11,Estimation_ECS!$C$27:$R$30,4))/I32,0)</f>
        <v>#DIV/0!</v>
      </c>
      <c r="J35" t="e">
        <f>IF(J11&lt;=$R$14,IF(J26&gt;0,J26,HLOOKUP(J11,Estimation_ECS!$C$27:$R$30,4))/J32,0)</f>
        <v>#DIV/0!</v>
      </c>
      <c r="K35">
        <f>IF(K11&lt;=$R$14,IF(K26&gt;0,K26,HLOOKUP(K11,Estimation_ECS!$C$27:$R$30,4))/K32,0)</f>
        <v>0</v>
      </c>
      <c r="L35">
        <f>IF(L11&lt;=$R$14,IF(L26&gt;0,L26,HLOOKUP(L11,Estimation_ECS!$C$27:$R$30,4))/L32,0)</f>
        <v>0</v>
      </c>
      <c r="M35">
        <f>IF(M11&lt;=$R$14,IF(M26&gt;0,M26,HLOOKUP(M11,Estimation_ECS!$C$27:$R$30,4))/M32,0)</f>
        <v>0</v>
      </c>
      <c r="N35">
        <f>IF(N11&lt;=$R$14,IF(N26&gt;0,N26,HLOOKUP(N11,Estimation_ECS!$C$27:$R$30,4))/N32,0)</f>
        <v>0</v>
      </c>
      <c r="O35">
        <f>IF(O11&lt;=$R$14,IF(O26&gt;0,O26,HLOOKUP(O11,Estimation_ECS!$C$27:$R$30,4))/O32,0)</f>
        <v>0</v>
      </c>
    </row>
    <row r="36" spans="2:15">
      <c r="B36" s="47"/>
      <c r="C36" s="32" t="s">
        <v>381</v>
      </c>
      <c r="D36">
        <f>D34-D35</f>
        <v>0</v>
      </c>
      <c r="E36" t="e">
        <f t="shared" ref="E36:O36" si="7">E34-E35</f>
        <v>#DIV/0!</v>
      </c>
      <c r="F36" t="e">
        <f t="shared" si="7"/>
        <v>#DIV/0!</v>
      </c>
      <c r="G36" t="e">
        <f t="shared" si="7"/>
        <v>#DIV/0!</v>
      </c>
      <c r="H36" t="e">
        <f t="shared" si="7"/>
        <v>#DIV/0!</v>
      </c>
      <c r="I36" t="e">
        <f t="shared" si="7"/>
        <v>#DIV/0!</v>
      </c>
      <c r="J36" t="e">
        <f t="shared" si="7"/>
        <v>#DIV/0!</v>
      </c>
      <c r="K36">
        <f t="shared" si="7"/>
        <v>0</v>
      </c>
      <c r="L36">
        <f t="shared" si="7"/>
        <v>0</v>
      </c>
      <c r="M36">
        <f t="shared" si="7"/>
        <v>0</v>
      </c>
      <c r="N36">
        <f t="shared" si="7"/>
        <v>0</v>
      </c>
      <c r="O36">
        <f t="shared" si="7"/>
        <v>0</v>
      </c>
    </row>
    <row r="37" spans="2:15">
      <c r="B37" s="47"/>
      <c r="C37" s="32" t="s">
        <v>382</v>
      </c>
      <c r="D37">
        <f>IF(D11&lt;=$R$14,D19/D32,0)</f>
        <v>0</v>
      </c>
      <c r="E37" t="e">
        <f t="shared" ref="E37:O37" si="8">IF(E11&lt;=$R$14,E19/E32,0)</f>
        <v>#DIV/0!</v>
      </c>
      <c r="F37" t="e">
        <f t="shared" si="8"/>
        <v>#DIV/0!</v>
      </c>
      <c r="G37" t="e">
        <f t="shared" si="8"/>
        <v>#DIV/0!</v>
      </c>
      <c r="H37" t="e">
        <f t="shared" si="8"/>
        <v>#DIV/0!</v>
      </c>
      <c r="I37" t="e">
        <f t="shared" si="8"/>
        <v>#DIV/0!</v>
      </c>
      <c r="J37" t="e">
        <f t="shared" si="8"/>
        <v>#DIV/0!</v>
      </c>
      <c r="K37">
        <f t="shared" si="8"/>
        <v>0</v>
      </c>
      <c r="L37">
        <f t="shared" si="8"/>
        <v>0</v>
      </c>
      <c r="M37">
        <f t="shared" si="8"/>
        <v>0</v>
      </c>
      <c r="N37">
        <f t="shared" si="8"/>
        <v>0</v>
      </c>
      <c r="O37">
        <f t="shared" si="8"/>
        <v>0</v>
      </c>
    </row>
    <row r="38" spans="2:15">
      <c r="B38" s="47"/>
      <c r="C38" s="32" t="s">
        <v>383</v>
      </c>
      <c r="D38">
        <f>IF(D11&lt;=$R$14,D24/D32,0)</f>
        <v>0</v>
      </c>
      <c r="E38" t="e">
        <f t="shared" ref="E38:O38" si="9">IF(E11&lt;=$R$14,E24/E32,0)</f>
        <v>#DIV/0!</v>
      </c>
      <c r="F38" t="e">
        <f t="shared" si="9"/>
        <v>#DIV/0!</v>
      </c>
      <c r="G38" t="e">
        <f t="shared" si="9"/>
        <v>#DIV/0!</v>
      </c>
      <c r="H38" t="e">
        <f t="shared" si="9"/>
        <v>#DIV/0!</v>
      </c>
      <c r="I38" t="e">
        <f t="shared" si="9"/>
        <v>#DIV/0!</v>
      </c>
      <c r="J38" t="e">
        <f t="shared" si="9"/>
        <v>#DIV/0!</v>
      </c>
      <c r="K38">
        <f t="shared" si="9"/>
        <v>0</v>
      </c>
      <c r="L38">
        <f t="shared" si="9"/>
        <v>0</v>
      </c>
      <c r="M38">
        <f t="shared" si="9"/>
        <v>0</v>
      </c>
      <c r="N38">
        <f t="shared" si="9"/>
        <v>0</v>
      </c>
      <c r="O38">
        <f t="shared" si="9"/>
        <v>0</v>
      </c>
    </row>
    <row r="39" spans="2:15">
      <c r="C39" s="32" t="s">
        <v>384</v>
      </c>
      <c r="D39">
        <f>IF(D11&lt;=$R$14,D33+D34+D37+D38,0)</f>
        <v>0</v>
      </c>
      <c r="E39" t="e">
        <f t="shared" ref="E39:O39" si="10">IF(E11&lt;=$R$14,E33+E34+E37+E38,0)</f>
        <v>#DIV/0!</v>
      </c>
      <c r="F39" t="e">
        <f t="shared" si="10"/>
        <v>#DIV/0!</v>
      </c>
      <c r="G39" t="e">
        <f t="shared" si="10"/>
        <v>#DIV/0!</v>
      </c>
      <c r="H39" t="e">
        <f t="shared" si="10"/>
        <v>#DIV/0!</v>
      </c>
      <c r="I39" t="e">
        <f t="shared" si="10"/>
        <v>#DIV/0!</v>
      </c>
      <c r="J39" t="e">
        <f t="shared" si="10"/>
        <v>#DIV/0!</v>
      </c>
      <c r="K39">
        <f t="shared" si="10"/>
        <v>0</v>
      </c>
      <c r="L39">
        <f t="shared" si="10"/>
        <v>0</v>
      </c>
      <c r="M39">
        <f t="shared" si="10"/>
        <v>0</v>
      </c>
      <c r="N39">
        <f t="shared" si="10"/>
        <v>0</v>
      </c>
      <c r="O39">
        <f t="shared" si="10"/>
        <v>0</v>
      </c>
    </row>
    <row r="40" spans="2:15" s="503" customFormat="1">
      <c r="B40" s="150" t="s">
        <v>922</v>
      </c>
      <c r="C40" s="32" t="s">
        <v>923</v>
      </c>
      <c r="D40" s="503">
        <f>IFERROR(GETPIVOTDATA("[Measures].[Somme de Demande_jour]",TCD_Conso!$B$3,"[Tab_concat].[Type]","[Tab_concat].[Type].&amp;[Consommation]","[Tab_concat].[Detail usage]","[Tab_concat].[Detail usage].&amp;[General EF]","[Tab_concat].[Annee]","[Tab_concat].[Annee].&amp;["&amp;D11&amp;"]"),0)</f>
        <v>0</v>
      </c>
      <c r="E40" s="503">
        <f>IFERROR(GETPIVOTDATA("[Measures].[Somme de Demande_jour]",TCD_Conso!$B$3,"[Tab_concat].[Type]","[Tab_concat].[Type].&amp;[Consommation]","[Tab_concat].[Detail usage]","[Tab_concat].[Detail usage].&amp;[General EF]","[Tab_concat].[Annee]","[Tab_concat].[Annee].&amp;["&amp;E11&amp;"]"),0)</f>
        <v>1801</v>
      </c>
      <c r="F40" s="503">
        <f>IFERROR(GETPIVOTDATA("[Measures].[Somme de Demande_jour]",TCD_Conso!$B$3,"[Tab_concat].[Type]","[Tab_concat].[Type].&amp;[Consommation]","[Tab_concat].[Detail usage]","[Tab_concat].[Detail usage].&amp;[General EF]","[Tab_concat].[Annee]","[Tab_concat].[Annee].&amp;["&amp;F11&amp;"]"),0)</f>
        <v>0</v>
      </c>
      <c r="G40" s="503">
        <f>IFERROR(GETPIVOTDATA("[Measures].[Somme de Demande_jour]",TCD_Conso!$B$3,"[Tab_concat].[Type]","[Tab_concat].[Type].&amp;[Consommation]","[Tab_concat].[Detail usage]","[Tab_concat].[Detail usage].&amp;[General EF]","[Tab_concat].[Annee]","[Tab_concat].[Annee].&amp;["&amp;G11&amp;"]"),0)</f>
        <v>0</v>
      </c>
      <c r="H40" s="503">
        <f>IFERROR(GETPIVOTDATA("[Measures].[Somme de Demande_jour]",TCD_Conso!$B$3,"[Tab_concat].[Type]","[Tab_concat].[Type].&amp;[Consommation]","[Tab_concat].[Detail usage]","[Tab_concat].[Detail usage].&amp;[General EF]","[Tab_concat].[Annee]","[Tab_concat].[Annee].&amp;["&amp;H11&amp;"]"),0)</f>
        <v>1770.3477777777782</v>
      </c>
      <c r="I40" s="503">
        <f>IFERROR(GETPIVOTDATA("[Measures].[Somme de Demande_jour]",TCD_Conso!$B$3,"[Tab_concat].[Type]","[Tab_concat].[Type].&amp;[Consommation]","[Tab_concat].[Detail usage]","[Tab_concat].[Detail usage].&amp;[General EF]","[Tab_concat].[Annee]","[Tab_concat].[Annee].&amp;["&amp;I11&amp;"]"),0)</f>
        <v>1682.9444870634065</v>
      </c>
      <c r="J40" s="503">
        <f>IFERROR(GETPIVOTDATA("[Measures].[Somme de Demande_jour]",TCD_Conso!$B$3,"[Tab_concat].[Type]","[Tab_concat].[Type].&amp;[Consommation]","[Tab_concat].[Detail usage]","[Tab_concat].[Detail usage].&amp;[General EF]","[Tab_concat].[Annee]","[Tab_concat].[Annee].&amp;["&amp;J11&amp;"]"),0)</f>
        <v>1937.2257891866773</v>
      </c>
      <c r="K40" s="503">
        <f>IFERROR(GETPIVOTDATA("[Measures].[Somme de Demande_jour]",TCD_Conso!$B$3,"[Tab_concat].[Type]","[Tab_concat].[Type].&amp;[Consommation]","[Tab_concat].[Detail usage]","[Tab_concat].[Detail usage].&amp;[General EF]","[Tab_concat].[Annee]","[Tab_concat].[Annee].&amp;["&amp;K11&amp;"]"),0)</f>
        <v>32.666666666666671</v>
      </c>
      <c r="L40" s="503">
        <f>IFERROR(GETPIVOTDATA("[Measures].[Somme de Demande_jour]",TCD_Conso!$B$3,"[Tab_concat].[Type]","[Tab_concat].[Type].&amp;[Consommation]","[Tab_concat].[Detail usage]","[Tab_concat].[Detail usage].&amp;[General EF]","[Tab_concat].[Annee]","[Tab_concat].[Annee].&amp;["&amp;L11&amp;"]"),0)</f>
        <v>0</v>
      </c>
      <c r="M40" s="503">
        <f>IFERROR(GETPIVOTDATA("[Measures].[Somme de Demande_jour]",TCD_Conso!$B$3,"[Tab_concat].[Type]","[Tab_concat].[Type].&amp;[Consommation]","[Tab_concat].[Detail usage]","[Tab_concat].[Detail usage].&amp;[General EF]","[Tab_concat].[Annee]","[Tab_concat].[Annee].&amp;["&amp;M11&amp;"]"),0)</f>
        <v>0</v>
      </c>
      <c r="N40" s="503">
        <f>IFERROR(GETPIVOTDATA("[Measures].[Somme de Demande_jour]",TCD_Conso!$B$3,"[Tab_concat].[Type]","[Tab_concat].[Type].&amp;[Consommation]","[Tab_concat].[Detail usage]","[Tab_concat].[Detail usage].&amp;[General EF]","[Tab_concat].[Annee]","[Tab_concat].[Annee].&amp;["&amp;N11&amp;"]"),0)</f>
        <v>0</v>
      </c>
      <c r="O40" s="503">
        <f>IFERROR(GETPIVOTDATA("[Measures].[Somme de Demande_jour]",TCD_Conso!$B$3,"[Tab_concat].[Type]","[Tab_concat].[Type].&amp;[Consommation]","[Tab_concat].[Detail usage]","[Tab_concat].[Detail usage].&amp;[General EF]","[Tab_concat].[Annee]","[Tab_concat].[Annee].&amp;["&amp;O11&amp;"]"),0)</f>
        <v>0</v>
      </c>
    </row>
    <row r="42" spans="2:15">
      <c r="C42" t="s">
        <v>355</v>
      </c>
      <c r="D42">
        <f>$R$9</f>
        <v>0</v>
      </c>
      <c r="E42">
        <f t="shared" ref="E42:O42" si="11">$R$9</f>
        <v>0</v>
      </c>
      <c r="F42">
        <f t="shared" si="11"/>
        <v>0</v>
      </c>
      <c r="G42">
        <f t="shared" si="11"/>
        <v>0</v>
      </c>
      <c r="H42">
        <f t="shared" si="11"/>
        <v>0</v>
      </c>
      <c r="I42">
        <f t="shared" si="11"/>
        <v>0</v>
      </c>
      <c r="J42">
        <f t="shared" si="11"/>
        <v>0</v>
      </c>
      <c r="K42">
        <f t="shared" si="11"/>
        <v>0</v>
      </c>
      <c r="L42">
        <f t="shared" si="11"/>
        <v>0</v>
      </c>
      <c r="M42">
        <f t="shared" si="11"/>
        <v>0</v>
      </c>
      <c r="N42">
        <f t="shared" si="11"/>
        <v>0</v>
      </c>
      <c r="O42">
        <f t="shared" si="11"/>
        <v>0</v>
      </c>
    </row>
    <row r="43" spans="2:15">
      <c r="C43" s="32" t="s">
        <v>385</v>
      </c>
      <c r="D43" s="51">
        <f>E43</f>
        <v>0</v>
      </c>
      <c r="E43" s="49">
        <f>IF(E44*0.9&lt;$R$9,$R$9,E44*0.9)</f>
        <v>0</v>
      </c>
      <c r="F43" s="49">
        <f t="shared" ref="F43:O43" si="12">IF(F44*0.9&lt;$R$9,$R$9,F44*0.9)</f>
        <v>0</v>
      </c>
      <c r="G43" s="49">
        <f t="shared" si="12"/>
        <v>0</v>
      </c>
      <c r="H43" s="49">
        <f t="shared" si="12"/>
        <v>0</v>
      </c>
      <c r="I43" s="49">
        <f t="shared" si="12"/>
        <v>0</v>
      </c>
      <c r="J43" s="49">
        <f t="shared" si="12"/>
        <v>0</v>
      </c>
      <c r="K43" s="49">
        <f t="shared" si="12"/>
        <v>0</v>
      </c>
      <c r="L43" s="49">
        <f t="shared" si="12"/>
        <v>0</v>
      </c>
      <c r="M43" s="49">
        <f t="shared" si="12"/>
        <v>0</v>
      </c>
      <c r="N43" s="49">
        <f t="shared" si="12"/>
        <v>0</v>
      </c>
      <c r="O43" s="49">
        <f t="shared" si="12"/>
        <v>0</v>
      </c>
    </row>
    <row r="44" spans="2:15">
      <c r="C44" s="32" t="s">
        <v>386</v>
      </c>
      <c r="D44">
        <f>R8</f>
        <v>0</v>
      </c>
      <c r="E44">
        <f>R8</f>
        <v>0</v>
      </c>
      <c r="F44" s="50">
        <f t="shared" ref="F44:O44" si="13">($R$9-$R$8)/($O$11-$E$11)*(F11-$E$11)+$E$44</f>
        <v>0</v>
      </c>
      <c r="G44" s="50">
        <f t="shared" si="13"/>
        <v>0</v>
      </c>
      <c r="H44" s="50">
        <f t="shared" si="13"/>
        <v>0</v>
      </c>
      <c r="I44" s="50">
        <f t="shared" si="13"/>
        <v>0</v>
      </c>
      <c r="J44" s="50">
        <f t="shared" si="13"/>
        <v>0</v>
      </c>
      <c r="K44" s="50">
        <f t="shared" si="13"/>
        <v>0</v>
      </c>
      <c r="L44" s="50">
        <f t="shared" si="13"/>
        <v>0</v>
      </c>
      <c r="M44" s="50">
        <f t="shared" si="13"/>
        <v>0</v>
      </c>
      <c r="N44" s="50">
        <f t="shared" si="13"/>
        <v>0</v>
      </c>
      <c r="O44" s="50">
        <f t="shared" si="13"/>
        <v>0</v>
      </c>
    </row>
    <row r="45" spans="2:15">
      <c r="C45" s="32" t="s">
        <v>387</v>
      </c>
      <c r="D45" s="51">
        <f>E45</f>
        <v>0</v>
      </c>
      <c r="E45" s="49">
        <f t="shared" ref="E45:O45" si="14">IF(1.1*E44 &gt;$R$8,$R$8,1.1*E44)</f>
        <v>0</v>
      </c>
      <c r="F45" s="49">
        <f t="shared" si="14"/>
        <v>0</v>
      </c>
      <c r="G45" s="49">
        <f t="shared" si="14"/>
        <v>0</v>
      </c>
      <c r="H45" s="49">
        <f t="shared" si="14"/>
        <v>0</v>
      </c>
      <c r="I45" s="49">
        <f t="shared" si="14"/>
        <v>0</v>
      </c>
      <c r="J45" s="49">
        <f t="shared" si="14"/>
        <v>0</v>
      </c>
      <c r="K45" s="49">
        <f t="shared" si="14"/>
        <v>0</v>
      </c>
      <c r="L45" s="49">
        <f t="shared" si="14"/>
        <v>0</v>
      </c>
      <c r="M45" s="49">
        <f t="shared" si="14"/>
        <v>0</v>
      </c>
      <c r="N45" s="49">
        <f t="shared" si="14"/>
        <v>0</v>
      </c>
      <c r="O45" s="49">
        <f t="shared" si="14"/>
        <v>0</v>
      </c>
    </row>
    <row r="46" spans="2:15">
      <c r="C46" s="32" t="s">
        <v>388</v>
      </c>
      <c r="D46">
        <f>$R$8</f>
        <v>0</v>
      </c>
      <c r="E46">
        <f t="shared" ref="E46:O46" si="15">$R$8</f>
        <v>0</v>
      </c>
      <c r="F46">
        <f t="shared" si="15"/>
        <v>0</v>
      </c>
      <c r="G46">
        <f t="shared" si="15"/>
        <v>0</v>
      </c>
      <c r="H46">
        <f t="shared" si="15"/>
        <v>0</v>
      </c>
      <c r="I46">
        <f t="shared" si="15"/>
        <v>0</v>
      </c>
      <c r="J46">
        <f t="shared" si="15"/>
        <v>0</v>
      </c>
      <c r="K46">
        <f t="shared" si="15"/>
        <v>0</v>
      </c>
      <c r="L46">
        <f t="shared" si="15"/>
        <v>0</v>
      </c>
      <c r="M46">
        <f t="shared" si="15"/>
        <v>0</v>
      </c>
      <c r="N46">
        <f t="shared" si="15"/>
        <v>0</v>
      </c>
      <c r="O46">
        <f t="shared" si="15"/>
        <v>0</v>
      </c>
    </row>
    <row r="47" spans="2:15">
      <c r="C47" s="32" t="s">
        <v>389</v>
      </c>
      <c r="D47">
        <f>D46+50</f>
        <v>50</v>
      </c>
      <c r="E47">
        <f t="shared" ref="E47:O47" si="16">E46+50</f>
        <v>50</v>
      </c>
      <c r="F47">
        <f t="shared" si="16"/>
        <v>50</v>
      </c>
      <c r="G47">
        <f t="shared" si="16"/>
        <v>50</v>
      </c>
      <c r="H47">
        <f t="shared" si="16"/>
        <v>50</v>
      </c>
      <c r="I47">
        <f t="shared" si="16"/>
        <v>50</v>
      </c>
      <c r="J47">
        <f t="shared" si="16"/>
        <v>50</v>
      </c>
      <c r="K47">
        <f t="shared" si="16"/>
        <v>50</v>
      </c>
      <c r="L47">
        <f t="shared" si="16"/>
        <v>50</v>
      </c>
      <c r="M47">
        <f t="shared" si="16"/>
        <v>50</v>
      </c>
      <c r="N47">
        <f t="shared" si="16"/>
        <v>50</v>
      </c>
      <c r="O47">
        <f t="shared" si="16"/>
        <v>50</v>
      </c>
    </row>
    <row r="48" spans="2:15">
      <c r="C48" s="32" t="s">
        <v>13</v>
      </c>
      <c r="D48" t="e">
        <f>VLOOKUP(D11,Site!$B$8:$H$23,7,FALSE)</f>
        <v>#N/A</v>
      </c>
      <c r="E48" t="str">
        <f>VLOOKUP(E11,Site!$B$8:$H$23,7,FALSE)</f>
        <v/>
      </c>
      <c r="F48" t="str">
        <f>VLOOKUP(F11,Site!$B$8:$H$23,7,FALSE)</f>
        <v/>
      </c>
      <c r="G48" t="str">
        <f>VLOOKUP(G11,Site!$B$8:$H$23,7,FALSE)</f>
        <v/>
      </c>
      <c r="H48" t="str">
        <f>VLOOKUP(H11,Site!$B$8:$H$23,7,FALSE)</f>
        <v/>
      </c>
      <c r="I48" t="str">
        <f>VLOOKUP(I11,Site!$B$8:$H$23,7,FALSE)</f>
        <v/>
      </c>
      <c r="J48" t="str">
        <f>VLOOKUP(J11,Site!$B$8:$H$23,7,FALSE)</f>
        <v/>
      </c>
      <c r="K48" t="str">
        <f>J48</f>
        <v/>
      </c>
      <c r="L48" t="str">
        <f>K48</f>
        <v/>
      </c>
      <c r="M48" t="str">
        <f>L48</f>
        <v/>
      </c>
      <c r="N48" t="str">
        <f>M48</f>
        <v/>
      </c>
      <c r="O48" t="str">
        <f>N48</f>
        <v/>
      </c>
    </row>
    <row r="50" spans="2:16">
      <c r="C50" s="32" t="s">
        <v>390</v>
      </c>
      <c r="D50" s="53">
        <f>IF(D11&lt;=$R$14,(D15-$G$3)/$G$3,0)</f>
        <v>0</v>
      </c>
      <c r="E50" s="53">
        <f t="shared" ref="E50:O50" si="17">IF(E11&lt;=$R$14,(E15-$G$3)/$G$3,0)</f>
        <v>-0.15150993348974359</v>
      </c>
      <c r="F50" s="53">
        <f t="shared" si="17"/>
        <v>2.4559288835317241E-2</v>
      </c>
      <c r="G50" s="53">
        <f t="shared" si="17"/>
        <v>-0.13299898835532398</v>
      </c>
      <c r="H50" s="53">
        <f t="shared" si="17"/>
        <v>-0.1566757786435351</v>
      </c>
      <c r="I50" s="53">
        <f t="shared" si="17"/>
        <v>-0.10028196904797772</v>
      </c>
      <c r="J50" s="53">
        <f t="shared" si="17"/>
        <v>-0.11922340127854661</v>
      </c>
      <c r="K50" s="53">
        <f t="shared" si="17"/>
        <v>0</v>
      </c>
      <c r="L50" s="53">
        <f t="shared" si="17"/>
        <v>0</v>
      </c>
      <c r="M50" s="53">
        <f t="shared" si="17"/>
        <v>0</v>
      </c>
      <c r="N50" s="53">
        <f t="shared" si="17"/>
        <v>0</v>
      </c>
      <c r="O50" s="53">
        <f t="shared" si="17"/>
        <v>0</v>
      </c>
    </row>
    <row r="51" spans="2:16">
      <c r="C51" s="32" t="s">
        <v>391</v>
      </c>
      <c r="D51" s="53">
        <f>IF(D50&lt;0,"",D50)</f>
        <v>0</v>
      </c>
      <c r="E51" s="53" t="str">
        <f t="shared" ref="E51:O51" si="18">IF(E50&lt;0,"",E50)</f>
        <v/>
      </c>
      <c r="F51" s="53">
        <f t="shared" si="18"/>
        <v>2.4559288835317241E-2</v>
      </c>
      <c r="G51" s="53" t="str">
        <f t="shared" si="18"/>
        <v/>
      </c>
      <c r="H51" s="53" t="str">
        <f t="shared" si="18"/>
        <v/>
      </c>
      <c r="I51" s="53" t="str">
        <f t="shared" si="18"/>
        <v/>
      </c>
      <c r="J51" s="53" t="str">
        <f t="shared" si="18"/>
        <v/>
      </c>
      <c r="K51" s="53">
        <f t="shared" si="18"/>
        <v>0</v>
      </c>
      <c r="L51" s="53">
        <f t="shared" si="18"/>
        <v>0</v>
      </c>
      <c r="M51" s="53">
        <f t="shared" si="18"/>
        <v>0</v>
      </c>
      <c r="N51" s="53">
        <f t="shared" si="18"/>
        <v>0</v>
      </c>
      <c r="O51" s="53">
        <f t="shared" si="18"/>
        <v>0</v>
      </c>
    </row>
    <row r="52" spans="2:16">
      <c r="C52" s="32" t="s">
        <v>392</v>
      </c>
      <c r="D52" s="53">
        <f>IF(D50&gt;0,"",D50)</f>
        <v>0</v>
      </c>
      <c r="E52" s="53">
        <f t="shared" ref="E52:O52" si="19">IF(E50&gt;0,"",E50)</f>
        <v>-0.15150993348974359</v>
      </c>
      <c r="F52" s="53" t="str">
        <f t="shared" si="19"/>
        <v/>
      </c>
      <c r="G52" s="53">
        <f t="shared" si="19"/>
        <v>-0.13299898835532398</v>
      </c>
      <c r="H52" s="53">
        <f t="shared" si="19"/>
        <v>-0.1566757786435351</v>
      </c>
      <c r="I52" s="53">
        <f t="shared" si="19"/>
        <v>-0.10028196904797772</v>
      </c>
      <c r="J52" s="53">
        <f t="shared" si="19"/>
        <v>-0.11922340127854661</v>
      </c>
      <c r="K52" s="53">
        <f t="shared" si="19"/>
        <v>0</v>
      </c>
      <c r="L52" s="53">
        <f t="shared" si="19"/>
        <v>0</v>
      </c>
      <c r="M52" s="53">
        <f t="shared" si="19"/>
        <v>0</v>
      </c>
      <c r="N52" s="53">
        <f t="shared" si="19"/>
        <v>0</v>
      </c>
      <c r="O52" s="53">
        <f t="shared" si="19"/>
        <v>0</v>
      </c>
    </row>
    <row r="54" spans="2:16">
      <c r="B54" s="31" t="s">
        <v>7</v>
      </c>
      <c r="D54">
        <v>2010</v>
      </c>
      <c r="E54">
        <v>2011</v>
      </c>
      <c r="F54">
        <v>2012</v>
      </c>
      <c r="G54">
        <v>2013</v>
      </c>
      <c r="H54">
        <v>2014</v>
      </c>
      <c r="I54">
        <v>2015</v>
      </c>
      <c r="J54">
        <v>2016</v>
      </c>
      <c r="K54">
        <v>2017</v>
      </c>
      <c r="L54">
        <v>2018</v>
      </c>
      <c r="M54">
        <v>2019</v>
      </c>
      <c r="N54">
        <v>2020</v>
      </c>
      <c r="O54">
        <v>2021</v>
      </c>
      <c r="P54">
        <v>2022</v>
      </c>
    </row>
    <row r="55" spans="2:16">
      <c r="B55" s="555" t="s">
        <v>27</v>
      </c>
      <c r="C55" t="s">
        <v>28</v>
      </c>
      <c r="D55" s="468">
        <f>IFERROR(GETPIVOTDATA("[Measures].[Somme de Conso_kWh_PCI]",TCD_Conso!$B$3,"[Tab_concat].[Type]","[Tab_concat].[Type].&amp;[Consommation]","[Tab_concat].[Detail usage]","[Tab_concat].[Detail usage].&amp;["&amp;$C55&amp;"]","[Tab_concat].[Annee]","[Tab_concat].[Annee].&amp;["&amp;D$54&amp;"]"),0)</f>
        <v>96923.999999999971</v>
      </c>
      <c r="E55" s="460">
        <f>IFERROR(GETPIVOTDATA("[Measures].[Somme de Conso_kWh_PCI]",TCD_Conso!$B$3,"[Tab_concat].[Type]","[Tab_concat].[Type].&amp;[Consommation]","[Tab_concat].[Detail usage]","[Tab_concat].[Detail usage].&amp;["&amp;$C55&amp;"]","[Tab_concat].[Annee]","[Tab_concat].[Annee].&amp;["&amp;E$54&amp;"]"),0)</f>
        <v>176664.00000000012</v>
      </c>
      <c r="F55" s="460">
        <f>IFERROR(GETPIVOTDATA("[Measures].[Somme de Conso_kWh_PCI]",TCD_Conso!$B$3,"[Tab_concat].[Type]","[Tab_concat].[Type].&amp;[Consommation]","[Tab_concat].[Detail usage]","[Tab_concat].[Detail usage].&amp;["&amp;$C55&amp;"]","[Tab_concat].[Annee]","[Tab_concat].[Annee].&amp;["&amp;F$54&amp;"]"),0)</f>
        <v>156413.99999999983</v>
      </c>
      <c r="G55" s="460">
        <f>IFERROR(GETPIVOTDATA("[Measures].[Somme de Conso_kWh_PCI]",TCD_Conso!$B$3,"[Tab_concat].[Type]","[Tab_concat].[Type].&amp;[Consommation]","[Tab_concat].[Detail usage]","[Tab_concat].[Detail usage].&amp;["&amp;$C55&amp;"]","[Tab_concat].[Annee]","[Tab_concat].[Annee].&amp;["&amp;G$54&amp;"]"),0)</f>
        <v>138348.99999999997</v>
      </c>
      <c r="H55" s="460">
        <f>IFERROR(GETPIVOTDATA("[Measures].[Somme de Conso_kWh_PCI]",TCD_Conso!$B$3,"[Tab_concat].[Type]","[Tab_concat].[Type].&amp;[Consommation]","[Tab_concat].[Detail usage]","[Tab_concat].[Detail usage].&amp;["&amp;$C55&amp;"]","[Tab_concat].[Annee]","[Tab_concat].[Annee].&amp;["&amp;H$54&amp;"]"),0)</f>
        <v>131926.99999999974</v>
      </c>
      <c r="I55" s="460">
        <f>IFERROR(GETPIVOTDATA("[Measures].[Somme de Conso_kWh_PCI]",TCD_Conso!$B$3,"[Tab_concat].[Type]","[Tab_concat].[Type].&amp;[Consommation]","[Tab_concat].[Detail usage]","[Tab_concat].[Detail usage].&amp;["&amp;$C55&amp;"]","[Tab_concat].[Annee]","[Tab_concat].[Annee].&amp;["&amp;I$54&amp;"]"),0)</f>
        <v>132848.99999999983</v>
      </c>
      <c r="J55" s="460">
        <f>IFERROR(GETPIVOTDATA("[Measures].[Somme de Conso_kWh_PCI]",TCD_Conso!$B$3,"[Tab_concat].[Type]","[Tab_concat].[Type].&amp;[Consommation]","[Tab_concat].[Detail usage]","[Tab_concat].[Detail usage].&amp;["&amp;$C55&amp;"]","[Tab_concat].[Annee]","[Tab_concat].[Annee].&amp;["&amp;J$54&amp;"]"),0)</f>
        <v>129539.00000000025</v>
      </c>
      <c r="K55" s="460">
        <f>IFERROR(GETPIVOTDATA("[Measures].[Somme de Conso_kWh_PCI]",TCD_Conso!$B$3,"[Tab_concat].[Type]","[Tab_concat].[Type].&amp;[Consommation]","[Tab_concat].[Detail usage]","[Tab_concat].[Detail usage].&amp;["&amp;$C55&amp;"]","[Tab_concat].[Annee]","[Tab_concat].[Annee].&amp;["&amp;K$54&amp;"]"),0)</f>
        <v>127550.00000000026</v>
      </c>
      <c r="L55" s="460">
        <f>IFERROR(GETPIVOTDATA("[Measures].[Somme de Conso_kWh_PCI]",TCD_Conso!$B$3,"[Tab_concat].[Type]","[Tab_concat].[Type].&amp;[Consommation]","[Tab_concat].[Detail usage]","[Tab_concat].[Detail usage].&amp;["&amp;$C55&amp;"]","[Tab_concat].[Annee]","[Tab_concat].[Annee].&amp;["&amp;L$54&amp;"]"),0)</f>
        <v>107052.99999999981</v>
      </c>
      <c r="M55" s="460">
        <f>IFERROR(GETPIVOTDATA("[Measures].[Somme de Conso_kWh_PCI]",TCD_Conso!$B$3,"[Tab_concat].[Type]","[Tab_concat].[Type].&amp;[Consommation]","[Tab_concat].[Detail usage]","[Tab_concat].[Detail usage].&amp;["&amp;$C55&amp;"]","[Tab_concat].[Annee]","[Tab_concat].[Annee].&amp;["&amp;M$54&amp;"]"),0)</f>
        <v>109092.00000000023</v>
      </c>
      <c r="N55" s="460">
        <f>IFERROR(GETPIVOTDATA("[Measures].[Somme de Conso_kWh_PCI]",TCD_Conso!$B$3,"[Tab_concat].[Type]","[Tab_concat].[Type].&amp;[Consommation]","[Tab_concat].[Detail usage]","[Tab_concat].[Detail usage].&amp;["&amp;$C55&amp;"]","[Tab_concat].[Annee]","[Tab_concat].[Annee].&amp;["&amp;N$54&amp;"]"),0)</f>
        <v>114406.00000000009</v>
      </c>
      <c r="O55" s="460">
        <f>IFERROR(GETPIVOTDATA("[Measures].[Somme de Conso_kWh_PCI]",TCD_Conso!$B$3,"[Tab_concat].[Type]","[Tab_concat].[Type].&amp;[Consommation]","[Tab_concat].[Detail usage]","[Tab_concat].[Detail usage].&amp;["&amp;$C55&amp;"]","[Tab_concat].[Annee]","[Tab_concat].[Annee].&amp;["&amp;O$54&amp;"]"),0)</f>
        <v>120936.00000000015</v>
      </c>
      <c r="P55" s="460">
        <f>IFERROR(GETPIVOTDATA("[Measures].[Somme de Conso_kWh_PCI]",TCD_Conso!$B$3,"[Tab_concat].[Type]","[Tab_concat].[Type].&amp;[Consommation]","[Tab_concat].[Detail usage]","[Tab_concat].[Detail usage].&amp;["&amp;$C55&amp;"]","[Tab_concat].[Annee]","[Tab_concat].[Annee].&amp;["&amp;P$54&amp;"]"),0)</f>
        <v>125358.99999999997</v>
      </c>
    </row>
    <row r="56" spans="2:16">
      <c r="B56" s="556"/>
      <c r="C56" t="s">
        <v>156</v>
      </c>
      <c r="D56" s="460">
        <f>IFERROR(GETPIVOTDATA("[Measures].[Somme de Conso_kWh_PCI]",TCD_Conso!$B$3,"[Tab_concat].[Type]","[Tab_concat].[Type].&amp;[Consommation]","[Tab_concat].[Detail usage]","[Tab_concat].[Detail usage].&amp;["&amp;$C56&amp;"]","[Tab_concat].[Annee]","[Tab_concat].[Annee].&amp;["&amp;D$54&amp;"]"),0)</f>
        <v>0</v>
      </c>
      <c r="E56" s="460">
        <f>IFERROR(GETPIVOTDATA("[Measures].[Somme de Conso_kWh_PCI]",TCD_Conso!$B$3,"[Tab_concat].[Type]","[Tab_concat].[Type].&amp;[Consommation]","[Tab_concat].[Detail usage]","[Tab_concat].[Detail usage].&amp;["&amp;$C56&amp;"]","[Tab_concat].[Annee]","[Tab_concat].[Annee].&amp;["&amp;E$54&amp;"]"),0)</f>
        <v>0</v>
      </c>
      <c r="F56" s="460">
        <f>IFERROR(GETPIVOTDATA("[Measures].[Somme de Conso_kWh_PCI]",TCD_Conso!$B$3,"[Tab_concat].[Type]","[Tab_concat].[Type].&amp;[Consommation]","[Tab_concat].[Detail usage]","[Tab_concat].[Detail usage].&amp;["&amp;$C56&amp;"]","[Tab_concat].[Annee]","[Tab_concat].[Annee].&amp;["&amp;F$54&amp;"]"),0)</f>
        <v>0</v>
      </c>
      <c r="G56" s="460">
        <f>IFERROR(GETPIVOTDATA("[Measures].[Somme de Conso_kWh_PCI]",TCD_Conso!$B$3,"[Tab_concat].[Type]","[Tab_concat].[Type].&amp;[Consommation]","[Tab_concat].[Detail usage]","[Tab_concat].[Detail usage].&amp;["&amp;$C56&amp;"]","[Tab_concat].[Annee]","[Tab_concat].[Annee].&amp;["&amp;G$54&amp;"]"),0)</f>
        <v>0</v>
      </c>
      <c r="H56" s="460">
        <f>IFERROR(GETPIVOTDATA("[Measures].[Somme de Conso_kWh_PCI]",TCD_Conso!$B$3,"[Tab_concat].[Type]","[Tab_concat].[Type].&amp;[Consommation]","[Tab_concat].[Detail usage]","[Tab_concat].[Detail usage].&amp;["&amp;$C56&amp;"]","[Tab_concat].[Annee]","[Tab_concat].[Annee].&amp;["&amp;H$54&amp;"]"),0)</f>
        <v>0</v>
      </c>
      <c r="I56" s="460">
        <f>IFERROR(GETPIVOTDATA("[Measures].[Somme de Conso_kWh_PCI]",TCD_Conso!$B$3,"[Tab_concat].[Type]","[Tab_concat].[Type].&amp;[Consommation]","[Tab_concat].[Detail usage]","[Tab_concat].[Detail usage].&amp;["&amp;$C56&amp;"]","[Tab_concat].[Annee]","[Tab_concat].[Annee].&amp;["&amp;I$54&amp;"]"),0)</f>
        <v>0</v>
      </c>
      <c r="J56" s="460">
        <f>IFERROR(GETPIVOTDATA("[Measures].[Somme de Conso_kWh_PCI]",TCD_Conso!$B$3,"[Tab_concat].[Type]","[Tab_concat].[Type].&amp;[Consommation]","[Tab_concat].[Detail usage]","[Tab_concat].[Detail usage].&amp;["&amp;$C56&amp;"]","[Tab_concat].[Annee]","[Tab_concat].[Annee].&amp;["&amp;J$54&amp;"]"),0)</f>
        <v>0</v>
      </c>
      <c r="K56" s="460">
        <f>IFERROR(GETPIVOTDATA("[Measures].[Somme de Conso_kWh_PCI]",TCD_Conso!$B$3,"[Tab_concat].[Type]","[Tab_concat].[Type].&amp;[Consommation]","[Tab_concat].[Detail usage]","[Tab_concat].[Detail usage].&amp;["&amp;$C56&amp;"]","[Tab_concat].[Annee]","[Tab_concat].[Annee].&amp;["&amp;K$54&amp;"]"),0)</f>
        <v>0</v>
      </c>
      <c r="L56" s="460">
        <f>IFERROR(GETPIVOTDATA("[Measures].[Somme de Conso_kWh_PCI]",TCD_Conso!$B$3,"[Tab_concat].[Type]","[Tab_concat].[Type].&amp;[Consommation]","[Tab_concat].[Detail usage]","[Tab_concat].[Detail usage].&amp;["&amp;$C56&amp;"]","[Tab_concat].[Annee]","[Tab_concat].[Annee].&amp;["&amp;L$54&amp;"]"),0)</f>
        <v>0</v>
      </c>
      <c r="M56" s="460">
        <f>IFERROR(GETPIVOTDATA("[Measures].[Somme de Conso_kWh_PCI]",TCD_Conso!$B$3,"[Tab_concat].[Type]","[Tab_concat].[Type].&amp;[Consommation]","[Tab_concat].[Detail usage]","[Tab_concat].[Detail usage].&amp;["&amp;$C56&amp;"]","[Tab_concat].[Annee]","[Tab_concat].[Annee].&amp;["&amp;M$54&amp;"]"),0)</f>
        <v>0</v>
      </c>
      <c r="N56" s="460">
        <f>IFERROR(GETPIVOTDATA("[Measures].[Somme de Conso_kWh_PCI]",TCD_Conso!$B$3,"[Tab_concat].[Type]","[Tab_concat].[Type].&amp;[Consommation]","[Tab_concat].[Detail usage]","[Tab_concat].[Detail usage].&amp;["&amp;$C56&amp;"]","[Tab_concat].[Annee]","[Tab_concat].[Annee].&amp;["&amp;N$54&amp;"]"),0)</f>
        <v>0</v>
      </c>
      <c r="O56" s="460">
        <f>IFERROR(GETPIVOTDATA("[Measures].[Somme de Conso_kWh_PCI]",TCD_Conso!$B$3,"[Tab_concat].[Type]","[Tab_concat].[Type].&amp;[Consommation]","[Tab_concat].[Detail usage]","[Tab_concat].[Detail usage].&amp;["&amp;$C56&amp;"]","[Tab_concat].[Annee]","[Tab_concat].[Annee].&amp;["&amp;O$54&amp;"]"),0)</f>
        <v>0</v>
      </c>
      <c r="P56" s="460">
        <f>IFERROR(GETPIVOTDATA("[Measures].[Somme de Conso_kWh_PCI]",TCD_Conso!$B$3,"[Tab_concat].[Type]","[Tab_concat].[Type].&amp;[Consommation]","[Tab_concat].[Detail usage]","[Tab_concat].[Detail usage].&amp;["&amp;$C56&amp;"]","[Tab_concat].[Annee]","[Tab_concat].[Annee].&amp;["&amp;P$54&amp;"]"),0)</f>
        <v>0</v>
      </c>
    </row>
    <row r="57" spans="2:16">
      <c r="B57" s="556"/>
      <c r="C57" s="32" t="s">
        <v>359</v>
      </c>
      <c r="D57" s="468">
        <f t="shared" ref="D57:J57" si="20">IFERROR(D55-D56,"")</f>
        <v>96923.999999999971</v>
      </c>
      <c r="E57">
        <f t="shared" si="20"/>
        <v>176664.00000000012</v>
      </c>
      <c r="F57">
        <f t="shared" si="20"/>
        <v>156413.99999999983</v>
      </c>
      <c r="G57">
        <f t="shared" si="20"/>
        <v>138348.99999999997</v>
      </c>
      <c r="H57">
        <f t="shared" si="20"/>
        <v>131926.99999999974</v>
      </c>
      <c r="I57">
        <f t="shared" si="20"/>
        <v>132848.99999999983</v>
      </c>
      <c r="J57">
        <f t="shared" si="20"/>
        <v>129539.00000000025</v>
      </c>
      <c r="K57">
        <f t="shared" ref="K57:P57" si="21">IFERROR(K55-K56,"")</f>
        <v>127550.00000000026</v>
      </c>
      <c r="L57">
        <f t="shared" si="21"/>
        <v>107052.99999999981</v>
      </c>
      <c r="M57">
        <f t="shared" si="21"/>
        <v>109092.00000000023</v>
      </c>
      <c r="N57">
        <f t="shared" si="21"/>
        <v>114406.00000000009</v>
      </c>
      <c r="O57">
        <f t="shared" si="21"/>
        <v>120936.00000000015</v>
      </c>
      <c r="P57">
        <f t="shared" si="21"/>
        <v>125358.99999999997</v>
      </c>
    </row>
    <row r="58" spans="2:16">
      <c r="B58" s="557" t="s">
        <v>361</v>
      </c>
      <c r="C58" s="32" t="s">
        <v>362</v>
      </c>
      <c r="D58">
        <f>ROUND(GETPIVOTDATA("Somme de DJU(chauffagiste)",DJU!$H$13,"annee",D54),0)</f>
        <v>2751</v>
      </c>
      <c r="E58">
        <f>ROUND(GETPIVOTDATA("Somme de DJU(chauffagiste)",DJU!$H$13,"annee",E54),0)</f>
        <v>2034</v>
      </c>
      <c r="F58">
        <f>ROUND(GETPIVOTDATA("Somme de DJU(chauffagiste)",DJU!$H$13,"annee",F54),0)</f>
        <v>2459</v>
      </c>
      <c r="G58">
        <f>ROUND(GETPIVOTDATA("Somme de DJU(chauffagiste)",DJU!$H$13,"annee",G54),0)</f>
        <v>2576</v>
      </c>
      <c r="H58">
        <f>ROUND(GETPIVOTDATA("Somme de DJU(chauffagiste)",DJU!$H$13,"annee",H54),0)</f>
        <v>2064</v>
      </c>
      <c r="I58">
        <f>ROUND(GETPIVOTDATA("Somme de DJU(chauffagiste)",DJU!$H$13,"annee",I54),0)</f>
        <v>2183</v>
      </c>
      <c r="J58">
        <f>ROUND(GETPIVOTDATA("Somme de DJU(chauffagiste)",DJU!$H$13,"annee",J54),0)</f>
        <v>2421</v>
      </c>
      <c r="K58">
        <f>ROUND(GETPIVOTDATA("Somme de DJU(chauffagiste)",DJU!$H$13,"annee",K54),0)</f>
        <v>2238</v>
      </c>
      <c r="L58">
        <f>ROUND(GETPIVOTDATA("Somme de DJU(chauffagiste)",DJU!$H$13,"annee",L54),0)</f>
        <v>2147</v>
      </c>
      <c r="M58">
        <f>ROUND(GETPIVOTDATA("Somme de DJU(chauffagiste)",DJU!$H$13,"annee",M54),0)</f>
        <v>2213</v>
      </c>
      <c r="N58">
        <f>ROUND(GETPIVOTDATA("Somme de DJU(chauffagiste)",DJU!$H$13,"annee",N54),0)</f>
        <v>1971</v>
      </c>
      <c r="O58">
        <f>ROUND(GETPIVOTDATA("Somme de DJU(chauffagiste)",DJU!$H$13,"annee",O54),0)</f>
        <v>2380</v>
      </c>
      <c r="P58">
        <f>ROUND(GETPIVOTDATA("Somme de DJU(chauffagiste)",DJU!$H$13,"annee",P54),0)</f>
        <v>2014</v>
      </c>
    </row>
    <row r="59" spans="2:16">
      <c r="B59" s="557"/>
      <c r="C59" s="32" t="s">
        <v>13</v>
      </c>
      <c r="D59" t="str">
        <f>VLOOKUP(D54,Site!$B$8:$H$23,7,FALSE)</f>
        <v/>
      </c>
      <c r="E59" t="str">
        <f>VLOOKUP(E54,Site!$B$8:$H$23,7,FALSE)</f>
        <v/>
      </c>
      <c r="F59" t="str">
        <f>VLOOKUP(F54,Site!$B$8:$H$23,7,FALSE)</f>
        <v/>
      </c>
      <c r="G59" t="str">
        <f>VLOOKUP(G54,Site!$B$8:$H$23,7,FALSE)</f>
        <v/>
      </c>
      <c r="H59" t="str">
        <f>VLOOKUP(H54,Site!$B$8:$H$23,7,FALSE)</f>
        <v/>
      </c>
      <c r="I59" t="str">
        <f>VLOOKUP(I54,Site!$B$8:$H$23,7,FALSE)</f>
        <v/>
      </c>
      <c r="J59" t="str">
        <f>VLOOKUP(J54,Site!$B$8:$H$23,7,FALSE)</f>
        <v/>
      </c>
      <c r="K59" t="str">
        <f>VLOOKUP(K54,Site!$B$8:$H$23,7,FALSE)</f>
        <v/>
      </c>
      <c r="L59" t="str">
        <f>VLOOKUP(L54,Site!$B$8:$H$23,7,FALSE)</f>
        <v/>
      </c>
      <c r="M59" t="str">
        <f>VLOOKUP(M54,Site!$B$8:$H$23,7,FALSE)</f>
        <v/>
      </c>
      <c r="N59" t="str">
        <f>VLOOKUP(N54,Site!$B$8:$H$23,7,FALSE)</f>
        <v/>
      </c>
      <c r="O59" t="str">
        <f>VLOOKUP(O54,Site!$B$8:$H$23,7,FALSE)</f>
        <v/>
      </c>
      <c r="P59" t="str">
        <f>VLOOKUP(P54,Site!$B$8:$H$23,7,FALSE)</f>
        <v/>
      </c>
    </row>
    <row r="60" spans="2:16">
      <c r="B60" s="557"/>
      <c r="C60" s="32" t="s">
        <v>364</v>
      </c>
      <c r="D60">
        <f>Controle_des_données!$B$34</f>
        <v>2.4699999999999999E-4</v>
      </c>
      <c r="E60">
        <f>Controle_des_données!$B$34</f>
        <v>2.4699999999999999E-4</v>
      </c>
      <c r="F60">
        <f>Controle_des_données!$B$34</f>
        <v>2.4699999999999999E-4</v>
      </c>
      <c r="G60">
        <f>Controle_des_données!$B$34</f>
        <v>2.4699999999999999E-4</v>
      </c>
      <c r="H60">
        <f>Controle_des_données!$B$34</f>
        <v>2.4699999999999999E-4</v>
      </c>
      <c r="I60">
        <f>Controle_des_données!$B$34</f>
        <v>2.4699999999999999E-4</v>
      </c>
      <c r="J60">
        <f>Controle_des_données!$B$34</f>
        <v>2.4699999999999999E-4</v>
      </c>
      <c r="K60">
        <f>Controle_des_données!$B$34</f>
        <v>2.4699999999999999E-4</v>
      </c>
      <c r="L60">
        <f>Controle_des_données!$B$34</f>
        <v>2.4699999999999999E-4</v>
      </c>
      <c r="M60">
        <f>Controle_des_données!$B$34</f>
        <v>2.4699999999999999E-4</v>
      </c>
      <c r="N60">
        <f>Controle_des_données!$B$34</f>
        <v>2.4699999999999999E-4</v>
      </c>
      <c r="O60">
        <f>Controle_des_données!$B$34</f>
        <v>2.4699999999999999E-4</v>
      </c>
      <c r="P60">
        <f>Controle_des_données!$B$34</f>
        <v>2.4699999999999999E-4</v>
      </c>
    </row>
    <row r="61" spans="2:16">
      <c r="B61" s="557"/>
      <c r="C61" s="32" t="s">
        <v>365</v>
      </c>
      <c r="D61">
        <f>VLOOKUP(D54,Site!$B$8:$E$23,3,FALSE)</f>
        <v>0</v>
      </c>
      <c r="E61">
        <f>VLOOKUP(E54,Site!$B$8:$E$23,3,FALSE)</f>
        <v>0</v>
      </c>
      <c r="F61">
        <f>VLOOKUP(F54,Site!$B$8:$E$23,3,FALSE)</f>
        <v>0</v>
      </c>
      <c r="G61">
        <f>VLOOKUP(G54,Site!$B$8:$E$23,3,FALSE)</f>
        <v>0</v>
      </c>
      <c r="H61">
        <f>VLOOKUP(H54,Site!$B$8:$E$23,3,FALSE)</f>
        <v>0</v>
      </c>
      <c r="I61">
        <f>VLOOKUP(I54,Site!$B$8:$E$23,3,FALSE)</f>
        <v>0</v>
      </c>
      <c r="J61">
        <f>VLOOKUP(J54,Site!$B$8:$E$23,3,FALSE)</f>
        <v>0</v>
      </c>
      <c r="K61">
        <f>VLOOKUP(K54,Site!$B$8:$E$23,3,FALSE)</f>
        <v>0</v>
      </c>
      <c r="L61">
        <f>VLOOKUP(L54,Site!$B$8:$E$23,3,FALSE)</f>
        <v>0</v>
      </c>
      <c r="M61">
        <f>VLOOKUP(M54,Site!$B$8:$E$23,3,FALSE)</f>
        <v>0</v>
      </c>
      <c r="N61">
        <f>VLOOKUP(N54,Site!$B$8:$E$23,3,FALSE)</f>
        <v>0</v>
      </c>
      <c r="O61">
        <f>VLOOKUP(O54,Site!$B$8:$E$23,3,FALSE)</f>
        <v>0</v>
      </c>
      <c r="P61">
        <f>VLOOKUP(P54,Site!$B$8:$E$23,3,FALSE)</f>
        <v>0</v>
      </c>
    </row>
    <row r="62" spans="2:16">
      <c r="B62" s="557"/>
      <c r="C62" s="32" t="s">
        <v>367</v>
      </c>
      <c r="D62">
        <f>IFERROR(IF(D70&gt;0,D70*MAX(-0.5,MIN(($G$3-D58)/D58,1)),D61/D75*MIN(D60*D58,1)*(D57+D73)*MAX(-0.5,MIN(($G$3-D58)/D58,1))),0)</f>
        <v>0</v>
      </c>
      <c r="E62">
        <f t="shared" ref="E62:P62" si="22">IFERROR(IF(E70&gt;0,E70*MAX(-0.5,MIN(($G$3-E58)/E58,1)),E61/E75*MIN(E60*E58,1)*(E57+E73)*MAX(-0.5,MIN(($G$3-E58)/E58,1))),0)</f>
        <v>0</v>
      </c>
      <c r="F62">
        <f t="shared" si="22"/>
        <v>0</v>
      </c>
      <c r="G62">
        <f t="shared" si="22"/>
        <v>0</v>
      </c>
      <c r="H62">
        <f t="shared" si="22"/>
        <v>0</v>
      </c>
      <c r="I62">
        <f t="shared" si="22"/>
        <v>0</v>
      </c>
      <c r="J62">
        <f t="shared" si="22"/>
        <v>0</v>
      </c>
      <c r="K62">
        <f t="shared" si="22"/>
        <v>0</v>
      </c>
      <c r="L62">
        <f t="shared" si="22"/>
        <v>0</v>
      </c>
      <c r="M62">
        <f t="shared" si="22"/>
        <v>0</v>
      </c>
      <c r="N62">
        <f t="shared" si="22"/>
        <v>0</v>
      </c>
      <c r="O62">
        <f t="shared" si="22"/>
        <v>0</v>
      </c>
      <c r="P62">
        <f t="shared" si="22"/>
        <v>0</v>
      </c>
    </row>
    <row r="63" spans="2:16">
      <c r="B63" s="557" t="s">
        <v>369</v>
      </c>
      <c r="C63" s="32" t="s">
        <v>393</v>
      </c>
      <c r="D63" s="460">
        <f>IFERROR(GETPIVOTDATA("[Measures].[Somme de Conso_kWh_PCI]",TCD_Conso!$B$3,"[Tab_concat].[Type]","[Tab_concat].[Type].&amp;[Consommation]","[Tab_concat].[Detail usage]","[Tab_concat].[Detail usage].&amp;["&amp;$C63&amp;"]","[Tab_concat].[Annee]","[Tab_concat].[Annee].&amp;["&amp;D$54&amp;"]"),0)</f>
        <v>0</v>
      </c>
      <c r="E63" s="464">
        <f>IFERROR(GETPIVOTDATA("[Measures].[Somme de Conso_kWh_PCI]",TCD_Conso!$B$3,"[Tab_concat].[Type]","[Tab_concat].[Type].&amp;[Consommation]","[Tab_concat].[Detail usage]","[Tab_concat].[Detail usage].&amp;["&amp;$C63&amp;"]","[Tab_concat].[Annee]","[Tab_concat].[Annee].&amp;["&amp;E$54&amp;"]"),0)</f>
        <v>0</v>
      </c>
      <c r="F63" s="464">
        <f>IFERROR(GETPIVOTDATA("[Measures].[Somme de Conso_kWh_PCI]",TCD_Conso!$B$3,"[Tab_concat].[Type]","[Tab_concat].[Type].&amp;[Consommation]","[Tab_concat].[Detail usage]","[Tab_concat].[Detail usage].&amp;["&amp;$C63&amp;"]","[Tab_concat].[Annee]","[Tab_concat].[Annee].&amp;["&amp;F$54&amp;"]"),0)</f>
        <v>0</v>
      </c>
      <c r="G63" s="464">
        <f>IFERROR(GETPIVOTDATA("[Measures].[Somme de Conso_kWh_PCI]",TCD_Conso!$B$3,"[Tab_concat].[Type]","[Tab_concat].[Type].&amp;[Consommation]","[Tab_concat].[Detail usage]","[Tab_concat].[Detail usage].&amp;["&amp;$C63&amp;"]","[Tab_concat].[Annee]","[Tab_concat].[Annee].&amp;["&amp;G$54&amp;"]"),0)</f>
        <v>0</v>
      </c>
      <c r="H63" s="464">
        <f>IFERROR(GETPIVOTDATA("[Measures].[Somme de Conso_kWh_PCI]",TCD_Conso!$B$3,"[Tab_concat].[Type]","[Tab_concat].[Type].&amp;[Consommation]","[Tab_concat].[Detail usage]","[Tab_concat].[Detail usage].&amp;["&amp;$C63&amp;"]","[Tab_concat].[Annee]","[Tab_concat].[Annee].&amp;["&amp;H$54&amp;"]"),0)</f>
        <v>0</v>
      </c>
      <c r="I63" s="464">
        <f>IFERROR(GETPIVOTDATA("[Measures].[Somme de Conso_kWh_PCI]",TCD_Conso!$B$3,"[Tab_concat].[Type]","[Tab_concat].[Type].&amp;[Consommation]","[Tab_concat].[Detail usage]","[Tab_concat].[Detail usage].&amp;["&amp;$C63&amp;"]","[Tab_concat].[Annee]","[Tab_concat].[Annee].&amp;["&amp;I$54&amp;"]"),0)</f>
        <v>0</v>
      </c>
      <c r="J63" s="464">
        <f>IFERROR(GETPIVOTDATA("[Measures].[Somme de Conso_kWh_PCI]",TCD_Conso!$B$3,"[Tab_concat].[Type]","[Tab_concat].[Type].&amp;[Consommation]","[Tab_concat].[Detail usage]","[Tab_concat].[Detail usage].&amp;["&amp;$C63&amp;"]","[Tab_concat].[Annee]","[Tab_concat].[Annee].&amp;["&amp;J$54&amp;"]"),0)</f>
        <v>0</v>
      </c>
      <c r="K63" s="464">
        <f>IFERROR(GETPIVOTDATA("[Measures].[Somme de Conso_kWh_PCI]",TCD_Conso!$B$3,"[Tab_concat].[Type]","[Tab_concat].[Type].&amp;[Consommation]","[Tab_concat].[Detail usage]","[Tab_concat].[Detail usage].&amp;["&amp;$C63&amp;"]","[Tab_concat].[Annee]","[Tab_concat].[Annee].&amp;["&amp;K$54&amp;"]"),0)</f>
        <v>0</v>
      </c>
      <c r="L63" s="464">
        <f>IFERROR(GETPIVOTDATA("[Measures].[Somme de Conso_kWh_PCI]",TCD_Conso!$B$3,"[Tab_concat].[Type]","[Tab_concat].[Type].&amp;[Consommation]","[Tab_concat].[Detail usage]","[Tab_concat].[Detail usage].&amp;["&amp;$C63&amp;"]","[Tab_concat].[Annee]","[Tab_concat].[Annee].&amp;["&amp;L$54&amp;"]"),0)</f>
        <v>0</v>
      </c>
      <c r="M63" s="464">
        <f>IFERROR(GETPIVOTDATA("[Measures].[Somme de Conso_kWh_PCI]",TCD_Conso!$B$3,"[Tab_concat].[Type]","[Tab_concat].[Type].&amp;[Consommation]","[Tab_concat].[Detail usage]","[Tab_concat].[Detail usage].&amp;["&amp;$C63&amp;"]","[Tab_concat].[Annee]","[Tab_concat].[Annee].&amp;["&amp;M$54&amp;"]"),0)</f>
        <v>0</v>
      </c>
      <c r="N63" s="464">
        <f>IFERROR(GETPIVOTDATA("[Measures].[Somme de Conso_kWh_PCI]",TCD_Conso!$B$3,"[Tab_concat].[Type]","[Tab_concat].[Type].&amp;[Consommation]","[Tab_concat].[Detail usage]","[Tab_concat].[Detail usage].&amp;["&amp;$C63&amp;"]","[Tab_concat].[Annee]","[Tab_concat].[Annee].&amp;["&amp;N$54&amp;"]"),0)</f>
        <v>0</v>
      </c>
      <c r="O63" s="464">
        <f>IFERROR(GETPIVOTDATA("[Measures].[Somme de Conso_kWh_PCI]",TCD_Conso!$B$3,"[Tab_concat].[Type]","[Tab_concat].[Type].&amp;[Consommation]","[Tab_concat].[Detail usage]","[Tab_concat].[Detail usage].&amp;["&amp;$C63&amp;"]","[Tab_concat].[Annee]","[Tab_concat].[Annee].&amp;["&amp;O$54&amp;"]"),0)</f>
        <v>0</v>
      </c>
      <c r="P63" s="464">
        <f>IFERROR(GETPIVOTDATA("[Measures].[Somme de Conso_kWh_PCI]",TCD_Conso!$B$3,"[Tab_concat].[Type]","[Tab_concat].[Type].&amp;[Consommation]","[Tab_concat].[Detail usage]","[Tab_concat].[Detail usage].&amp;["&amp;$C63&amp;"]","[Tab_concat].[Annee]","[Tab_concat].[Annee].&amp;["&amp;P$54&amp;"]"),0)</f>
        <v>0</v>
      </c>
    </row>
    <row r="64" spans="2:16">
      <c r="B64" s="557"/>
      <c r="C64" s="32" t="s">
        <v>371</v>
      </c>
      <c r="D64">
        <f>GETPIVOTDATA("DJU(climaticien)",DJU!$L$13,"annee",D54)</f>
        <v>350</v>
      </c>
      <c r="E64">
        <f>GETPIVOTDATA("DJU(climaticien)",DJU!$L$13,"annee",E54)</f>
        <v>341</v>
      </c>
      <c r="F64">
        <f>GETPIVOTDATA("DJU(climaticien)",DJU!$L$13,"annee",F54)</f>
        <v>289</v>
      </c>
      <c r="G64">
        <f>GETPIVOTDATA("DJU(climaticien)",DJU!$L$13,"annee",G54)</f>
        <v>354</v>
      </c>
      <c r="H64">
        <f>GETPIVOTDATA("DJU(climaticien)",DJU!$L$13,"annee",H54)</f>
        <v>315</v>
      </c>
      <c r="I64">
        <f>GETPIVOTDATA("DJU(climaticien)",DJU!$L$13,"annee",I54)</f>
        <v>374</v>
      </c>
      <c r="J64">
        <f>GETPIVOTDATA("DJU(climaticien)",DJU!$L$13,"annee",J54)</f>
        <v>381</v>
      </c>
      <c r="K64">
        <f>GETPIVOTDATA("DJU(climaticien)",DJU!$L$13,"annee",K54)</f>
        <v>421</v>
      </c>
      <c r="L64">
        <f>GETPIVOTDATA("DJU(climaticien)",DJU!$L$13,"annee",L54)</f>
        <v>529</v>
      </c>
      <c r="M64">
        <f>GETPIVOTDATA("DJU(climaticien)",DJU!$L$13,"annee",M54)</f>
        <v>452</v>
      </c>
      <c r="N64">
        <f>GETPIVOTDATA("DJU(climaticien)",DJU!$L$13,"annee",N54)</f>
        <v>468</v>
      </c>
      <c r="O64">
        <f>GETPIVOTDATA("DJU(climaticien)",DJU!$L$13,"annee",O54)</f>
        <v>324</v>
      </c>
      <c r="P64">
        <f>GETPIVOTDATA("DJU(climaticien)",DJU!$L$13,"annee",P54)</f>
        <v>571</v>
      </c>
    </row>
    <row r="65" spans="2:16">
      <c r="B65" s="557"/>
      <c r="C65" s="32" t="s">
        <v>373</v>
      </c>
      <c r="D65">
        <f>Controle_des_données!$B$35</f>
        <v>5.3499999999999999E-5</v>
      </c>
      <c r="E65">
        <f>Controle_des_données!$B$35</f>
        <v>5.3499999999999999E-5</v>
      </c>
      <c r="F65">
        <f>Controle_des_données!$B$35</f>
        <v>5.3499999999999999E-5</v>
      </c>
      <c r="G65">
        <f>Controle_des_données!$B$35</f>
        <v>5.3499999999999999E-5</v>
      </c>
      <c r="H65">
        <f>Controle_des_données!$B$35</f>
        <v>5.3499999999999999E-5</v>
      </c>
      <c r="I65">
        <f>Controle_des_données!$B$35</f>
        <v>5.3499999999999999E-5</v>
      </c>
      <c r="J65">
        <f>Controle_des_données!$B$35</f>
        <v>5.3499999999999999E-5</v>
      </c>
      <c r="K65">
        <f>Controle_des_données!$B$35</f>
        <v>5.3499999999999999E-5</v>
      </c>
      <c r="L65">
        <f>Controle_des_données!$B$35</f>
        <v>5.3499999999999999E-5</v>
      </c>
      <c r="M65">
        <f>Controle_des_données!$B$35</f>
        <v>5.3499999999999999E-5</v>
      </c>
      <c r="N65">
        <f>Controle_des_données!$B$35</f>
        <v>5.3499999999999999E-5</v>
      </c>
      <c r="O65">
        <f>Controle_des_données!$B$35</f>
        <v>5.3499999999999999E-5</v>
      </c>
      <c r="P65">
        <f>Controle_des_données!$B$35</f>
        <v>5.3499999999999999E-5</v>
      </c>
    </row>
    <row r="66" spans="2:16">
      <c r="B66" s="557"/>
      <c r="C66" s="32" t="s">
        <v>374</v>
      </c>
      <c r="D66">
        <f>VLOOKUP(D54,Site!$B$8:$E$23,4,FALSE)</f>
        <v>0</v>
      </c>
      <c r="E66">
        <f>VLOOKUP(E54,Site!$B$8:$E$23,4,FALSE)</f>
        <v>0</v>
      </c>
      <c r="F66">
        <f>VLOOKUP(F54,Site!$B$8:$E$23,4,FALSE)</f>
        <v>0</v>
      </c>
      <c r="G66">
        <f>VLOOKUP(G54,Site!$B$8:$E$23,4,FALSE)</f>
        <v>0</v>
      </c>
      <c r="H66">
        <f>VLOOKUP(H54,Site!$B$8:$E$23,4,FALSE)</f>
        <v>0</v>
      </c>
      <c r="I66">
        <f>VLOOKUP(I54,Site!$B$8:$E$23,4,FALSE)</f>
        <v>0</v>
      </c>
      <c r="J66">
        <f>VLOOKUP(J54,Site!$B$8:$E$23,4,FALSE)</f>
        <v>0</v>
      </c>
      <c r="K66">
        <f>VLOOKUP(K54,Site!$B$8:$E$23,4,FALSE)</f>
        <v>0</v>
      </c>
      <c r="L66">
        <f>VLOOKUP(L54,Site!$B$8:$E$23,4,FALSE)</f>
        <v>0</v>
      </c>
      <c r="M66">
        <f>VLOOKUP(M54,Site!$B$8:$E$23,4,FALSE)</f>
        <v>0</v>
      </c>
      <c r="N66">
        <f>VLOOKUP(N54,Site!$B$8:$E$23,4,FALSE)</f>
        <v>0</v>
      </c>
      <c r="O66">
        <f>VLOOKUP(O54,Site!$B$8:$E$23,4,FALSE)</f>
        <v>0</v>
      </c>
      <c r="P66">
        <f>VLOOKUP(P54,Site!$B$8:$E$23,4,FALSE)</f>
        <v>0</v>
      </c>
    </row>
    <row r="67" spans="2:16">
      <c r="B67" s="557"/>
      <c r="C67" s="32" t="s">
        <v>375</v>
      </c>
      <c r="D67" s="464">
        <f>IFERROR(IF(D63&gt;0,D63*MAX(-0.5,MIN(($H$3-D64)/D64,1)),D66/D75*MIN(D65*D64,1)*(D57+D73)*MAX(-0.5,MIN(($H$3-D64)/D64,1))),0)</f>
        <v>0</v>
      </c>
      <c r="E67">
        <f>IFERROR(IF(E63&gt;0,E63*MAX(-0.5,MIN(($H$3-E64)/E64,1)),E66/E75*MIN(E65*E64,1)*(E57+E73)*MAX(-0.5,MIN(($H$3-E64)/E64,1))),0)</f>
        <v>0</v>
      </c>
      <c r="F67">
        <f t="shared" ref="F67:P67" si="23">IFERROR(IF(F63&gt;0,F63*MAX(-0.5,MIN(($H$3-F64)/F64,1)),F66/F75*MIN(F65*F64,1)*(F57+F73)*MAX(-0.5,MIN(($H$3-F64)/F64,1))),0)</f>
        <v>0</v>
      </c>
      <c r="G67">
        <f t="shared" si="23"/>
        <v>0</v>
      </c>
      <c r="H67">
        <f t="shared" si="23"/>
        <v>0</v>
      </c>
      <c r="I67">
        <f t="shared" si="23"/>
        <v>0</v>
      </c>
      <c r="J67">
        <f t="shared" si="23"/>
        <v>0</v>
      </c>
      <c r="K67">
        <f t="shared" si="23"/>
        <v>0</v>
      </c>
      <c r="L67">
        <f t="shared" si="23"/>
        <v>0</v>
      </c>
      <c r="M67">
        <f t="shared" si="23"/>
        <v>0</v>
      </c>
      <c r="N67">
        <f t="shared" si="23"/>
        <v>0</v>
      </c>
      <c r="O67">
        <f t="shared" si="23"/>
        <v>0</v>
      </c>
      <c r="P67">
        <f t="shared" si="23"/>
        <v>0</v>
      </c>
    </row>
    <row r="68" spans="2:16">
      <c r="B68" s="47"/>
      <c r="C68" s="32" t="s">
        <v>189</v>
      </c>
      <c r="D68" s="460">
        <f>IFERROR(GETPIVOTDATA("[Measures].[Somme de Conso_kWh_PCI]",TCD_Conso!$B$3,"[Tab_concat].[Type]","[Tab_concat].[Type].&amp;[Consommation]","[Tab_concat].[Detail usage]","[Tab_concat].[Detail usage].&amp;["&amp;$C68&amp;"]","[Tab_concat].[Annee]","[Tab_concat].[Annee].&amp;["&amp;D$54&amp;"]"),0)</f>
        <v>0</v>
      </c>
      <c r="E68" s="460">
        <f>IFERROR(GETPIVOTDATA("[Measures].[Somme de Conso_kWh_PCI]",TCD_Conso!$B$3,"[Tab_concat].[Type]","[Tab_concat].[Type].&amp;[Consommation]","[Tab_concat].[Detail usage]","[Tab_concat].[Detail usage].&amp;["&amp;$C68&amp;"]","[Tab_concat].[Annee]","[Tab_concat].[Annee].&amp;["&amp;E$54&amp;"]"),0)</f>
        <v>0</v>
      </c>
      <c r="F68" s="460">
        <f>IFERROR(GETPIVOTDATA("[Measures].[Somme de Conso_kWh_PCI]",TCD_Conso!$B$3,"[Tab_concat].[Type]","[Tab_concat].[Type].&amp;[Consommation]","[Tab_concat].[Detail usage]","[Tab_concat].[Detail usage].&amp;["&amp;$C68&amp;"]","[Tab_concat].[Annee]","[Tab_concat].[Annee].&amp;["&amp;F$54&amp;"]"),0)</f>
        <v>0</v>
      </c>
      <c r="G68" s="460">
        <f>IFERROR(GETPIVOTDATA("[Measures].[Somme de Conso_kWh_PCI]",TCD_Conso!$B$3,"[Tab_concat].[Type]","[Tab_concat].[Type].&amp;[Consommation]","[Tab_concat].[Detail usage]","[Tab_concat].[Detail usage].&amp;["&amp;$C68&amp;"]","[Tab_concat].[Annee]","[Tab_concat].[Annee].&amp;["&amp;G$54&amp;"]"),0)</f>
        <v>0</v>
      </c>
      <c r="H68" s="460">
        <f>IFERROR(GETPIVOTDATA("[Measures].[Somme de Conso_kWh_PCI]",TCD_Conso!$B$3,"[Tab_concat].[Type]","[Tab_concat].[Type].&amp;[Consommation]","[Tab_concat].[Detail usage]","[Tab_concat].[Detail usage].&amp;["&amp;$C68&amp;"]","[Tab_concat].[Annee]","[Tab_concat].[Annee].&amp;["&amp;H$54&amp;"]"),0)</f>
        <v>0</v>
      </c>
      <c r="I68" s="460">
        <f>IFERROR(GETPIVOTDATA("[Measures].[Somme de Conso_kWh_PCI]",TCD_Conso!$B$3,"[Tab_concat].[Type]","[Tab_concat].[Type].&amp;[Consommation]","[Tab_concat].[Detail usage]","[Tab_concat].[Detail usage].&amp;["&amp;$C68&amp;"]","[Tab_concat].[Annee]","[Tab_concat].[Annee].&amp;["&amp;I$54&amp;"]"),0)</f>
        <v>0</v>
      </c>
      <c r="J68" s="460">
        <f>IFERROR(GETPIVOTDATA("[Measures].[Somme de Conso_kWh_PCI]",TCD_Conso!$B$3,"[Tab_concat].[Type]","[Tab_concat].[Type].&amp;[Consommation]","[Tab_concat].[Detail usage]","[Tab_concat].[Detail usage].&amp;["&amp;$C68&amp;"]","[Tab_concat].[Annee]","[Tab_concat].[Annee].&amp;["&amp;J$54&amp;"]"),0)</f>
        <v>0</v>
      </c>
      <c r="K68" s="460">
        <f>IFERROR(GETPIVOTDATA("[Measures].[Somme de Conso_kWh_PCI]",TCD_Conso!$B$3,"[Tab_concat].[Type]","[Tab_concat].[Type].&amp;[Consommation]","[Tab_concat].[Detail usage]","[Tab_concat].[Detail usage].&amp;["&amp;$C68&amp;"]","[Tab_concat].[Annee]","[Tab_concat].[Annee].&amp;["&amp;K$54&amp;"]"),0)</f>
        <v>0</v>
      </c>
      <c r="L68" s="460">
        <f>IFERROR(GETPIVOTDATA("[Measures].[Somme de Conso_kWh_PCI]",TCD_Conso!$B$3,"[Tab_concat].[Type]","[Tab_concat].[Type].&amp;[Consommation]","[Tab_concat].[Detail usage]","[Tab_concat].[Detail usage].&amp;["&amp;$C68&amp;"]","[Tab_concat].[Annee]","[Tab_concat].[Annee].&amp;["&amp;L$54&amp;"]"),0)</f>
        <v>0</v>
      </c>
      <c r="M68" s="460">
        <f>IFERROR(GETPIVOTDATA("[Measures].[Somme de Conso_kWh_PCI]",TCD_Conso!$B$3,"[Tab_concat].[Type]","[Tab_concat].[Type].&amp;[Consommation]","[Tab_concat].[Detail usage]","[Tab_concat].[Detail usage].&amp;["&amp;$C68&amp;"]","[Tab_concat].[Annee]","[Tab_concat].[Annee].&amp;["&amp;M$54&amp;"]"),0)</f>
        <v>0</v>
      </c>
      <c r="N68" s="460">
        <f>IFERROR(GETPIVOTDATA("[Measures].[Somme de Conso_kWh_PCI]",TCD_Conso!$B$3,"[Tab_concat].[Type]","[Tab_concat].[Type].&amp;[Consommation]","[Tab_concat].[Detail usage]","[Tab_concat].[Detail usage].&amp;["&amp;$C68&amp;"]","[Tab_concat].[Annee]","[Tab_concat].[Annee].&amp;["&amp;N$54&amp;"]"),0)</f>
        <v>0</v>
      </c>
      <c r="O68" s="460">
        <f>IFERROR(GETPIVOTDATA("[Measures].[Somme de Conso_kWh_PCI]",TCD_Conso!$B$3,"[Tab_concat].[Type]","[Tab_concat].[Type].&amp;[Consommation]","[Tab_concat].[Detail usage]","[Tab_concat].[Detail usage].&amp;["&amp;$C68&amp;"]","[Tab_concat].[Annee]","[Tab_concat].[Annee].&amp;["&amp;O$54&amp;"]"),0)</f>
        <v>0</v>
      </c>
      <c r="P68" s="460">
        <f>IFERROR(GETPIVOTDATA("[Measures].[Somme de Conso_kWh_PCI]",TCD_Conso!$B$3,"[Tab_concat].[Type]","[Tab_concat].[Type].&amp;[Consommation]","[Tab_concat].[Detail usage]","[Tab_concat].[Detail usage].&amp;["&amp;$C68&amp;"]","[Tab_concat].[Annee]","[Tab_concat].[Annee].&amp;["&amp;P$54&amp;"]"),0)</f>
        <v>0</v>
      </c>
    </row>
    <row r="69" spans="2:16">
      <c r="B69" s="556" t="s">
        <v>376</v>
      </c>
      <c r="C69" s="32" t="s">
        <v>149</v>
      </c>
      <c r="D69" s="460">
        <f>IFERROR(GETPIVOTDATA("[Measures].[Somme de Conso_kWh_PCI]",TCD_Conso!$B$3,"[Tab_concat].[Type]","[Tab_concat].[Type].&amp;[Consommation]","[Tab_concat].[Detail usage]","[Tab_concat].[Detail usage].&amp;["&amp;$C69&amp;"]","[Tab_concat].[Annee]","[Tab_concat].[Annee].&amp;["&amp;D$54&amp;"]"),0)</f>
        <v>0</v>
      </c>
      <c r="E69" s="460">
        <f>IFERROR(GETPIVOTDATA("[Measures].[Somme de Conso_kWh_PCI]",TCD_Conso!$B$3,"[Tab_concat].[Type]","[Tab_concat].[Type].&amp;[Consommation]","[Tab_concat].[Detail usage]","[Tab_concat].[Detail usage].&amp;["&amp;$C69&amp;"]","[Tab_concat].[Annee]","[Tab_concat].[Annee].&amp;["&amp;E$54&amp;"]"),0)</f>
        <v>0</v>
      </c>
      <c r="F69" s="460">
        <f>IFERROR(GETPIVOTDATA("[Measures].[Somme de Conso_kWh_PCI]",TCD_Conso!$B$3,"[Tab_concat].[Type]","[Tab_concat].[Type].&amp;[Consommation]","[Tab_concat].[Detail usage]","[Tab_concat].[Detail usage].&amp;["&amp;$C69&amp;"]","[Tab_concat].[Annee]","[Tab_concat].[Annee].&amp;["&amp;F$54&amp;"]"),0)</f>
        <v>0</v>
      </c>
      <c r="G69" s="460">
        <f>IFERROR(GETPIVOTDATA("[Measures].[Somme de Conso_kWh_PCI]",TCD_Conso!$B$3,"[Tab_concat].[Type]","[Tab_concat].[Type].&amp;[Consommation]","[Tab_concat].[Detail usage]","[Tab_concat].[Detail usage].&amp;["&amp;$C69&amp;"]","[Tab_concat].[Annee]","[Tab_concat].[Annee].&amp;["&amp;G$54&amp;"]"),0)</f>
        <v>0</v>
      </c>
      <c r="H69" s="460">
        <f>IFERROR(GETPIVOTDATA("[Measures].[Somme de Conso_kWh_PCI]",TCD_Conso!$B$3,"[Tab_concat].[Type]","[Tab_concat].[Type].&amp;[Consommation]","[Tab_concat].[Detail usage]","[Tab_concat].[Detail usage].&amp;["&amp;$C69&amp;"]","[Tab_concat].[Annee]","[Tab_concat].[Annee].&amp;["&amp;H$54&amp;"]"),0)</f>
        <v>0</v>
      </c>
      <c r="I69" s="460">
        <f>IFERROR(GETPIVOTDATA("[Measures].[Somme de Conso_kWh_PCI]",TCD_Conso!$B$3,"[Tab_concat].[Type]","[Tab_concat].[Type].&amp;[Consommation]","[Tab_concat].[Detail usage]","[Tab_concat].[Detail usage].&amp;["&amp;$C69&amp;"]","[Tab_concat].[Annee]","[Tab_concat].[Annee].&amp;["&amp;I$54&amp;"]"),0)</f>
        <v>0</v>
      </c>
      <c r="J69" s="460">
        <f>IFERROR(GETPIVOTDATA("[Measures].[Somme de Conso_kWh_PCI]",TCD_Conso!$B$3,"[Tab_concat].[Type]","[Tab_concat].[Type].&amp;[Consommation]","[Tab_concat].[Detail usage]","[Tab_concat].[Detail usage].&amp;["&amp;$C69&amp;"]","[Tab_concat].[Annee]","[Tab_concat].[Annee].&amp;["&amp;J$54&amp;"]"),0)</f>
        <v>0</v>
      </c>
      <c r="K69" s="460">
        <f>IFERROR(GETPIVOTDATA("[Measures].[Somme de Conso_kWh_PCI]",TCD_Conso!$B$3,"[Tab_concat].[Type]","[Tab_concat].[Type].&amp;[Consommation]","[Tab_concat].[Detail usage]","[Tab_concat].[Detail usage].&amp;["&amp;$C69&amp;"]","[Tab_concat].[Annee]","[Tab_concat].[Annee].&amp;["&amp;K$54&amp;"]"),0)</f>
        <v>0</v>
      </c>
      <c r="L69" s="460">
        <f>IFERROR(GETPIVOTDATA("[Measures].[Somme de Conso_kWh_PCI]",TCD_Conso!$B$3,"[Tab_concat].[Type]","[Tab_concat].[Type].&amp;[Consommation]","[Tab_concat].[Detail usage]","[Tab_concat].[Detail usage].&amp;["&amp;$C69&amp;"]","[Tab_concat].[Annee]","[Tab_concat].[Annee].&amp;["&amp;L$54&amp;"]"),0)</f>
        <v>0</v>
      </c>
      <c r="M69" s="460">
        <f>IFERROR(GETPIVOTDATA("[Measures].[Somme de Conso_kWh_PCI]",TCD_Conso!$B$3,"[Tab_concat].[Type]","[Tab_concat].[Type].&amp;[Consommation]","[Tab_concat].[Detail usage]","[Tab_concat].[Detail usage].&amp;["&amp;$C69&amp;"]","[Tab_concat].[Annee]","[Tab_concat].[Annee].&amp;["&amp;M$54&amp;"]"),0)</f>
        <v>0</v>
      </c>
      <c r="N69" s="460">
        <f>IFERROR(GETPIVOTDATA("[Measures].[Somme de Conso_kWh_PCI]",TCD_Conso!$B$3,"[Tab_concat].[Type]","[Tab_concat].[Type].&amp;[Consommation]","[Tab_concat].[Detail usage]","[Tab_concat].[Detail usage].&amp;["&amp;$C69&amp;"]","[Tab_concat].[Annee]","[Tab_concat].[Annee].&amp;["&amp;N$54&amp;"]"),0)</f>
        <v>0</v>
      </c>
      <c r="O69" s="460">
        <f>IFERROR(GETPIVOTDATA("[Measures].[Somme de Conso_kWh_PCI]",TCD_Conso!$B$3,"[Tab_concat].[Type]","[Tab_concat].[Type].&amp;[Consommation]","[Tab_concat].[Detail usage]","[Tab_concat].[Detail usage].&amp;["&amp;$C69&amp;"]","[Tab_concat].[Annee]","[Tab_concat].[Annee].&amp;["&amp;O$54&amp;"]"),0)</f>
        <v>0</v>
      </c>
      <c r="P69" s="460">
        <f>IFERROR(GETPIVOTDATA("[Measures].[Somme de Conso_kWh_PCI]",TCD_Conso!$B$3,"[Tab_concat].[Type]","[Tab_concat].[Type].&amp;[Consommation]","[Tab_concat].[Detail usage]","[Tab_concat].[Detail usage].&amp;["&amp;$C69&amp;"]","[Tab_concat].[Annee]","[Tab_concat].[Annee].&amp;["&amp;P$54&amp;"]"),0)</f>
        <v>0</v>
      </c>
    </row>
    <row r="70" spans="2:16">
      <c r="B70" s="556"/>
      <c r="C70" s="32" t="s">
        <v>166</v>
      </c>
      <c r="D70" s="460">
        <f>IFERROR(GETPIVOTDATA("[Measures].[Somme de Conso_kWh_PCI]",TCD_Conso!$B$3,"[Tab_concat].[Type]","[Tab_concat].[Type].&amp;[Consommation]","[Tab_concat].[Detail usage]","[Tab_concat].[Detail usage].&amp;["&amp;$C70&amp;"]","[Tab_concat].[Annee]","[Tab_concat].[Annee].&amp;["&amp;D$54&amp;"]"),0)</f>
        <v>0</v>
      </c>
      <c r="E70" s="460">
        <f>IFERROR(GETPIVOTDATA("[Measures].[Somme de Conso_kWh_PCI]",TCD_Conso!$B$3,"[Tab_concat].[Type]","[Tab_concat].[Type].&amp;[Consommation]","[Tab_concat].[Detail usage]","[Tab_concat].[Detail usage].&amp;["&amp;$C70&amp;"]","[Tab_concat].[Annee]","[Tab_concat].[Annee].&amp;["&amp;E$54&amp;"]"),0)</f>
        <v>0</v>
      </c>
      <c r="F70" s="460">
        <f>IFERROR(GETPIVOTDATA("[Measures].[Somme de Conso_kWh_PCI]",TCD_Conso!$B$3,"[Tab_concat].[Type]","[Tab_concat].[Type].&amp;[Consommation]","[Tab_concat].[Detail usage]","[Tab_concat].[Detail usage].&amp;["&amp;$C70&amp;"]","[Tab_concat].[Annee]","[Tab_concat].[Annee].&amp;["&amp;F$54&amp;"]"),0)</f>
        <v>0</v>
      </c>
      <c r="G70" s="460">
        <f>IFERROR(GETPIVOTDATA("[Measures].[Somme de Conso_kWh_PCI]",TCD_Conso!$B$3,"[Tab_concat].[Type]","[Tab_concat].[Type].&amp;[Consommation]","[Tab_concat].[Detail usage]","[Tab_concat].[Detail usage].&amp;["&amp;$C70&amp;"]","[Tab_concat].[Annee]","[Tab_concat].[Annee].&amp;["&amp;G$54&amp;"]"),0)</f>
        <v>0</v>
      </c>
      <c r="H70" s="460">
        <f>IFERROR(GETPIVOTDATA("[Measures].[Somme de Conso_kWh_PCI]",TCD_Conso!$B$3,"[Tab_concat].[Type]","[Tab_concat].[Type].&amp;[Consommation]","[Tab_concat].[Detail usage]","[Tab_concat].[Detail usage].&amp;["&amp;$C70&amp;"]","[Tab_concat].[Annee]","[Tab_concat].[Annee].&amp;["&amp;H$54&amp;"]"),0)</f>
        <v>0</v>
      </c>
      <c r="I70" s="460">
        <f>IFERROR(GETPIVOTDATA("[Measures].[Somme de Conso_kWh_PCI]",TCD_Conso!$B$3,"[Tab_concat].[Type]","[Tab_concat].[Type].&amp;[Consommation]","[Tab_concat].[Detail usage]","[Tab_concat].[Detail usage].&amp;["&amp;$C70&amp;"]","[Tab_concat].[Annee]","[Tab_concat].[Annee].&amp;["&amp;I$54&amp;"]"),0)</f>
        <v>0</v>
      </c>
      <c r="J70" s="460">
        <f>IFERROR(GETPIVOTDATA("[Measures].[Somme de Conso_kWh_PCI]",TCD_Conso!$B$3,"[Tab_concat].[Type]","[Tab_concat].[Type].&amp;[Consommation]","[Tab_concat].[Detail usage]","[Tab_concat].[Detail usage].&amp;["&amp;$C70&amp;"]","[Tab_concat].[Annee]","[Tab_concat].[Annee].&amp;["&amp;J$54&amp;"]"),0)</f>
        <v>0</v>
      </c>
      <c r="K70" s="460">
        <f>IFERROR(GETPIVOTDATA("[Measures].[Somme de Conso_kWh_PCI]",TCD_Conso!$B$3,"[Tab_concat].[Type]","[Tab_concat].[Type].&amp;[Consommation]","[Tab_concat].[Detail usage]","[Tab_concat].[Detail usage].&amp;["&amp;$C70&amp;"]","[Tab_concat].[Annee]","[Tab_concat].[Annee].&amp;["&amp;K$54&amp;"]"),0)</f>
        <v>0</v>
      </c>
      <c r="L70" s="460">
        <f>IFERROR(GETPIVOTDATA("[Measures].[Somme de Conso_kWh_PCI]",TCD_Conso!$B$3,"[Tab_concat].[Type]","[Tab_concat].[Type].&amp;[Consommation]","[Tab_concat].[Detail usage]","[Tab_concat].[Detail usage].&amp;["&amp;$C70&amp;"]","[Tab_concat].[Annee]","[Tab_concat].[Annee].&amp;["&amp;L$54&amp;"]"),0)</f>
        <v>0</v>
      </c>
      <c r="M70" s="460">
        <f>IFERROR(GETPIVOTDATA("[Measures].[Somme de Conso_kWh_PCI]",TCD_Conso!$B$3,"[Tab_concat].[Type]","[Tab_concat].[Type].&amp;[Consommation]","[Tab_concat].[Detail usage]","[Tab_concat].[Detail usage].&amp;["&amp;$C70&amp;"]","[Tab_concat].[Annee]","[Tab_concat].[Annee].&amp;["&amp;M$54&amp;"]"),0)</f>
        <v>0</v>
      </c>
      <c r="N70" s="460">
        <f>IFERROR(GETPIVOTDATA("[Measures].[Somme de Conso_kWh_PCI]",TCD_Conso!$B$3,"[Tab_concat].[Type]","[Tab_concat].[Type].&amp;[Consommation]","[Tab_concat].[Detail usage]","[Tab_concat].[Detail usage].&amp;["&amp;$C70&amp;"]","[Tab_concat].[Annee]","[Tab_concat].[Annee].&amp;["&amp;N$54&amp;"]"),0)</f>
        <v>0</v>
      </c>
      <c r="O70" s="460">
        <f>IFERROR(GETPIVOTDATA("[Measures].[Somme de Conso_kWh_PCI]",TCD_Conso!$B$3,"[Tab_concat].[Type]","[Tab_concat].[Type].&amp;[Consommation]","[Tab_concat].[Detail usage]","[Tab_concat].[Detail usage].&amp;["&amp;$C70&amp;"]","[Tab_concat].[Annee]","[Tab_concat].[Annee].&amp;["&amp;O$54&amp;"]"),0)</f>
        <v>0</v>
      </c>
      <c r="P70" s="460">
        <f>IFERROR(GETPIVOTDATA("[Measures].[Somme de Conso_kWh_PCI]",TCD_Conso!$B$3,"[Tab_concat].[Type]","[Tab_concat].[Type].&amp;[Consommation]","[Tab_concat].[Detail usage]","[Tab_concat].[Detail usage].&amp;["&amp;$C70&amp;"]","[Tab_concat].[Annee]","[Tab_concat].[Annee].&amp;["&amp;P$54&amp;"]"),0)</f>
        <v>0</v>
      </c>
    </row>
    <row r="71" spans="2:16">
      <c r="B71" s="556"/>
      <c r="C71" t="s">
        <v>184</v>
      </c>
      <c r="D71" s="460">
        <f>IFERROR(GETPIVOTDATA("[Measures].[Somme de Conso_kWh_PCI]",TCD_Conso!$B$3,"[Tab_concat].[Type]","[Tab_concat].[Type].&amp;[Consommation]","[Tab_concat].[Detail usage]","[Tab_concat].[Detail usage].&amp;["&amp;$C71&amp;"]","[Tab_concat].[Annee]","[Tab_concat].[Annee].&amp;["&amp;D$54&amp;"]"),0)</f>
        <v>164033.33333333308</v>
      </c>
      <c r="E71" s="460">
        <f>IFERROR(GETPIVOTDATA("[Measures].[Somme de Conso_kWh_PCI]",TCD_Conso!$B$3,"[Tab_concat].[Type]","[Tab_concat].[Type].&amp;[Consommation]","[Tab_concat].[Detail usage]","[Tab_concat].[Detail usage].&amp;["&amp;$C71&amp;"]","[Tab_concat].[Annee]","[Tab_concat].[Annee].&amp;["&amp;E$54&amp;"]"),0)</f>
        <v>211810.81081081103</v>
      </c>
      <c r="F71" s="460">
        <f>IFERROR(GETPIVOTDATA("[Measures].[Somme de Conso_kWh_PCI]",TCD_Conso!$B$3,"[Tab_concat].[Type]","[Tab_concat].[Type].&amp;[Consommation]","[Tab_concat].[Detail usage]","[Tab_concat].[Detail usage].&amp;["&amp;$C71&amp;"]","[Tab_concat].[Annee]","[Tab_concat].[Annee].&amp;["&amp;F$54&amp;"]"),0)</f>
        <v>280988.28828828793</v>
      </c>
      <c r="G71" s="460">
        <f>IFERROR(GETPIVOTDATA("[Measures].[Somme de Conso_kWh_PCI]",TCD_Conso!$B$3,"[Tab_concat].[Type]","[Tab_concat].[Type].&amp;[Consommation]","[Tab_concat].[Detail usage]","[Tab_concat].[Detail usage].&amp;["&amp;$C71&amp;"]","[Tab_concat].[Annee]","[Tab_concat].[Annee].&amp;["&amp;G$54&amp;"]"),0)</f>
        <v>342108.10810810805</v>
      </c>
      <c r="H71" s="460">
        <f>IFERROR(GETPIVOTDATA("[Measures].[Somme de Conso_kWh_PCI]",TCD_Conso!$B$3,"[Tab_concat].[Type]","[Tab_concat].[Type].&amp;[Consommation]","[Tab_concat].[Detail usage]","[Tab_concat].[Detail usage].&amp;["&amp;$C71&amp;"]","[Tab_concat].[Annee]","[Tab_concat].[Annee].&amp;["&amp;H$54&amp;"]"),0)</f>
        <v>325871.17117117153</v>
      </c>
      <c r="I71" s="460">
        <f>IFERROR(GETPIVOTDATA("[Measures].[Somme de Conso_kWh_PCI]",TCD_Conso!$B$3,"[Tab_concat].[Type]","[Tab_concat].[Type].&amp;[Consommation]","[Tab_concat].[Detail usage]","[Tab_concat].[Detail usage].&amp;["&amp;$C71&amp;"]","[Tab_concat].[Annee]","[Tab_concat].[Annee].&amp;["&amp;I$54&amp;"]"),0)</f>
        <v>321185.58558558655</v>
      </c>
      <c r="J71" s="460">
        <f>IFERROR(GETPIVOTDATA("[Measures].[Somme de Conso_kWh_PCI]",TCD_Conso!$B$3,"[Tab_concat].[Type]","[Tab_concat].[Type].&amp;[Consommation]","[Tab_concat].[Detail usage]","[Tab_concat].[Detail usage].&amp;["&amp;$C71&amp;"]","[Tab_concat].[Annee]","[Tab_concat].[Annee].&amp;["&amp;J$54&amp;"]"),0)</f>
        <v>336323.42342342407</v>
      </c>
      <c r="K71" s="460">
        <f>IFERROR(GETPIVOTDATA("[Measures].[Somme de Conso_kWh_PCI]",TCD_Conso!$B$3,"[Tab_concat].[Type]","[Tab_concat].[Type].&amp;[Consommation]","[Tab_concat].[Detail usage]","[Tab_concat].[Detail usage].&amp;["&amp;$C71&amp;"]","[Tab_concat].[Annee]","[Tab_concat].[Annee].&amp;["&amp;K$54&amp;"]"),0)</f>
        <v>379922.52252252353</v>
      </c>
      <c r="L71" s="460">
        <f>IFERROR(GETPIVOTDATA("[Measures].[Somme de Conso_kWh_PCI]",TCD_Conso!$B$3,"[Tab_concat].[Type]","[Tab_concat].[Type].&amp;[Consommation]","[Tab_concat].[Detail usage]","[Tab_concat].[Detail usage].&amp;["&amp;$C71&amp;"]","[Tab_concat].[Annee]","[Tab_concat].[Annee].&amp;["&amp;L$54&amp;"]"),0)</f>
        <v>382162.16216216155</v>
      </c>
      <c r="M71" s="460">
        <f>IFERROR(GETPIVOTDATA("[Measures].[Somme de Conso_kWh_PCI]",TCD_Conso!$B$3,"[Tab_concat].[Type]","[Tab_concat].[Type].&amp;[Consommation]","[Tab_concat].[Detail usage]","[Tab_concat].[Detail usage].&amp;["&amp;$C71&amp;"]","[Tab_concat].[Annee]","[Tab_concat].[Annee].&amp;["&amp;M$54&amp;"]"),0)</f>
        <v>346641.44144144229</v>
      </c>
      <c r="N71" s="460">
        <f>IFERROR(GETPIVOTDATA("[Measures].[Somme de Conso_kWh_PCI]",TCD_Conso!$B$3,"[Tab_concat].[Type]","[Tab_concat].[Type].&amp;[Consommation]","[Tab_concat].[Detail usage]","[Tab_concat].[Detail usage].&amp;["&amp;$C71&amp;"]","[Tab_concat].[Annee]","[Tab_concat].[Annee].&amp;["&amp;N$54&amp;"]"),0)</f>
        <v>342772.97297297243</v>
      </c>
      <c r="O71" s="460">
        <f>IFERROR(GETPIVOTDATA("[Measures].[Somme de Conso_kWh_PCI]",TCD_Conso!$B$3,"[Tab_concat].[Type]","[Tab_concat].[Type].&amp;[Consommation]","[Tab_concat].[Detail usage]","[Tab_concat].[Detail usage].&amp;["&amp;$C71&amp;"]","[Tab_concat].[Annee]","[Tab_concat].[Annee].&amp;["&amp;O$54&amp;"]"),0)</f>
        <v>414052.25225225126</v>
      </c>
      <c r="P71" s="460">
        <f>IFERROR(GETPIVOTDATA("[Measures].[Somme de Conso_kWh_PCI]",TCD_Conso!$B$3,"[Tab_concat].[Type]","[Tab_concat].[Type].&amp;[Consommation]","[Tab_concat].[Detail usage]","[Tab_concat].[Detail usage].&amp;["&amp;$C71&amp;"]","[Tab_concat].[Annee]","[Tab_concat].[Annee].&amp;["&amp;P$54&amp;"]"),0)</f>
        <v>354637.25661145058</v>
      </c>
    </row>
    <row r="72" spans="2:16">
      <c r="B72" s="556"/>
      <c r="C72" s="32" t="s">
        <v>329</v>
      </c>
      <c r="D72" s="460">
        <f>IFERROR(GETPIVOTDATA("[Measures].[Somme de Conso_kWh_PCI]",TCD_Conso!$B$3,"[Tab_concat].[Type]","[Tab_concat].[Type].&amp;[Consommation]","[Tab_concat].[Detail usage]","[Tab_concat].[Detail usage].&amp;["&amp;$C72&amp;"]","[Tab_concat].[Annee]","[Tab_concat].[Annee].&amp;["&amp;D$54&amp;"]"),0)</f>
        <v>0</v>
      </c>
      <c r="E72" s="460">
        <f>IFERROR(GETPIVOTDATA("[Measures].[Somme de Conso_kWh_PCI]",TCD_Conso!$B$3,"[Tab_concat].[Type]","[Tab_concat].[Type].&amp;[Consommation]","[Tab_concat].[Detail usage]","[Tab_concat].[Detail usage].&amp;["&amp;$C72&amp;"]","[Tab_concat].[Annee]","[Tab_concat].[Annee].&amp;["&amp;E$54&amp;"]"),0)</f>
        <v>0</v>
      </c>
      <c r="F72" s="460">
        <f>IFERROR(GETPIVOTDATA("[Measures].[Somme de Conso_kWh_PCI]",TCD_Conso!$B$3,"[Tab_concat].[Type]","[Tab_concat].[Type].&amp;[Consommation]","[Tab_concat].[Detail usage]","[Tab_concat].[Detail usage].&amp;["&amp;$C72&amp;"]","[Tab_concat].[Annee]","[Tab_concat].[Annee].&amp;["&amp;F$54&amp;"]"),0)</f>
        <v>0</v>
      </c>
      <c r="G72" s="460">
        <f>IFERROR(GETPIVOTDATA("[Measures].[Somme de Conso_kWh_PCI]",TCD_Conso!$B$3,"[Tab_concat].[Type]","[Tab_concat].[Type].&amp;[Consommation]","[Tab_concat].[Detail usage]","[Tab_concat].[Detail usage].&amp;["&amp;$C72&amp;"]","[Tab_concat].[Annee]","[Tab_concat].[Annee].&amp;["&amp;G$54&amp;"]"),0)</f>
        <v>0</v>
      </c>
      <c r="H72" s="460">
        <f>IFERROR(GETPIVOTDATA("[Measures].[Somme de Conso_kWh_PCI]",TCD_Conso!$B$3,"[Tab_concat].[Type]","[Tab_concat].[Type].&amp;[Consommation]","[Tab_concat].[Detail usage]","[Tab_concat].[Detail usage].&amp;["&amp;$C72&amp;"]","[Tab_concat].[Annee]","[Tab_concat].[Annee].&amp;["&amp;H$54&amp;"]"),0)</f>
        <v>0</v>
      </c>
      <c r="I72" s="460">
        <f>IFERROR(GETPIVOTDATA("[Measures].[Somme de Conso_kWh_PCI]",TCD_Conso!$B$3,"[Tab_concat].[Type]","[Tab_concat].[Type].&amp;[Consommation]","[Tab_concat].[Detail usage]","[Tab_concat].[Detail usage].&amp;["&amp;$C72&amp;"]","[Tab_concat].[Annee]","[Tab_concat].[Annee].&amp;["&amp;I$54&amp;"]"),0)</f>
        <v>0</v>
      </c>
      <c r="J72" s="460">
        <f>IFERROR(GETPIVOTDATA("[Measures].[Somme de Conso_kWh_PCI]",TCD_Conso!$B$3,"[Tab_concat].[Type]","[Tab_concat].[Type].&amp;[Consommation]","[Tab_concat].[Detail usage]","[Tab_concat].[Detail usage].&amp;["&amp;$C72&amp;"]","[Tab_concat].[Annee]","[Tab_concat].[Annee].&amp;["&amp;J$54&amp;"]"),0)</f>
        <v>0</v>
      </c>
      <c r="K72" s="460">
        <f>IFERROR(GETPIVOTDATA("[Measures].[Somme de Conso_kWh_PCI]",TCD_Conso!$B$3,"[Tab_concat].[Type]","[Tab_concat].[Type].&amp;[Consommation]","[Tab_concat].[Detail usage]","[Tab_concat].[Detail usage].&amp;["&amp;$C72&amp;"]","[Tab_concat].[Annee]","[Tab_concat].[Annee].&amp;["&amp;K$54&amp;"]"),0)</f>
        <v>0</v>
      </c>
      <c r="L72" s="460">
        <f>IFERROR(GETPIVOTDATA("[Measures].[Somme de Conso_kWh_PCI]",TCD_Conso!$B$3,"[Tab_concat].[Type]","[Tab_concat].[Type].&amp;[Consommation]","[Tab_concat].[Detail usage]","[Tab_concat].[Detail usage].&amp;["&amp;$C72&amp;"]","[Tab_concat].[Annee]","[Tab_concat].[Annee].&amp;["&amp;L$54&amp;"]"),0)</f>
        <v>0</v>
      </c>
      <c r="M72" s="460">
        <f>IFERROR(GETPIVOTDATA("[Measures].[Somme de Conso_kWh_PCI]",TCD_Conso!$B$3,"[Tab_concat].[Type]","[Tab_concat].[Type].&amp;[Consommation]","[Tab_concat].[Detail usage]","[Tab_concat].[Detail usage].&amp;["&amp;$C72&amp;"]","[Tab_concat].[Annee]","[Tab_concat].[Annee].&amp;["&amp;M$54&amp;"]"),0)</f>
        <v>0</v>
      </c>
      <c r="N72" s="460">
        <f>IFERROR(GETPIVOTDATA("[Measures].[Somme de Conso_kWh_PCI]",TCD_Conso!$B$3,"[Tab_concat].[Type]","[Tab_concat].[Type].&amp;[Consommation]","[Tab_concat].[Detail usage]","[Tab_concat].[Detail usage].&amp;["&amp;$C72&amp;"]","[Tab_concat].[Annee]","[Tab_concat].[Annee].&amp;["&amp;N$54&amp;"]"),0)</f>
        <v>0</v>
      </c>
      <c r="O72" s="460">
        <f>IFERROR(GETPIVOTDATA("[Measures].[Somme de Conso_kWh_PCI]",TCD_Conso!$B$3,"[Tab_concat].[Type]","[Tab_concat].[Type].&amp;[Consommation]","[Tab_concat].[Detail usage]","[Tab_concat].[Detail usage].&amp;["&amp;$C72&amp;"]","[Tab_concat].[Annee]","[Tab_concat].[Annee].&amp;["&amp;O$54&amp;"]"),0)</f>
        <v>0</v>
      </c>
      <c r="P72" s="460">
        <f>IFERROR(GETPIVOTDATA("[Measures].[Somme de Conso_kWh_PCI]",TCD_Conso!$B$3,"[Tab_concat].[Type]","[Tab_concat].[Type].&amp;[Consommation]","[Tab_concat].[Detail usage]","[Tab_concat].[Detail usage].&amp;["&amp;$C72&amp;"]","[Tab_concat].[Annee]","[Tab_concat].[Annee].&amp;["&amp;P$54&amp;"]"),0)</f>
        <v>0</v>
      </c>
    </row>
    <row r="73" spans="2:16">
      <c r="B73" s="556"/>
      <c r="C73" s="32" t="s">
        <v>377</v>
      </c>
      <c r="D73">
        <f>SUM(D68:D72)</f>
        <v>164033.33333333308</v>
      </c>
      <c r="E73">
        <f t="shared" ref="E73:J73" si="24">SUM(E68:E72)</f>
        <v>211810.81081081103</v>
      </c>
      <c r="F73">
        <f t="shared" si="24"/>
        <v>280988.28828828793</v>
      </c>
      <c r="G73">
        <f t="shared" si="24"/>
        <v>342108.10810810805</v>
      </c>
      <c r="H73">
        <f t="shared" si="24"/>
        <v>325871.17117117153</v>
      </c>
      <c r="I73">
        <f t="shared" si="24"/>
        <v>321185.58558558655</v>
      </c>
      <c r="J73">
        <f t="shared" si="24"/>
        <v>336323.42342342407</v>
      </c>
      <c r="K73">
        <f t="shared" ref="K73:P73" si="25">SUM(K68:K72)</f>
        <v>379922.52252252353</v>
      </c>
      <c r="L73">
        <f t="shared" si="25"/>
        <v>382162.16216216155</v>
      </c>
      <c r="M73">
        <f t="shared" si="25"/>
        <v>346641.44144144229</v>
      </c>
      <c r="N73">
        <f t="shared" si="25"/>
        <v>342772.97297297243</v>
      </c>
      <c r="O73">
        <f t="shared" si="25"/>
        <v>414052.25225225126</v>
      </c>
      <c r="P73">
        <f t="shared" si="25"/>
        <v>354637.25661145058</v>
      </c>
    </row>
    <row r="74" spans="2:16">
      <c r="B74" s="556"/>
      <c r="C74" s="32" t="s">
        <v>378</v>
      </c>
    </row>
    <row r="75" spans="2:16">
      <c r="B75" s="557" t="s">
        <v>379</v>
      </c>
      <c r="C75" s="32" t="s">
        <v>380</v>
      </c>
      <c r="D75">
        <f>VLOOKUP(D54,Site!$B$8:$E$23,2,FALSE)</f>
        <v>0</v>
      </c>
      <c r="E75">
        <f>VLOOKUP(E54,Site!$B$8:$E$23,2,FALSE)</f>
        <v>0</v>
      </c>
      <c r="F75">
        <f>VLOOKUP(F54,Site!$B$8:$E$23,2,FALSE)</f>
        <v>0</v>
      </c>
      <c r="G75">
        <f>VLOOKUP(G54,Site!$B$8:$E$23,2,FALSE)</f>
        <v>0</v>
      </c>
      <c r="H75">
        <f>VLOOKUP(H54,Site!$B$8:$E$23,2,FALSE)</f>
        <v>0</v>
      </c>
      <c r="I75">
        <f>VLOOKUP(I54,Site!$B$8:$E$23,2,FALSE)</f>
        <v>0</v>
      </c>
      <c r="J75">
        <f>VLOOKUP(J54,Site!$B$8:$E$23,2,FALSE)</f>
        <v>0</v>
      </c>
      <c r="K75">
        <f>VLOOKUP(K54,Site!$B$8:$E$23,2,FALSE)</f>
        <v>0</v>
      </c>
      <c r="L75">
        <f>VLOOKUP(L54,Site!$B$8:$E$23,2,FALSE)</f>
        <v>0</v>
      </c>
      <c r="M75">
        <f>VLOOKUP(M54,Site!$B$8:$E$23,2,FALSE)</f>
        <v>0</v>
      </c>
      <c r="N75">
        <f>VLOOKUP(N54,Site!$B$8:$E$23,2,FALSE)</f>
        <v>0</v>
      </c>
      <c r="O75">
        <f>VLOOKUP(O54,Site!$B$8:$E$23,2,FALSE)</f>
        <v>0</v>
      </c>
      <c r="P75">
        <f>VLOOKUP(P54,Site!$B$8:$E$23,2,FALSE)</f>
        <v>0</v>
      </c>
    </row>
    <row r="76" spans="2:16">
      <c r="B76" s="557"/>
      <c r="C76" s="32" t="s">
        <v>27</v>
      </c>
      <c r="D76" t="e">
        <f t="shared" ref="D76:M76" si="26">D57/D75</f>
        <v>#DIV/0!</v>
      </c>
      <c r="E76" t="e">
        <f t="shared" si="26"/>
        <v>#DIV/0!</v>
      </c>
      <c r="F76" t="e">
        <f t="shared" si="26"/>
        <v>#DIV/0!</v>
      </c>
      <c r="G76" t="e">
        <f t="shared" si="26"/>
        <v>#DIV/0!</v>
      </c>
      <c r="H76" t="e">
        <f t="shared" si="26"/>
        <v>#DIV/0!</v>
      </c>
      <c r="I76" t="e">
        <f t="shared" si="26"/>
        <v>#DIV/0!</v>
      </c>
      <c r="J76" t="e">
        <f t="shared" si="26"/>
        <v>#DIV/0!</v>
      </c>
      <c r="K76" t="e">
        <f t="shared" si="26"/>
        <v>#DIV/0!</v>
      </c>
      <c r="L76" t="e">
        <f t="shared" si="26"/>
        <v>#DIV/0!</v>
      </c>
      <c r="M76" t="e">
        <f t="shared" si="26"/>
        <v>#DIV/0!</v>
      </c>
      <c r="N76" t="e">
        <f>N57/N75</f>
        <v>#DIV/0!</v>
      </c>
      <c r="O76" t="e">
        <f>O57/O75</f>
        <v>#DIV/0!</v>
      </c>
      <c r="P76" t="e">
        <f>P57/P75</f>
        <v>#DIV/0!</v>
      </c>
    </row>
    <row r="77" spans="2:16">
      <c r="B77" s="557"/>
      <c r="C77" s="32" t="s">
        <v>322</v>
      </c>
      <c r="D77" t="e">
        <f>D73/D75</f>
        <v>#DIV/0!</v>
      </c>
      <c r="E77" t="e">
        <f>E73/E75</f>
        <v>#DIV/0!</v>
      </c>
      <c r="F77" t="e">
        <f>F73/F75</f>
        <v>#DIV/0!</v>
      </c>
      <c r="G77" t="e">
        <f>G73/G75</f>
        <v>#DIV/0!</v>
      </c>
      <c r="H77" t="e">
        <f t="shared" ref="H77:M77" si="27">H73/H75</f>
        <v>#DIV/0!</v>
      </c>
      <c r="I77" t="e">
        <f t="shared" si="27"/>
        <v>#DIV/0!</v>
      </c>
      <c r="J77" t="e">
        <f t="shared" si="27"/>
        <v>#DIV/0!</v>
      </c>
      <c r="K77" t="e">
        <f t="shared" si="27"/>
        <v>#DIV/0!</v>
      </c>
      <c r="L77" t="e">
        <f t="shared" si="27"/>
        <v>#DIV/0!</v>
      </c>
      <c r="M77" t="e">
        <f t="shared" si="27"/>
        <v>#DIV/0!</v>
      </c>
      <c r="N77" t="e">
        <f>N73/N75</f>
        <v>#DIV/0!</v>
      </c>
      <c r="O77" t="e">
        <f>O73/O75</f>
        <v>#DIV/0!</v>
      </c>
      <c r="P77" t="e">
        <f>P73/P75</f>
        <v>#DIV/0!</v>
      </c>
    </row>
    <row r="78" spans="2:16">
      <c r="B78" s="47"/>
      <c r="C78" s="32" t="str">
        <f>IF(D69&gt;0,"ECS", IF(D72&gt;0,"ECS estimée","ECS+Cuisson estimées"))</f>
        <v>ECS+Cuisson estimées</v>
      </c>
      <c r="D78" t="e">
        <f>IF(D69&gt;0,D69,HLOOKUP(D54,Estimation_ECS!$C$27:$R$30,4))/D75</f>
        <v>#DIV/0!</v>
      </c>
      <c r="E78" t="e">
        <f>IF(E69&gt;0,E69,HLOOKUP(E54,Estimation_ECS!$C$27:$R$30,4))/E75</f>
        <v>#DIV/0!</v>
      </c>
      <c r="F78" t="e">
        <f>IF(F69&gt;0,F69,HLOOKUP(F54,Estimation_ECS!$C$27:$R$30,4))/F75</f>
        <v>#DIV/0!</v>
      </c>
      <c r="G78" t="e">
        <f>IF(G69&gt;0,G69,HLOOKUP(G54,Estimation_ECS!$C$27:$R$30,4))/G75</f>
        <v>#DIV/0!</v>
      </c>
      <c r="H78" t="e">
        <f>IF(H69&gt;0,H69,HLOOKUP(H54,Estimation_ECS!$C$27:$R$30,4))/H75</f>
        <v>#DIV/0!</v>
      </c>
      <c r="I78" t="e">
        <f>IF(I69&gt;0,I69,HLOOKUP(I54,Estimation_ECS!$C$27:$R$30,4))/I75</f>
        <v>#DIV/0!</v>
      </c>
      <c r="J78" t="e">
        <f>IF(J69&gt;0,J69,HLOOKUP(J54,Estimation_ECS!$C$27:$R$30,4))/J75</f>
        <v>#DIV/0!</v>
      </c>
      <c r="K78" t="e">
        <f>IF(K69&gt;0,K69,HLOOKUP(K54,Estimation_ECS!$C$27:$R$30,4))/K75</f>
        <v>#DIV/0!</v>
      </c>
      <c r="L78" t="e">
        <f>IF(L69&gt;0,L69,HLOOKUP(L54,Estimation_ECS!$C$27:$R$30,4))/L75</f>
        <v>#DIV/0!</v>
      </c>
      <c r="M78" t="e">
        <f>IF(M69&gt;0,M69,HLOOKUP(M54,Estimation_ECS!$C$27:$R$30,4))/M75</f>
        <v>#DIV/0!</v>
      </c>
      <c r="N78" t="e">
        <f>IF(N69&gt;0,N69,HLOOKUP(N54,Estimation_ECS!$C$27:$R$30,4))/N75</f>
        <v>#DIV/0!</v>
      </c>
      <c r="O78" t="e">
        <f>IF(O69&gt;0,O69,HLOOKUP(O54,Estimation_ECS!$C$27:$R$30,4))/O75</f>
        <v>#DIV/0!</v>
      </c>
      <c r="P78" t="e">
        <f>IF(P69&gt;0,P69,HLOOKUP(P54,Estimation_ECS!$C$27:$R$30,4))/P75</f>
        <v>#DIV/0!</v>
      </c>
    </row>
    <row r="79" spans="2:16">
      <c r="B79" s="47"/>
      <c r="C79" s="32" t="s">
        <v>381</v>
      </c>
      <c r="D79" t="e">
        <f>D77-D78</f>
        <v>#DIV/0!</v>
      </c>
      <c r="E79" t="e">
        <f t="shared" ref="E79:M79" si="28">E77-E78</f>
        <v>#DIV/0!</v>
      </c>
      <c r="F79" t="e">
        <f t="shared" si="28"/>
        <v>#DIV/0!</v>
      </c>
      <c r="G79" t="e">
        <f t="shared" si="28"/>
        <v>#DIV/0!</v>
      </c>
      <c r="H79" t="e">
        <f t="shared" si="28"/>
        <v>#DIV/0!</v>
      </c>
      <c r="I79" t="e">
        <f t="shared" si="28"/>
        <v>#DIV/0!</v>
      </c>
      <c r="J79" t="e">
        <f t="shared" si="28"/>
        <v>#DIV/0!</v>
      </c>
      <c r="K79" t="e">
        <f t="shared" si="28"/>
        <v>#DIV/0!</v>
      </c>
      <c r="L79" t="e">
        <f t="shared" si="28"/>
        <v>#DIV/0!</v>
      </c>
      <c r="M79" t="e">
        <f t="shared" si="28"/>
        <v>#DIV/0!</v>
      </c>
      <c r="N79" t="e">
        <f>N77-N78</f>
        <v>#DIV/0!</v>
      </c>
      <c r="O79" t="e">
        <f>O77-O78</f>
        <v>#DIV/0!</v>
      </c>
      <c r="P79" t="e">
        <f>P77-P78</f>
        <v>#DIV/0!</v>
      </c>
    </row>
    <row r="80" spans="2:16">
      <c r="B80" s="47"/>
      <c r="C80" s="32" t="s">
        <v>382</v>
      </c>
      <c r="D80" t="e">
        <f>D62/D75</f>
        <v>#DIV/0!</v>
      </c>
      <c r="E80" t="e">
        <f t="shared" ref="E80:M80" si="29">E62/E75</f>
        <v>#DIV/0!</v>
      </c>
      <c r="F80" t="e">
        <f t="shared" si="29"/>
        <v>#DIV/0!</v>
      </c>
      <c r="G80" t="e">
        <f t="shared" si="29"/>
        <v>#DIV/0!</v>
      </c>
      <c r="H80" t="e">
        <f t="shared" si="29"/>
        <v>#DIV/0!</v>
      </c>
      <c r="I80" t="e">
        <f t="shared" si="29"/>
        <v>#DIV/0!</v>
      </c>
      <c r="J80" t="e">
        <f t="shared" si="29"/>
        <v>#DIV/0!</v>
      </c>
      <c r="K80" t="e">
        <f t="shared" si="29"/>
        <v>#DIV/0!</v>
      </c>
      <c r="L80" t="e">
        <f t="shared" si="29"/>
        <v>#DIV/0!</v>
      </c>
      <c r="M80" t="e">
        <f t="shared" si="29"/>
        <v>#DIV/0!</v>
      </c>
      <c r="N80" t="e">
        <f>N62/N75</f>
        <v>#DIV/0!</v>
      </c>
      <c r="O80" t="e">
        <f>O62/O75</f>
        <v>#DIV/0!</v>
      </c>
      <c r="P80" t="e">
        <f>P62/P75</f>
        <v>#DIV/0!</v>
      </c>
    </row>
    <row r="81" spans="2:16">
      <c r="B81" s="47"/>
      <c r="C81" s="32" t="s">
        <v>383</v>
      </c>
      <c r="D81" t="e">
        <f>D67/D75</f>
        <v>#DIV/0!</v>
      </c>
      <c r="E81" t="e">
        <f t="shared" ref="E81:M81" si="30">E67/E75</f>
        <v>#DIV/0!</v>
      </c>
      <c r="F81" t="e">
        <f t="shared" si="30"/>
        <v>#DIV/0!</v>
      </c>
      <c r="G81" t="e">
        <f t="shared" si="30"/>
        <v>#DIV/0!</v>
      </c>
      <c r="H81" t="e">
        <f t="shared" si="30"/>
        <v>#DIV/0!</v>
      </c>
      <c r="I81" t="e">
        <f t="shared" si="30"/>
        <v>#DIV/0!</v>
      </c>
      <c r="J81" t="e">
        <f t="shared" si="30"/>
        <v>#DIV/0!</v>
      </c>
      <c r="K81" t="e">
        <f t="shared" si="30"/>
        <v>#DIV/0!</v>
      </c>
      <c r="L81" t="e">
        <f t="shared" si="30"/>
        <v>#DIV/0!</v>
      </c>
      <c r="M81" t="e">
        <f t="shared" si="30"/>
        <v>#DIV/0!</v>
      </c>
      <c r="N81" t="e">
        <f>N67/N75</f>
        <v>#DIV/0!</v>
      </c>
      <c r="O81" t="e">
        <f>O67/O75</f>
        <v>#DIV/0!</v>
      </c>
      <c r="P81" t="e">
        <f>P67/P75</f>
        <v>#DIV/0!</v>
      </c>
    </row>
    <row r="82" spans="2:16">
      <c r="C82" s="32" t="s">
        <v>384</v>
      </c>
      <c r="D82" t="e">
        <f>D76+D77+D80+D81</f>
        <v>#DIV/0!</v>
      </c>
      <c r="E82" t="e">
        <f t="shared" ref="E82:M82" si="31">E76+E77+E80+E81</f>
        <v>#DIV/0!</v>
      </c>
      <c r="F82" t="e">
        <f t="shared" si="31"/>
        <v>#DIV/0!</v>
      </c>
      <c r="G82" t="e">
        <f>G76+G77+G80+G81</f>
        <v>#DIV/0!</v>
      </c>
      <c r="H82" t="e">
        <f t="shared" si="31"/>
        <v>#DIV/0!</v>
      </c>
      <c r="I82" t="e">
        <f t="shared" si="31"/>
        <v>#DIV/0!</v>
      </c>
      <c r="J82" t="e">
        <f t="shared" si="31"/>
        <v>#DIV/0!</v>
      </c>
      <c r="K82" t="e">
        <f t="shared" si="31"/>
        <v>#DIV/0!</v>
      </c>
      <c r="L82" t="e">
        <f t="shared" si="31"/>
        <v>#DIV/0!</v>
      </c>
      <c r="M82" t="e">
        <f t="shared" si="31"/>
        <v>#DIV/0!</v>
      </c>
      <c r="N82" t="e">
        <f>N76+N77+N80+N81</f>
        <v>#DIV/0!</v>
      </c>
      <c r="O82" t="e">
        <f>O76+O77+O80+O81</f>
        <v>#DIV/0!</v>
      </c>
      <c r="P82" t="e">
        <f>P76+P77+P80+P81</f>
        <v>#DIV/0!</v>
      </c>
    </row>
    <row r="83" spans="2:16">
      <c r="C83" s="32" t="s">
        <v>13</v>
      </c>
      <c r="D83" t="e">
        <f>VLOOKUP(D11,Site!$B$8:$H$23,7,FALSE)</f>
        <v>#N/A</v>
      </c>
      <c r="E83" t="str">
        <f>VLOOKUP(E11,Site!$B$8:$H$23,7,FALSE)</f>
        <v/>
      </c>
      <c r="F83" t="str">
        <f>VLOOKUP(F11,Site!$B$8:$H$23,7,FALSE)</f>
        <v/>
      </c>
      <c r="G83" t="str">
        <f>VLOOKUP(G11,Site!$B$8:$H$23,7,FALSE)</f>
        <v/>
      </c>
      <c r="H83" t="str">
        <f>VLOOKUP(H11,Site!$B$8:$H$23,7,FALSE)</f>
        <v/>
      </c>
      <c r="I83" t="str">
        <f>VLOOKUP(I11,Site!$B$8:$H$23,7,FALSE)</f>
        <v/>
      </c>
      <c r="J83" t="str">
        <f>VLOOKUP(J11,Site!$B$8:$H$23,7,FALSE)</f>
        <v/>
      </c>
      <c r="K83" t="e">
        <f>VLOOKUP(K11,Site!$B$8:$H$23,7,FALSE)</f>
        <v>#N/A</v>
      </c>
      <c r="L83" t="e">
        <f>VLOOKUP(L11,Site!$B$8:$H$23,7,FALSE)</f>
        <v>#N/A</v>
      </c>
      <c r="M83" t="e">
        <f>VLOOKUP(M11,Site!$B$8:$H$23,7,FALSE)</f>
        <v>#N/A</v>
      </c>
      <c r="N83" t="e">
        <f>VLOOKUP(N11,Site!$B$8:$H$23,7,FALSE)</f>
        <v>#N/A</v>
      </c>
      <c r="O83" t="e">
        <f>VLOOKUP(O11,Site!$B$8:$H$23,7,FALSE)</f>
        <v>#N/A</v>
      </c>
      <c r="P83" t="e">
        <f>VLOOKUP(P11,Site!$B$8:$H$23,7,FALSE)</f>
        <v>#N/A</v>
      </c>
    </row>
    <row r="86" spans="2:16">
      <c r="C86" s="32" t="s">
        <v>390</v>
      </c>
      <c r="D86" s="53">
        <f>(D58-$G$3)/$G$3</f>
        <v>0.18427000150670492</v>
      </c>
      <c r="E86" s="53">
        <f t="shared" ref="E86:M86" si="32">(E58-$G$3)/$G$3</f>
        <v>-0.12438924643233812</v>
      </c>
      <c r="F86" s="53">
        <f t="shared" si="32"/>
        <v>5.8567769431111388E-2</v>
      </c>
      <c r="G86" s="53">
        <f t="shared" si="32"/>
        <v>0.10893475968057865</v>
      </c>
      <c r="H86" s="53">
        <f t="shared" si="32"/>
        <v>-0.11147463354785933</v>
      </c>
      <c r="I86" s="53">
        <f t="shared" si="32"/>
        <v>-6.024666910609347E-2</v>
      </c>
      <c r="J86" s="53">
        <f t="shared" si="32"/>
        <v>4.2209259777438252E-2</v>
      </c>
      <c r="K86" s="53">
        <f t="shared" si="32"/>
        <v>-3.6569878817882359E-2</v>
      </c>
      <c r="L86" s="53">
        <f t="shared" si="32"/>
        <v>-7.5744204567468013E-2</v>
      </c>
      <c r="M86" s="53">
        <f t="shared" si="32"/>
        <v>-4.7332056221614682E-2</v>
      </c>
      <c r="N86" s="53">
        <f>(N58-$G$3)/$G$3</f>
        <v>-0.15150993348974359</v>
      </c>
      <c r="O86" s="53">
        <f>(O58-$G$3)/$G$3</f>
        <v>2.4559288835317241E-2</v>
      </c>
      <c r="P86" s="53">
        <f>(P58-$G$3)/$G$3</f>
        <v>-0.13299898835532398</v>
      </c>
    </row>
    <row r="87" spans="2:16">
      <c r="C87" s="32" t="s">
        <v>391</v>
      </c>
      <c r="D87" s="53">
        <f t="shared" ref="D87:P87" si="33">IF(D86&lt;0,"",D86)</f>
        <v>0.18427000150670492</v>
      </c>
      <c r="E87" s="53" t="str">
        <f t="shared" si="33"/>
        <v/>
      </c>
      <c r="F87" s="53">
        <f t="shared" si="33"/>
        <v>5.8567769431111388E-2</v>
      </c>
      <c r="G87" s="53">
        <f t="shared" si="33"/>
        <v>0.10893475968057865</v>
      </c>
      <c r="H87" s="53" t="str">
        <f t="shared" si="33"/>
        <v/>
      </c>
      <c r="I87" s="53" t="str">
        <f t="shared" si="33"/>
        <v/>
      </c>
      <c r="J87" s="53">
        <f t="shared" si="33"/>
        <v>4.2209259777438252E-2</v>
      </c>
      <c r="K87" s="53" t="str">
        <f t="shared" si="33"/>
        <v/>
      </c>
      <c r="L87" s="53" t="str">
        <f t="shared" si="33"/>
        <v/>
      </c>
      <c r="M87" s="53" t="str">
        <f t="shared" si="33"/>
        <v/>
      </c>
      <c r="N87" s="53" t="str">
        <f t="shared" si="33"/>
        <v/>
      </c>
      <c r="O87" s="53">
        <f t="shared" si="33"/>
        <v>2.4559288835317241E-2</v>
      </c>
      <c r="P87" s="53" t="str">
        <f t="shared" si="33"/>
        <v/>
      </c>
    </row>
    <row r="88" spans="2:16">
      <c r="C88" s="32" t="s">
        <v>392</v>
      </c>
      <c r="D88" s="53" t="str">
        <f>IF(D86&gt;0,"",D86)</f>
        <v/>
      </c>
      <c r="E88" s="53">
        <f t="shared" ref="E88:M88" si="34">IF(E86&gt;0,"",E86)</f>
        <v>-0.12438924643233812</v>
      </c>
      <c r="F88" s="53" t="str">
        <f t="shared" si="34"/>
        <v/>
      </c>
      <c r="G88" s="53" t="str">
        <f t="shared" si="34"/>
        <v/>
      </c>
      <c r="H88" s="53">
        <f t="shared" si="34"/>
        <v>-0.11147463354785933</v>
      </c>
      <c r="I88" s="53">
        <f t="shared" si="34"/>
        <v>-6.024666910609347E-2</v>
      </c>
      <c r="J88" s="53" t="str">
        <f t="shared" si="34"/>
        <v/>
      </c>
      <c r="K88" s="53">
        <f t="shared" si="34"/>
        <v>-3.6569878817882359E-2</v>
      </c>
      <c r="L88" s="53">
        <f t="shared" si="34"/>
        <v>-7.5744204567468013E-2</v>
      </c>
      <c r="M88" s="53">
        <f t="shared" si="34"/>
        <v>-4.7332056221614682E-2</v>
      </c>
      <c r="N88" s="53">
        <f>IF(N86&gt;0,"",N86)</f>
        <v>-0.15150993348974359</v>
      </c>
      <c r="O88" s="53" t="str">
        <f>IF(O86&gt;0,"",O86)</f>
        <v/>
      </c>
      <c r="P88" s="53">
        <f>IF(P86&gt;0,"",P86)</f>
        <v>-0.13299898835532398</v>
      </c>
    </row>
    <row r="90" spans="2:16">
      <c r="D90" s="117">
        <f>IF(D91="",0,-30%)</f>
        <v>0</v>
      </c>
      <c r="E90" s="117">
        <f t="shared" ref="E90:P90" si="35">IF(E91="",0,-30%)</f>
        <v>0</v>
      </c>
      <c r="F90" s="117">
        <f t="shared" si="35"/>
        <v>0</v>
      </c>
      <c r="G90" s="117">
        <f t="shared" si="35"/>
        <v>0</v>
      </c>
      <c r="H90" s="117">
        <f t="shared" si="35"/>
        <v>0</v>
      </c>
      <c r="I90" s="117">
        <f t="shared" si="35"/>
        <v>0</v>
      </c>
      <c r="J90" s="117">
        <f t="shared" si="35"/>
        <v>0</v>
      </c>
      <c r="K90" s="117">
        <f t="shared" si="35"/>
        <v>0</v>
      </c>
      <c r="L90" s="117">
        <f t="shared" si="35"/>
        <v>0</v>
      </c>
      <c r="M90" s="117">
        <f t="shared" si="35"/>
        <v>0</v>
      </c>
      <c r="N90" s="117">
        <f t="shared" si="35"/>
        <v>0</v>
      </c>
      <c r="O90" s="117">
        <f t="shared" si="35"/>
        <v>0</v>
      </c>
      <c r="P90" s="117">
        <f t="shared" si="35"/>
        <v>0</v>
      </c>
    </row>
    <row r="91" spans="2:16">
      <c r="D91" t="str">
        <f>IF(VLOOKUP('CALCUL DEET'!D54,Site!$B$8:$M$23,8,0)=0,"",(VLOOKUP('CALCUL DEET'!D54,Site!$B$8:$M$23,8,0)))</f>
        <v/>
      </c>
      <c r="E91" t="str">
        <f>IF(VLOOKUP('CALCUL DEET'!E54,Site!$B$8:$M$23,8,0)=0,"",(VLOOKUP('CALCUL DEET'!E54,Site!$B$8:$M$23,8,0)))</f>
        <v/>
      </c>
      <c r="F91" t="str">
        <f>IF(VLOOKUP('CALCUL DEET'!F54,Site!$B$8:$M$23,8,0)=0,"",(VLOOKUP('CALCUL DEET'!F54,Site!$B$8:$M$23,8,0)))</f>
        <v/>
      </c>
      <c r="G91" t="str">
        <f>IF(VLOOKUP('CALCUL DEET'!G54,Site!$B$8:$M$23,8,0)=0,"",(VLOOKUP('CALCUL DEET'!G54,Site!$B$8:$M$23,8,0)))</f>
        <v/>
      </c>
      <c r="H91" t="str">
        <f>IF(VLOOKUP('CALCUL DEET'!H54,Site!$B$8:$M$23,8,0)=0,"",(VLOOKUP('CALCUL DEET'!H54,Site!$B$8:$M$23,8,0)))</f>
        <v/>
      </c>
      <c r="I91" t="str">
        <f>IF(VLOOKUP('CALCUL DEET'!I54,Site!$B$8:$M$23,8,0)=0,"",(VLOOKUP('CALCUL DEET'!I54,Site!$B$8:$M$23,8,0)))</f>
        <v/>
      </c>
      <c r="J91" t="str">
        <f>IF(VLOOKUP('CALCUL DEET'!J54,Site!$B$8:$M$23,8,0)=0,"",(VLOOKUP('CALCUL DEET'!J54,Site!$B$8:$M$23,8,0)))</f>
        <v/>
      </c>
      <c r="K91" t="str">
        <f>IF(VLOOKUP('CALCUL DEET'!K54,Site!$B$8:$M$23,8,0)=0,"",(VLOOKUP('CALCUL DEET'!K54,Site!$B$8:$M$23,8,0)))</f>
        <v/>
      </c>
      <c r="L91" t="str">
        <f>IF(VLOOKUP('CALCUL DEET'!L54,Site!$B$8:$M$23,8,0)=0,"",(VLOOKUP('CALCUL DEET'!L54,Site!$B$8:$M$23,8,0)))</f>
        <v/>
      </c>
      <c r="M91" t="str">
        <f>IF(VLOOKUP('CALCUL DEET'!M54,Site!$B$8:$M$23,8,0)=0,"",(VLOOKUP('CALCUL DEET'!M54,Site!$B$8:$M$23,8,0)))</f>
        <v/>
      </c>
      <c r="N91" s="479" t="str">
        <f>IF(VLOOKUP('CALCUL DEET'!N54,Site!$B$8:$M$23,8,0)=0,"",(VLOOKUP('CALCUL DEET'!N54,Site!$B$8:$M$23,8,0)))</f>
        <v/>
      </c>
      <c r="O91" s="479" t="str">
        <f>IF(VLOOKUP('CALCUL DEET'!O54,Site!$B$8:$M$23,8,0)=0,"",(VLOOKUP('CALCUL DEET'!O54,Site!$B$8:$M$23,8,0)))</f>
        <v/>
      </c>
      <c r="P91" s="479" t="str">
        <f>IF(VLOOKUP('CALCUL DEET'!P54,Site!$B$8:$M$23,8,0)=0,"",(VLOOKUP('CALCUL DEET'!P54,Site!$B$8:$M$23,8,0)))</f>
        <v/>
      </c>
    </row>
  </sheetData>
  <mergeCells count="10">
    <mergeCell ref="B55:B57"/>
    <mergeCell ref="B58:B62"/>
    <mergeCell ref="B63:B67"/>
    <mergeCell ref="B69:B74"/>
    <mergeCell ref="B75:B77"/>
    <mergeCell ref="B12:B14"/>
    <mergeCell ref="B32:B34"/>
    <mergeCell ref="B26:B31"/>
    <mergeCell ref="B15:B19"/>
    <mergeCell ref="B20:B2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3"/>
  <dimension ref="A1:AJ51"/>
  <sheetViews>
    <sheetView zoomScale="55" zoomScaleNormal="55" workbookViewId="0">
      <selection activeCell="B3" sqref="B3"/>
    </sheetView>
  </sheetViews>
  <sheetFormatPr baseColWidth="10" defaultColWidth="11.453125" defaultRowHeight="14.5"/>
  <cols>
    <col min="2" max="2" width="28.90625" bestFit="1" customWidth="1"/>
    <col min="3" max="3" width="35.81640625" bestFit="1" customWidth="1"/>
    <col min="4" max="4" width="38" bestFit="1" customWidth="1"/>
    <col min="5" max="5" width="35.81640625" bestFit="1" customWidth="1"/>
    <col min="6" max="6" width="38" bestFit="1" customWidth="1"/>
    <col min="7" max="7" width="35.81640625" bestFit="1" customWidth="1"/>
    <col min="8" max="8" width="38" bestFit="1" customWidth="1"/>
    <col min="9" max="9" width="35.81640625" bestFit="1" customWidth="1"/>
    <col min="10" max="10" width="38" bestFit="1" customWidth="1"/>
    <col min="11" max="11" width="35.81640625" bestFit="1" customWidth="1"/>
    <col min="12" max="12" width="38" bestFit="1" customWidth="1"/>
    <col min="13" max="13" width="35.81640625" bestFit="1" customWidth="1"/>
    <col min="14" max="14" width="38" bestFit="1" customWidth="1"/>
    <col min="15" max="15" width="35.81640625" bestFit="1" customWidth="1"/>
    <col min="16" max="16" width="38" bestFit="1" customWidth="1"/>
    <col min="17" max="17" width="35.81640625" bestFit="1" customWidth="1"/>
    <col min="18" max="18" width="38" bestFit="1" customWidth="1"/>
    <col min="19" max="19" width="35.81640625" bestFit="1" customWidth="1"/>
    <col min="20" max="20" width="38" bestFit="1" customWidth="1"/>
    <col min="21" max="21" width="35.81640625" bestFit="1" customWidth="1"/>
    <col min="22" max="22" width="38" bestFit="1" customWidth="1"/>
    <col min="23" max="23" width="35.81640625" bestFit="1" customWidth="1"/>
    <col min="24" max="24" width="38" bestFit="1" customWidth="1"/>
    <col min="25" max="25" width="35.81640625" bestFit="1" customWidth="1"/>
    <col min="26" max="26" width="38" bestFit="1" customWidth="1"/>
    <col min="27" max="27" width="35.81640625" bestFit="1" customWidth="1"/>
    <col min="28" max="28" width="38" bestFit="1" customWidth="1"/>
    <col min="29" max="29" width="35.81640625" bestFit="1" customWidth="1"/>
    <col min="30" max="30" width="38" bestFit="1" customWidth="1"/>
    <col min="31" max="31" width="35.81640625" bestFit="1" customWidth="1"/>
    <col min="32" max="32" width="38" bestFit="1" customWidth="1"/>
    <col min="33" max="33" width="35.81640625" bestFit="1" customWidth="1"/>
    <col min="34" max="34" width="38" bestFit="1" customWidth="1"/>
    <col min="35" max="35" width="42.81640625" bestFit="1" customWidth="1"/>
    <col min="36" max="36" width="45" bestFit="1" customWidth="1"/>
    <col min="37" max="37" width="27.54296875" bestFit="1" customWidth="1"/>
    <col min="38" max="38" width="29" bestFit="1" customWidth="1"/>
    <col min="39" max="39" width="27.54296875" bestFit="1" customWidth="1"/>
    <col min="40" max="40" width="29" bestFit="1" customWidth="1"/>
    <col min="41" max="41" width="27.54296875" bestFit="1" customWidth="1"/>
    <col min="42" max="42" width="29" bestFit="1" customWidth="1"/>
    <col min="43" max="43" width="27.54296875" bestFit="1" customWidth="1"/>
    <col min="44" max="44" width="29" bestFit="1" customWidth="1"/>
    <col min="45" max="45" width="27.54296875" bestFit="1" customWidth="1"/>
    <col min="46" max="46" width="29" bestFit="1" customWidth="1"/>
    <col min="47" max="47" width="27.54296875" bestFit="1" customWidth="1"/>
    <col min="48" max="48" width="29" bestFit="1" customWidth="1"/>
    <col min="49" max="49" width="27.54296875" bestFit="1" customWidth="1"/>
    <col min="50" max="50" width="29" bestFit="1" customWidth="1"/>
    <col min="51" max="51" width="27.54296875" bestFit="1" customWidth="1"/>
    <col min="52" max="52" width="29" bestFit="1" customWidth="1"/>
    <col min="53" max="53" width="27.54296875" bestFit="1" customWidth="1"/>
    <col min="54" max="54" width="29" bestFit="1" customWidth="1"/>
    <col min="55" max="55" width="27.54296875" bestFit="1" customWidth="1"/>
    <col min="56" max="56" width="29" bestFit="1" customWidth="1"/>
    <col min="57" max="57" width="27.54296875" bestFit="1" customWidth="1"/>
    <col min="58" max="58" width="29" bestFit="1" customWidth="1"/>
    <col min="59" max="59" width="27.54296875" bestFit="1" customWidth="1"/>
    <col min="60" max="60" width="29" bestFit="1" customWidth="1"/>
    <col min="61" max="61" width="27.54296875" bestFit="1" customWidth="1"/>
    <col min="62" max="62" width="29" bestFit="1" customWidth="1"/>
    <col min="63" max="63" width="27.54296875" bestFit="1" customWidth="1"/>
    <col min="64" max="64" width="29" bestFit="1" customWidth="1"/>
    <col min="65" max="65" width="27.54296875" bestFit="1" customWidth="1"/>
    <col min="66" max="66" width="29" bestFit="1" customWidth="1"/>
    <col min="67" max="67" width="27.54296875" bestFit="1" customWidth="1"/>
    <col min="68" max="68" width="29" bestFit="1" customWidth="1"/>
    <col min="69" max="69" width="27.54296875" bestFit="1" customWidth="1"/>
    <col min="70" max="70" width="29" bestFit="1" customWidth="1"/>
    <col min="71" max="71" width="27.54296875" bestFit="1" customWidth="1"/>
    <col min="72" max="72" width="29" bestFit="1" customWidth="1"/>
    <col min="73" max="73" width="27.54296875" bestFit="1" customWidth="1"/>
    <col min="74" max="74" width="29" bestFit="1" customWidth="1"/>
    <col min="75" max="75" width="27.54296875" bestFit="1" customWidth="1"/>
    <col min="76" max="76" width="29" bestFit="1" customWidth="1"/>
    <col min="77" max="77" width="27.54296875" bestFit="1" customWidth="1"/>
    <col min="78" max="78" width="29" bestFit="1" customWidth="1"/>
    <col min="79" max="79" width="27.54296875" bestFit="1" customWidth="1"/>
    <col min="80" max="80" width="29" bestFit="1" customWidth="1"/>
    <col min="81" max="81" width="27.54296875" bestFit="1" customWidth="1"/>
    <col min="82" max="82" width="29" bestFit="1" customWidth="1"/>
    <col min="83" max="83" width="27.54296875" bestFit="1" customWidth="1"/>
    <col min="84" max="84" width="29" bestFit="1" customWidth="1"/>
    <col min="85" max="85" width="27.54296875" bestFit="1" customWidth="1"/>
    <col min="86" max="86" width="29" bestFit="1" customWidth="1"/>
    <col min="87" max="87" width="27.54296875" bestFit="1" customWidth="1"/>
    <col min="88" max="88" width="29" bestFit="1" customWidth="1"/>
    <col min="89" max="89" width="27.54296875" bestFit="1" customWidth="1"/>
    <col min="90" max="90" width="29" bestFit="1" customWidth="1"/>
    <col min="91" max="91" width="27.54296875" bestFit="1" customWidth="1"/>
    <col min="92" max="92" width="29" bestFit="1" customWidth="1"/>
    <col min="93" max="93" width="27.54296875" bestFit="1" customWidth="1"/>
    <col min="94" max="94" width="29" bestFit="1" customWidth="1"/>
    <col min="95" max="95" width="27.54296875" bestFit="1" customWidth="1"/>
    <col min="96" max="96" width="29" bestFit="1" customWidth="1"/>
    <col min="97" max="97" width="27.54296875" bestFit="1" customWidth="1"/>
    <col min="98" max="98" width="29" bestFit="1" customWidth="1"/>
    <col min="99" max="99" width="27.54296875" bestFit="1" customWidth="1"/>
    <col min="100" max="100" width="29" bestFit="1" customWidth="1"/>
    <col min="101" max="101" width="27.54296875" bestFit="1" customWidth="1"/>
    <col min="102" max="102" width="29" bestFit="1" customWidth="1"/>
    <col min="103" max="103" width="27.54296875" bestFit="1" customWidth="1"/>
    <col min="104" max="104" width="29" bestFit="1" customWidth="1"/>
    <col min="105" max="105" width="27.54296875" bestFit="1" customWidth="1"/>
    <col min="106" max="106" width="29" bestFit="1" customWidth="1"/>
    <col min="107" max="107" width="27.54296875" bestFit="1" customWidth="1"/>
    <col min="108" max="108" width="29" bestFit="1" customWidth="1"/>
    <col min="109" max="109" width="27.54296875" bestFit="1" customWidth="1"/>
    <col min="110" max="110" width="29" bestFit="1" customWidth="1"/>
    <col min="111" max="111" width="27.54296875" bestFit="1" customWidth="1"/>
    <col min="112" max="112" width="29" bestFit="1" customWidth="1"/>
    <col min="113" max="113" width="27.54296875" bestFit="1" customWidth="1"/>
    <col min="114" max="114" width="29" bestFit="1" customWidth="1"/>
    <col min="115" max="115" width="27.54296875" bestFit="1" customWidth="1"/>
    <col min="116" max="116" width="29" bestFit="1" customWidth="1"/>
    <col min="117" max="117" width="27.54296875" bestFit="1" customWidth="1"/>
    <col min="118" max="118" width="29" bestFit="1" customWidth="1"/>
    <col min="119" max="119" width="27.54296875" bestFit="1" customWidth="1"/>
    <col min="120" max="120" width="29" bestFit="1" customWidth="1"/>
    <col min="121" max="121" width="27.54296875" bestFit="1" customWidth="1"/>
    <col min="122" max="122" width="29" bestFit="1" customWidth="1"/>
    <col min="123" max="123" width="27.54296875" bestFit="1" customWidth="1"/>
    <col min="124" max="124" width="29" bestFit="1" customWidth="1"/>
    <col min="125" max="125" width="27.54296875" bestFit="1" customWidth="1"/>
    <col min="126" max="126" width="29" bestFit="1" customWidth="1"/>
    <col min="127" max="127" width="27.54296875" bestFit="1" customWidth="1"/>
    <col min="128" max="128" width="29" bestFit="1" customWidth="1"/>
    <col min="129" max="129" width="27.54296875" bestFit="1" customWidth="1"/>
    <col min="130" max="130" width="29" bestFit="1" customWidth="1"/>
    <col min="131" max="131" width="27.54296875" bestFit="1" customWidth="1"/>
    <col min="132" max="132" width="29" bestFit="1" customWidth="1"/>
    <col min="133" max="133" width="27.54296875" bestFit="1" customWidth="1"/>
    <col min="134" max="134" width="29" bestFit="1" customWidth="1"/>
    <col min="135" max="135" width="27.54296875" bestFit="1" customWidth="1"/>
    <col min="136" max="136" width="29" bestFit="1" customWidth="1"/>
    <col min="137" max="137" width="27.54296875" bestFit="1" customWidth="1"/>
    <col min="138" max="138" width="29" bestFit="1" customWidth="1"/>
    <col min="139" max="139" width="27.54296875" bestFit="1" customWidth="1"/>
    <col min="140" max="140" width="29" bestFit="1" customWidth="1"/>
    <col min="141" max="141" width="27.54296875" bestFit="1" customWidth="1"/>
    <col min="142" max="142" width="29" bestFit="1" customWidth="1"/>
    <col min="143" max="143" width="27.54296875" bestFit="1" customWidth="1"/>
    <col min="144" max="144" width="29" bestFit="1" customWidth="1"/>
    <col min="145" max="145" width="27.54296875" bestFit="1" customWidth="1"/>
    <col min="146" max="146" width="29" bestFit="1" customWidth="1"/>
    <col min="147" max="147" width="27.54296875" bestFit="1" customWidth="1"/>
    <col min="148" max="148" width="29" bestFit="1" customWidth="1"/>
    <col min="149" max="149" width="27.54296875" bestFit="1" customWidth="1"/>
    <col min="150" max="150" width="29" bestFit="1" customWidth="1"/>
    <col min="151" max="151" width="27.54296875" bestFit="1" customWidth="1"/>
    <col min="152" max="152" width="29" bestFit="1" customWidth="1"/>
    <col min="153" max="153" width="27.54296875" bestFit="1" customWidth="1"/>
    <col min="154" max="154" width="29" bestFit="1" customWidth="1"/>
    <col min="155" max="155" width="27.54296875" bestFit="1" customWidth="1"/>
    <col min="156" max="156" width="29" bestFit="1" customWidth="1"/>
    <col min="157" max="157" width="27.54296875" bestFit="1" customWidth="1"/>
    <col min="158" max="158" width="29" bestFit="1" customWidth="1"/>
    <col min="159" max="159" width="27.54296875" bestFit="1" customWidth="1"/>
    <col min="160" max="160" width="29" bestFit="1" customWidth="1"/>
    <col min="161" max="161" width="27.54296875" bestFit="1" customWidth="1"/>
    <col min="162" max="162" width="29" bestFit="1" customWidth="1"/>
    <col min="163" max="163" width="27.54296875" bestFit="1" customWidth="1"/>
    <col min="164" max="164" width="29" bestFit="1" customWidth="1"/>
    <col min="165" max="165" width="27.54296875" bestFit="1" customWidth="1"/>
    <col min="166" max="166" width="29" bestFit="1" customWidth="1"/>
    <col min="167" max="167" width="27.54296875" bestFit="1" customWidth="1"/>
    <col min="168" max="168" width="29" bestFit="1" customWidth="1"/>
    <col min="169" max="169" width="27.54296875" bestFit="1" customWidth="1"/>
    <col min="170" max="170" width="29" bestFit="1" customWidth="1"/>
    <col min="171" max="171" width="27.54296875" bestFit="1" customWidth="1"/>
    <col min="172" max="172" width="29" bestFit="1" customWidth="1"/>
    <col min="173" max="173" width="27.54296875" bestFit="1" customWidth="1"/>
    <col min="174" max="174" width="29" bestFit="1" customWidth="1"/>
    <col min="175" max="175" width="27.54296875" bestFit="1" customWidth="1"/>
    <col min="176" max="176" width="29" bestFit="1" customWidth="1"/>
    <col min="177" max="177" width="27.54296875" bestFit="1" customWidth="1"/>
    <col min="178" max="178" width="29" bestFit="1" customWidth="1"/>
    <col min="179" max="179" width="27.54296875" bestFit="1" customWidth="1"/>
    <col min="180" max="180" width="29" bestFit="1" customWidth="1"/>
    <col min="181" max="181" width="27.54296875" bestFit="1" customWidth="1"/>
    <col min="182" max="182" width="29" bestFit="1" customWidth="1"/>
    <col min="183" max="183" width="27.54296875" bestFit="1" customWidth="1"/>
    <col min="184" max="184" width="29" bestFit="1" customWidth="1"/>
    <col min="185" max="185" width="27.54296875" bestFit="1" customWidth="1"/>
    <col min="186" max="186" width="29" bestFit="1" customWidth="1"/>
    <col min="187" max="187" width="27.54296875" bestFit="1" customWidth="1"/>
    <col min="188" max="188" width="29" bestFit="1" customWidth="1"/>
    <col min="189" max="189" width="27.54296875" bestFit="1" customWidth="1"/>
    <col min="190" max="190" width="29" bestFit="1" customWidth="1"/>
    <col min="191" max="191" width="27.54296875" bestFit="1" customWidth="1"/>
    <col min="192" max="192" width="29" bestFit="1" customWidth="1"/>
    <col min="193" max="193" width="27.54296875" bestFit="1" customWidth="1"/>
    <col min="194" max="194" width="29" bestFit="1" customWidth="1"/>
    <col min="195" max="195" width="27.54296875" bestFit="1" customWidth="1"/>
    <col min="196" max="196" width="29" bestFit="1" customWidth="1"/>
    <col min="197" max="197" width="27.54296875" bestFit="1" customWidth="1"/>
    <col min="198" max="198" width="29" bestFit="1" customWidth="1"/>
    <col min="199" max="199" width="27.54296875" bestFit="1" customWidth="1"/>
    <col min="200" max="200" width="29" bestFit="1" customWidth="1"/>
    <col min="201" max="201" width="27.54296875" bestFit="1" customWidth="1"/>
    <col min="202" max="202" width="29" bestFit="1" customWidth="1"/>
    <col min="203" max="203" width="27.54296875" bestFit="1" customWidth="1"/>
    <col min="204" max="204" width="29" bestFit="1" customWidth="1"/>
    <col min="205" max="205" width="27.54296875" bestFit="1" customWidth="1"/>
    <col min="206" max="206" width="29" bestFit="1" customWidth="1"/>
    <col min="207" max="207" width="27.54296875" bestFit="1" customWidth="1"/>
    <col min="208" max="208" width="29" bestFit="1" customWidth="1"/>
    <col min="209" max="209" width="27.54296875" bestFit="1" customWidth="1"/>
    <col min="210" max="210" width="29" bestFit="1" customWidth="1"/>
    <col min="211" max="211" width="27.54296875" bestFit="1" customWidth="1"/>
    <col min="212" max="212" width="29" bestFit="1" customWidth="1"/>
    <col min="213" max="213" width="27.54296875" bestFit="1" customWidth="1"/>
    <col min="214" max="214" width="29" bestFit="1" customWidth="1"/>
    <col min="215" max="215" width="27.54296875" bestFit="1" customWidth="1"/>
    <col min="216" max="216" width="29" bestFit="1" customWidth="1"/>
    <col min="217" max="217" width="27.54296875" bestFit="1" customWidth="1"/>
    <col min="218" max="218" width="29" bestFit="1" customWidth="1"/>
    <col min="219" max="219" width="27.54296875" bestFit="1" customWidth="1"/>
    <col min="220" max="220" width="29" bestFit="1" customWidth="1"/>
    <col min="221" max="221" width="27.54296875" bestFit="1" customWidth="1"/>
    <col min="222" max="222" width="29" bestFit="1" customWidth="1"/>
    <col min="223" max="223" width="27.54296875" bestFit="1" customWidth="1"/>
    <col min="224" max="224" width="29" bestFit="1" customWidth="1"/>
    <col min="225" max="225" width="27.54296875" bestFit="1" customWidth="1"/>
    <col min="226" max="226" width="29" bestFit="1" customWidth="1"/>
    <col min="227" max="227" width="27.54296875" bestFit="1" customWidth="1"/>
    <col min="228" max="228" width="29" bestFit="1" customWidth="1"/>
    <col min="229" max="229" width="27.54296875" bestFit="1" customWidth="1"/>
    <col min="230" max="230" width="29" bestFit="1" customWidth="1"/>
    <col min="231" max="231" width="27.54296875" bestFit="1" customWidth="1"/>
    <col min="232" max="232" width="29" bestFit="1" customWidth="1"/>
    <col min="233" max="233" width="27.54296875" bestFit="1" customWidth="1"/>
    <col min="234" max="234" width="29" bestFit="1" customWidth="1"/>
    <col min="235" max="235" width="27.54296875" bestFit="1" customWidth="1"/>
    <col min="236" max="236" width="29" bestFit="1" customWidth="1"/>
    <col min="237" max="237" width="27.54296875" bestFit="1" customWidth="1"/>
    <col min="238" max="238" width="29" bestFit="1" customWidth="1"/>
    <col min="239" max="239" width="27.54296875" bestFit="1" customWidth="1"/>
    <col min="240" max="240" width="29" bestFit="1" customWidth="1"/>
    <col min="241" max="241" width="27.54296875" bestFit="1" customWidth="1"/>
    <col min="242" max="242" width="29" bestFit="1" customWidth="1"/>
    <col min="243" max="243" width="27.54296875" bestFit="1" customWidth="1"/>
    <col min="244" max="244" width="29" bestFit="1" customWidth="1"/>
    <col min="245" max="245" width="27.54296875" bestFit="1" customWidth="1"/>
    <col min="246" max="246" width="29" bestFit="1" customWidth="1"/>
    <col min="247" max="247" width="27.54296875" bestFit="1" customWidth="1"/>
    <col min="248" max="248" width="29" bestFit="1" customWidth="1"/>
    <col min="249" max="249" width="27.54296875" bestFit="1" customWidth="1"/>
    <col min="250" max="250" width="29" bestFit="1" customWidth="1"/>
    <col min="251" max="251" width="27.54296875" bestFit="1" customWidth="1"/>
    <col min="252" max="252" width="29" bestFit="1" customWidth="1"/>
    <col min="253" max="253" width="32.54296875" bestFit="1" customWidth="1"/>
    <col min="254" max="254" width="34" bestFit="1" customWidth="1"/>
  </cols>
  <sheetData>
    <row r="1" spans="2:36">
      <c r="B1" s="180" t="s">
        <v>68</v>
      </c>
      <c r="C1" s="503" t="s" vm="10">
        <v>394</v>
      </c>
    </row>
    <row r="3" spans="2:36">
      <c r="C3" s="180" t="s">
        <v>74</v>
      </c>
    </row>
    <row r="4" spans="2:36">
      <c r="C4" s="503">
        <v>2010</v>
      </c>
      <c r="E4" s="503">
        <v>2011</v>
      </c>
      <c r="G4" s="503">
        <v>2012</v>
      </c>
      <c r="I4" s="503">
        <v>2013</v>
      </c>
      <c r="K4" s="503">
        <v>2014</v>
      </c>
      <c r="M4" s="503">
        <v>2015</v>
      </c>
      <c r="O4" s="503">
        <v>2016</v>
      </c>
      <c r="Q4" s="503">
        <v>2017</v>
      </c>
      <c r="S4" s="503">
        <v>2018</v>
      </c>
      <c r="U4" s="503">
        <v>2019</v>
      </c>
      <c r="W4" s="503">
        <v>2020</v>
      </c>
      <c r="Y4" s="503">
        <v>2021</v>
      </c>
      <c r="AA4" s="503">
        <v>2022</v>
      </c>
      <c r="AC4" s="503">
        <v>2023</v>
      </c>
      <c r="AE4" s="503">
        <v>2024</v>
      </c>
      <c r="AG4" s="503">
        <v>2025</v>
      </c>
      <c r="AI4" s="503" t="s">
        <v>874</v>
      </c>
      <c r="AJ4" s="503" t="s">
        <v>876</v>
      </c>
    </row>
    <row r="5" spans="2:36">
      <c r="B5" s="180" t="s">
        <v>64</v>
      </c>
      <c r="C5" s="503" t="s">
        <v>875</v>
      </c>
      <c r="D5" s="503" t="s">
        <v>877</v>
      </c>
      <c r="E5" s="503" t="s">
        <v>875</v>
      </c>
      <c r="F5" s="503" t="s">
        <v>877</v>
      </c>
      <c r="G5" s="503" t="s">
        <v>875</v>
      </c>
      <c r="H5" s="503" t="s">
        <v>877</v>
      </c>
      <c r="I5" s="503" t="s">
        <v>875</v>
      </c>
      <c r="J5" s="503" t="s">
        <v>877</v>
      </c>
      <c r="K5" s="503" t="s">
        <v>875</v>
      </c>
      <c r="L5" s="503" t="s">
        <v>877</v>
      </c>
      <c r="M5" s="503" t="s">
        <v>875</v>
      </c>
      <c r="N5" s="503" t="s">
        <v>877</v>
      </c>
      <c r="O5" s="503" t="s">
        <v>875</v>
      </c>
      <c r="P5" s="503" t="s">
        <v>877</v>
      </c>
      <c r="Q5" s="503" t="s">
        <v>875</v>
      </c>
      <c r="R5" s="503" t="s">
        <v>877</v>
      </c>
      <c r="S5" s="503" t="s">
        <v>875</v>
      </c>
      <c r="T5" s="503" t="s">
        <v>877</v>
      </c>
      <c r="U5" s="503" t="s">
        <v>875</v>
      </c>
      <c r="V5" s="503" t="s">
        <v>877</v>
      </c>
      <c r="W5" s="503" t="s">
        <v>875</v>
      </c>
      <c r="X5" s="503" t="s">
        <v>877</v>
      </c>
      <c r="Y5" s="503" t="s">
        <v>875</v>
      </c>
      <c r="Z5" s="503" t="s">
        <v>877</v>
      </c>
      <c r="AA5" s="503" t="s">
        <v>875</v>
      </c>
      <c r="AB5" s="503" t="s">
        <v>877</v>
      </c>
      <c r="AC5" s="503" t="s">
        <v>875</v>
      </c>
      <c r="AD5" s="503" t="s">
        <v>877</v>
      </c>
      <c r="AE5" s="503" t="s">
        <v>875</v>
      </c>
      <c r="AF5" s="503" t="s">
        <v>877</v>
      </c>
      <c r="AG5" s="503" t="s">
        <v>875</v>
      </c>
      <c r="AH5" s="503" t="s">
        <v>877</v>
      </c>
    </row>
    <row r="6" spans="2:36">
      <c r="B6" s="89" t="s">
        <v>184</v>
      </c>
      <c r="C6" s="241">
        <v>12.140008861320331</v>
      </c>
      <c r="D6" s="241">
        <v>12.140008861320331</v>
      </c>
      <c r="E6" s="241">
        <v>30.815241470979206</v>
      </c>
      <c r="F6" s="241">
        <v>30.815241470979206</v>
      </c>
      <c r="G6" s="241">
        <v>350.17722640673509</v>
      </c>
      <c r="H6" s="241">
        <v>350.17722640673509</v>
      </c>
      <c r="I6" s="241">
        <v>245.48072662826729</v>
      </c>
      <c r="J6" s="241">
        <v>245.48072662826729</v>
      </c>
      <c r="K6" s="241">
        <v>274.30217102348269</v>
      </c>
      <c r="L6" s="241">
        <v>274.30217102348263</v>
      </c>
      <c r="M6" s="241">
        <v>292.38664894402592</v>
      </c>
      <c r="N6" s="241">
        <v>292.38664894402592</v>
      </c>
      <c r="O6" s="241">
        <v>149.62339388568893</v>
      </c>
      <c r="P6" s="241">
        <v>149.62339388568893</v>
      </c>
      <c r="Q6" s="241">
        <v>152.87254467582346</v>
      </c>
      <c r="R6" s="241">
        <v>152.87254467582346</v>
      </c>
      <c r="S6" s="241">
        <v>155.91493132476757</v>
      </c>
      <c r="T6" s="241">
        <v>155.91493132476757</v>
      </c>
      <c r="U6" s="241">
        <v>467.18357701964311</v>
      </c>
      <c r="V6" s="241">
        <v>467.18357701964283</v>
      </c>
      <c r="W6" s="241">
        <v>494.22537291389767</v>
      </c>
      <c r="X6" s="241">
        <v>494.22537291389762</v>
      </c>
      <c r="Y6" s="241">
        <v>548.7963373209268</v>
      </c>
      <c r="Z6" s="241">
        <v>548.7963373209268</v>
      </c>
      <c r="AA6" s="241">
        <v>618.68261704327244</v>
      </c>
      <c r="AB6" s="241">
        <v>618.68261704327244</v>
      </c>
      <c r="AC6" s="241">
        <v>187.88974325991799</v>
      </c>
      <c r="AD6" s="241">
        <v>187.88974325991799</v>
      </c>
      <c r="AE6" s="241">
        <v>201.77108891016817</v>
      </c>
      <c r="AF6" s="241">
        <v>201.77108891016817</v>
      </c>
      <c r="AG6" s="241">
        <v>166.31221385319751</v>
      </c>
      <c r="AH6" s="241">
        <v>166.31221385319751</v>
      </c>
      <c r="AI6" s="241">
        <v>271.78586522138392</v>
      </c>
      <c r="AJ6" s="241">
        <v>271.78586522138392</v>
      </c>
    </row>
    <row r="7" spans="2:36">
      <c r="B7" s="89" t="s">
        <v>154</v>
      </c>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v>18.447684036393738</v>
      </c>
      <c r="AH7" s="241">
        <v>14.204716708023183</v>
      </c>
      <c r="AI7" s="241">
        <v>18.447684036393738</v>
      </c>
      <c r="AJ7" s="241">
        <v>14.204716708023183</v>
      </c>
    </row>
    <row r="8" spans="2:36">
      <c r="B8" s="89" t="s">
        <v>28</v>
      </c>
      <c r="C8" s="241">
        <v>112.24590163934434</v>
      </c>
      <c r="D8" s="241">
        <v>112.24590163934434</v>
      </c>
      <c r="E8" s="241">
        <v>198.41803278688536</v>
      </c>
      <c r="F8" s="241">
        <v>198.41803278688536</v>
      </c>
      <c r="G8" s="241">
        <v>310.59836065573768</v>
      </c>
      <c r="H8" s="241">
        <v>310.59836065573768</v>
      </c>
      <c r="I8" s="241">
        <v>335.83606557377033</v>
      </c>
      <c r="J8" s="241">
        <v>335.83606557377033</v>
      </c>
      <c r="K8" s="241">
        <v>325.31147540983631</v>
      </c>
      <c r="L8" s="241">
        <v>325.31147540983631</v>
      </c>
      <c r="M8" s="241">
        <v>347.13934426229565</v>
      </c>
      <c r="N8" s="241">
        <v>347.13934426229565</v>
      </c>
      <c r="O8" s="241">
        <v>316.44262295082001</v>
      </c>
      <c r="P8" s="241">
        <v>316.44262295082001</v>
      </c>
      <c r="Q8" s="241">
        <v>334.21311475409834</v>
      </c>
      <c r="R8" s="241">
        <v>334.21311475409834</v>
      </c>
      <c r="S8" s="241">
        <v>293.5327868852462</v>
      </c>
      <c r="T8" s="241">
        <v>293.5327868852462</v>
      </c>
      <c r="U8" s="241">
        <v>276.80327868852413</v>
      </c>
      <c r="V8" s="241">
        <v>276.80327868852413</v>
      </c>
      <c r="W8" s="241">
        <v>297.69672131147564</v>
      </c>
      <c r="X8" s="241">
        <v>297.69672131147564</v>
      </c>
      <c r="Y8" s="241">
        <v>314.56557377049211</v>
      </c>
      <c r="Z8" s="241">
        <v>314.56557377049211</v>
      </c>
      <c r="AA8" s="241">
        <v>501.46153846153692</v>
      </c>
      <c r="AB8" s="241">
        <v>501.46153846153692</v>
      </c>
      <c r="AC8" s="241">
        <v>351.41803278688496</v>
      </c>
      <c r="AD8" s="241">
        <v>351.41803278688496</v>
      </c>
      <c r="AE8" s="241">
        <v>344.39227435462556</v>
      </c>
      <c r="AF8" s="241">
        <v>344.39227435462556</v>
      </c>
      <c r="AG8" s="241">
        <v>379.47124977965751</v>
      </c>
      <c r="AH8" s="241">
        <v>379.47124977965751</v>
      </c>
      <c r="AI8" s="241">
        <v>311.96218112669737</v>
      </c>
      <c r="AJ8" s="241">
        <v>311.96218112669737</v>
      </c>
    </row>
    <row r="9" spans="2:36">
      <c r="B9" s="89" t="s">
        <v>36</v>
      </c>
      <c r="C9" s="241"/>
      <c r="D9" s="241"/>
      <c r="E9" s="241"/>
      <c r="F9" s="241"/>
      <c r="G9" s="241"/>
      <c r="H9" s="241"/>
      <c r="I9" s="241"/>
      <c r="J9" s="241"/>
      <c r="K9" s="241"/>
      <c r="L9" s="241"/>
      <c r="M9" s="241"/>
      <c r="N9" s="241"/>
      <c r="O9" s="241"/>
      <c r="P9" s="241"/>
      <c r="Q9" s="241">
        <v>0</v>
      </c>
      <c r="R9" s="241">
        <v>0</v>
      </c>
      <c r="S9" s="241">
        <v>0</v>
      </c>
      <c r="T9" s="241">
        <v>0</v>
      </c>
      <c r="U9" s="241">
        <v>0</v>
      </c>
      <c r="V9" s="241">
        <v>0</v>
      </c>
      <c r="W9" s="241">
        <v>0</v>
      </c>
      <c r="X9" s="241">
        <v>0</v>
      </c>
      <c r="Y9" s="241">
        <v>0</v>
      </c>
      <c r="Z9" s="241">
        <v>0</v>
      </c>
      <c r="AA9" s="241">
        <v>0</v>
      </c>
      <c r="AB9" s="241">
        <v>0</v>
      </c>
      <c r="AC9" s="241">
        <v>0</v>
      </c>
      <c r="AD9" s="241">
        <v>0</v>
      </c>
      <c r="AE9" s="241">
        <v>0</v>
      </c>
      <c r="AF9" s="241">
        <v>0</v>
      </c>
      <c r="AG9" s="241">
        <v>0</v>
      </c>
      <c r="AH9" s="241">
        <v>0</v>
      </c>
      <c r="AI9" s="241">
        <v>0</v>
      </c>
      <c r="AJ9" s="241">
        <v>0</v>
      </c>
    </row>
    <row r="10" spans="2:36">
      <c r="B10" s="89" t="s">
        <v>174</v>
      </c>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v>0</v>
      </c>
      <c r="AB10" s="241">
        <v>0</v>
      </c>
      <c r="AC10" s="241">
        <v>0</v>
      </c>
      <c r="AD10" s="241">
        <v>0</v>
      </c>
      <c r="AE10" s="241">
        <v>0</v>
      </c>
      <c r="AF10" s="241">
        <v>0</v>
      </c>
      <c r="AG10" s="241">
        <v>0</v>
      </c>
      <c r="AH10" s="241">
        <v>0</v>
      </c>
      <c r="AI10" s="241">
        <v>0</v>
      </c>
      <c r="AJ10" s="241">
        <v>0</v>
      </c>
    </row>
    <row r="11" spans="2:36">
      <c r="B11" s="89" t="s">
        <v>157</v>
      </c>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v>0</v>
      </c>
      <c r="AB11" s="241">
        <v>0</v>
      </c>
      <c r="AC11" s="241">
        <v>0</v>
      </c>
      <c r="AD11" s="241">
        <v>0</v>
      </c>
      <c r="AE11" s="241">
        <v>0</v>
      </c>
      <c r="AF11" s="241">
        <v>0</v>
      </c>
      <c r="AG11" s="241">
        <v>0</v>
      </c>
      <c r="AH11" s="241">
        <v>0</v>
      </c>
      <c r="AI11" s="241">
        <v>0</v>
      </c>
      <c r="AJ11" s="241">
        <v>0</v>
      </c>
    </row>
    <row r="12" spans="2:36">
      <c r="B12" s="89" t="s">
        <v>89</v>
      </c>
      <c r="C12" s="241">
        <v>62.192955250332354</v>
      </c>
      <c r="D12" s="241">
        <v>62.192955250332354</v>
      </c>
      <c r="E12" s="241">
        <v>114.61663712893227</v>
      </c>
      <c r="F12" s="241">
        <v>114.61663712893227</v>
      </c>
      <c r="G12" s="241">
        <v>330.38779353123641</v>
      </c>
      <c r="H12" s="241">
        <v>330.38779353123641</v>
      </c>
      <c r="I12" s="241">
        <v>290.65839610101875</v>
      </c>
      <c r="J12" s="241">
        <v>290.65839610101875</v>
      </c>
      <c r="K12" s="241">
        <v>299.80682321665955</v>
      </c>
      <c r="L12" s="241">
        <v>299.8068232166595</v>
      </c>
      <c r="M12" s="241">
        <v>319.76299660316084</v>
      </c>
      <c r="N12" s="241">
        <v>319.76299660316084</v>
      </c>
      <c r="O12" s="241">
        <v>233.0330084182545</v>
      </c>
      <c r="P12" s="241">
        <v>233.0330084182545</v>
      </c>
      <c r="Q12" s="241">
        <v>162.36188647664059</v>
      </c>
      <c r="R12" s="241">
        <v>162.36188647664059</v>
      </c>
      <c r="S12" s="241">
        <v>149.81590607000442</v>
      </c>
      <c r="T12" s="241">
        <v>149.81590607000442</v>
      </c>
      <c r="U12" s="241">
        <v>247.99561856938905</v>
      </c>
      <c r="V12" s="241">
        <v>247.99561856938897</v>
      </c>
      <c r="W12" s="241">
        <v>263.97403140845796</v>
      </c>
      <c r="X12" s="241">
        <v>263.97403140845796</v>
      </c>
      <c r="Y12" s="241">
        <v>287.78730369714009</v>
      </c>
      <c r="Z12" s="241">
        <v>287.78730369714009</v>
      </c>
      <c r="AA12" s="241">
        <v>209.17492103502434</v>
      </c>
      <c r="AB12" s="241">
        <v>209.17492103502434</v>
      </c>
      <c r="AC12" s="241">
        <v>107.86155520936059</v>
      </c>
      <c r="AD12" s="241">
        <v>107.86155520936059</v>
      </c>
      <c r="AE12" s="241">
        <v>109.23267265295874</v>
      </c>
      <c r="AF12" s="241">
        <v>109.23267265295874</v>
      </c>
      <c r="AG12" s="241">
        <v>87.960869087911604</v>
      </c>
      <c r="AH12" s="241">
        <v>86.969421948367724</v>
      </c>
      <c r="AI12" s="241">
        <v>184.77688375791556</v>
      </c>
      <c r="AJ12" s="241">
        <v>184.64820416830574</v>
      </c>
    </row>
    <row r="19" spans="2:23" ht="21">
      <c r="B19" s="154" t="s">
        <v>395</v>
      </c>
    </row>
    <row r="20" spans="2:23">
      <c r="B20" s="150" t="s">
        <v>396</v>
      </c>
      <c r="C20">
        <v>2010</v>
      </c>
      <c r="D20">
        <v>2011</v>
      </c>
      <c r="E20">
        <v>2012</v>
      </c>
      <c r="F20">
        <v>2013</v>
      </c>
      <c r="G20">
        <v>2014</v>
      </c>
      <c r="H20">
        <v>2015</v>
      </c>
      <c r="I20">
        <v>2016</v>
      </c>
      <c r="J20">
        <v>2017</v>
      </c>
      <c r="K20">
        <v>2018</v>
      </c>
      <c r="L20">
        <v>2019</v>
      </c>
      <c r="M20">
        <v>2020</v>
      </c>
      <c r="N20">
        <v>2021</v>
      </c>
      <c r="O20">
        <v>2022</v>
      </c>
      <c r="P20">
        <v>2023</v>
      </c>
      <c r="Q20">
        <v>2024</v>
      </c>
      <c r="R20">
        <v>2025</v>
      </c>
      <c r="S20" s="424">
        <v>2026</v>
      </c>
      <c r="T20" s="424">
        <v>2027</v>
      </c>
      <c r="U20" s="424">
        <v>2028</v>
      </c>
      <c r="V20" s="424">
        <v>2029</v>
      </c>
      <c r="W20" s="424">
        <v>2030</v>
      </c>
    </row>
    <row r="21" spans="2:23">
      <c r="B21" t="s">
        <v>329</v>
      </c>
      <c r="C21" s="461">
        <f>IFERROR(GETPIVOTDATA("[Measures].[Somme de Conso_kWh_DEET]",TCD_Conso!$B$3,"[Tab_concat].[Type]","[Tab_concat].[Type].&amp;[Consommation]","[Tab_concat].[Detail usage]","[Tab_concat].[Detail usage].&amp;["&amp;$B34&amp;"]","[Tab_concat].[Annee]","[Tab_concat].[Annee].&amp;["&amp;C$33&amp;"]"),0)</f>
        <v>0</v>
      </c>
      <c r="D21" s="461">
        <f>IFERROR(GETPIVOTDATA("[Measures].[Somme de Conso_kWh_DEET]",TCD_Conso!$B$3,"[Tab_concat].[Type]","[Tab_concat].[Type].&amp;[Consommation]","[Tab_concat].[Detail usage]","[Tab_concat].[Detail usage].&amp;["&amp;$B34&amp;"]","[Tab_concat].[Annee]","[Tab_concat].[Annee].&amp;["&amp;D$33&amp;"]"),0)</f>
        <v>0</v>
      </c>
      <c r="E21" s="461">
        <f>IFERROR(GETPIVOTDATA("[Measures].[Somme de Conso_kWh_DEET]",TCD_Conso!$B$3,"[Tab_concat].[Type]","[Tab_concat].[Type].&amp;[Consommation]","[Tab_concat].[Detail usage]","[Tab_concat].[Detail usage].&amp;["&amp;$B34&amp;"]","[Tab_concat].[Annee]","[Tab_concat].[Annee].&amp;["&amp;E$33&amp;"]"),0)</f>
        <v>0</v>
      </c>
      <c r="F21" s="461">
        <f>IFERROR(GETPIVOTDATA("[Measures].[Somme de Conso_kWh_DEET]",TCD_Conso!$B$3,"[Tab_concat].[Type]","[Tab_concat].[Type].&amp;[Consommation]","[Tab_concat].[Detail usage]","[Tab_concat].[Detail usage].&amp;["&amp;$B34&amp;"]","[Tab_concat].[Annee]","[Tab_concat].[Annee].&amp;["&amp;F$33&amp;"]"),0)</f>
        <v>0</v>
      </c>
      <c r="G21" s="461">
        <f>IFERROR(GETPIVOTDATA("[Measures].[Somme de Conso_kWh_DEET]",TCD_Conso!$B$3,"[Tab_concat].[Type]","[Tab_concat].[Type].&amp;[Consommation]","[Tab_concat].[Detail usage]","[Tab_concat].[Detail usage].&amp;["&amp;$B34&amp;"]","[Tab_concat].[Annee]","[Tab_concat].[Annee].&amp;["&amp;G$33&amp;"]"),0)</f>
        <v>0</v>
      </c>
      <c r="H21" s="461">
        <f>IFERROR(GETPIVOTDATA("[Measures].[Somme de Conso_kWh_DEET]",TCD_Conso!$B$3,"[Tab_concat].[Type]","[Tab_concat].[Type].&amp;[Consommation]","[Tab_concat].[Detail usage]","[Tab_concat].[Detail usage].&amp;["&amp;$B34&amp;"]","[Tab_concat].[Annee]","[Tab_concat].[Annee].&amp;["&amp;H$33&amp;"]"),0)</f>
        <v>0</v>
      </c>
      <c r="I21" s="461">
        <f>IFERROR(GETPIVOTDATA("[Measures].[Somme de Conso_kWh_DEET]",TCD_Conso!$B$3,"[Tab_concat].[Type]","[Tab_concat].[Type].&amp;[Consommation]","[Tab_concat].[Detail usage]","[Tab_concat].[Detail usage].&amp;["&amp;$B34&amp;"]","[Tab_concat].[Annee]","[Tab_concat].[Annee].&amp;["&amp;I$33&amp;"]"),0)</f>
        <v>0</v>
      </c>
      <c r="J21" s="461">
        <f>IFERROR(GETPIVOTDATA("[Measures].[Somme de Conso_kWh_DEET]",TCD_Conso!$B$3,"[Tab_concat].[Type]","[Tab_concat].[Type].&amp;[Consommation]","[Tab_concat].[Detail usage]","[Tab_concat].[Detail usage].&amp;["&amp;$B34&amp;"]","[Tab_concat].[Annee]","[Tab_concat].[Annee].&amp;["&amp;J$33&amp;"]"),0)</f>
        <v>0</v>
      </c>
      <c r="K21" s="461">
        <f>IFERROR(GETPIVOTDATA("[Measures].[Somme de Conso_kWh_DEET]",TCD_Conso!$B$3,"[Tab_concat].[Type]","[Tab_concat].[Type].&amp;[Consommation]","[Tab_concat].[Detail usage]","[Tab_concat].[Detail usage].&amp;["&amp;$B34&amp;"]","[Tab_concat].[Annee]","[Tab_concat].[Annee].&amp;["&amp;K$33&amp;"]"),0)</f>
        <v>0</v>
      </c>
      <c r="L21" s="461">
        <f>IFERROR(GETPIVOTDATA("[Measures].[Somme de Conso_kWh_DEET]",TCD_Conso!$B$3,"[Tab_concat].[Type]","[Tab_concat].[Type].&amp;[Consommation]","[Tab_concat].[Detail usage]","[Tab_concat].[Detail usage].&amp;["&amp;$B34&amp;"]","[Tab_concat].[Annee]","[Tab_concat].[Annee].&amp;["&amp;L$33&amp;"]"),0)</f>
        <v>0</v>
      </c>
      <c r="M21" s="461">
        <f>IFERROR(GETPIVOTDATA("[Measures].[Somme de Conso_kWh_DEET]",TCD_Conso!$B$3,"[Tab_concat].[Type]","[Tab_concat].[Type].&amp;[Consommation]","[Tab_concat].[Detail usage]","[Tab_concat].[Detail usage].&amp;["&amp;$B34&amp;"]","[Tab_concat].[Annee]","[Tab_concat].[Annee].&amp;["&amp;M$33&amp;"]"),0)</f>
        <v>0</v>
      </c>
      <c r="N21" s="461">
        <f>IFERROR(GETPIVOTDATA("[Measures].[Somme de Conso_kWh_DEET]",TCD_Conso!$B$3,"[Tab_concat].[Type]","[Tab_concat].[Type].&amp;[Consommation]","[Tab_concat].[Detail usage]","[Tab_concat].[Detail usage].&amp;["&amp;$B34&amp;"]","[Tab_concat].[Annee]","[Tab_concat].[Annee].&amp;["&amp;N$33&amp;"]"),0)</f>
        <v>0</v>
      </c>
      <c r="O21" s="461">
        <f>IFERROR(GETPIVOTDATA("[Measures].[Somme de Conso_kWh_DEET]",TCD_Conso!$B$3,"[Tab_concat].[Type]","[Tab_concat].[Type].&amp;[Consommation]","[Tab_concat].[Detail usage]","[Tab_concat].[Detail usage].&amp;["&amp;$B34&amp;"]","[Tab_concat].[Annee]","[Tab_concat].[Annee].&amp;["&amp;O$33&amp;"]"),0)</f>
        <v>0</v>
      </c>
      <c r="P21" s="461">
        <f>IFERROR(GETPIVOTDATA("[Measures].[Somme de Conso_kWh_DEET]",TCD_Conso!$B$3,"[Tab_concat].[Type]","[Tab_concat].[Type].&amp;[Consommation]","[Tab_concat].[Detail usage]","[Tab_concat].[Detail usage].&amp;["&amp;$B34&amp;"]","[Tab_concat].[Annee]","[Tab_concat].[Annee].&amp;["&amp;P$33&amp;"]"),0)</f>
        <v>0</v>
      </c>
      <c r="Q21" s="461">
        <f>IFERROR(GETPIVOTDATA("[Measures].[Somme de Conso_kWh_DEET]",TCD_Conso!$B$3,"[Tab_concat].[Type]","[Tab_concat].[Type].&amp;[Consommation]","[Tab_concat].[Detail usage]","[Tab_concat].[Detail usage].&amp;["&amp;$B34&amp;"]","[Tab_concat].[Annee]","[Tab_concat].[Annee].&amp;["&amp;Q$33&amp;"]"),0)</f>
        <v>0</v>
      </c>
      <c r="R21" s="461">
        <f>IFERROR(GETPIVOTDATA("[Measures].[Somme de Conso_kWh_DEET]",TCD_Conso!$B$3,"[Tab_concat].[Type]","[Tab_concat].[Type].&amp;[Consommation]","[Tab_concat].[Detail usage]","[Tab_concat].[Detail usage].&amp;["&amp;$B34&amp;"]","[Tab_concat].[Annee]","[Tab_concat].[Annee].&amp;["&amp;R$33&amp;"]"),0)</f>
        <v>0</v>
      </c>
      <c r="S21" s="461">
        <f>IFERROR(GETPIVOTDATA("[Measures].[Somme de Conso_kWh_DEET]",TCD_Conso!$B$3,"[Tab_concat].[Type]","[Tab_concat].[Type].&amp;[Consommation]","[Tab_concat].[Detail usage]","[Tab_concat].[Detail usage].&amp;["&amp;$B34&amp;"]","[Tab_concat].[Annee]","[Tab_concat].[Annee].&amp;["&amp;S$33&amp;"]"),0)</f>
        <v>0</v>
      </c>
      <c r="T21" s="461">
        <f>IFERROR(GETPIVOTDATA("[Measures].[Somme de Conso_kWh_DEET]",TCD_Conso!$B$3,"[Tab_concat].[Type]","[Tab_concat].[Type].&amp;[Consommation]","[Tab_concat].[Detail usage]","[Tab_concat].[Detail usage].&amp;["&amp;$B34&amp;"]","[Tab_concat].[Annee]","[Tab_concat].[Annee].&amp;["&amp;T$33&amp;"]"),0)</f>
        <v>0</v>
      </c>
      <c r="U21" s="461">
        <f>IFERROR(GETPIVOTDATA("[Measures].[Somme de Conso_kWh_DEET]",TCD_Conso!$B$3,"[Tab_concat].[Type]","[Tab_concat].[Type].&amp;[Consommation]","[Tab_concat].[Detail usage]","[Tab_concat].[Detail usage].&amp;["&amp;$B34&amp;"]","[Tab_concat].[Annee]","[Tab_concat].[Annee].&amp;["&amp;U$33&amp;"]"),0)</f>
        <v>0</v>
      </c>
      <c r="V21" s="461">
        <f>IFERROR(GETPIVOTDATA("[Measures].[Somme de Conso_kWh_DEET]",TCD_Conso!$B$3,"[Tab_concat].[Type]","[Tab_concat].[Type].&amp;[Consommation]","[Tab_concat].[Detail usage]","[Tab_concat].[Detail usage].&amp;["&amp;$B34&amp;"]","[Tab_concat].[Annee]","[Tab_concat].[Annee].&amp;["&amp;V$33&amp;"]"),0)</f>
        <v>0</v>
      </c>
      <c r="W21" s="461">
        <f>IFERROR(GETPIVOTDATA("[Measures].[Somme de Conso_kWh_DEET]",TCD_Conso!$B$3,"[Tab_concat].[Type]","[Tab_concat].[Type].&amp;[Consommation]","[Tab_concat].[Detail usage]","[Tab_concat].[Detail usage].&amp;["&amp;$B34&amp;"]","[Tab_concat].[Annee]","[Tab_concat].[Annee].&amp;["&amp;W$33&amp;"]"),0)</f>
        <v>0</v>
      </c>
    </row>
    <row r="22" spans="2:23">
      <c r="B22" t="s">
        <v>184</v>
      </c>
      <c r="C22" s="461">
        <f>IFERROR(GETPIVOTDATA("[Measures].[Somme de Conso_kWh_DEET]",TCD_Conso!$B$3,"[Tab_concat].[Type]","[Tab_concat].[Type].&amp;[Consommation]","[Tab_concat].[Detail usage]","[Tab_concat].[Detail usage].&amp;["&amp;$B35&amp;"]","[Tab_concat].[Annee]","[Tab_concat].[Annee].&amp;["&amp;C$33&amp;"]"),0)</f>
        <v>164033.33333333308</v>
      </c>
      <c r="D22" s="461">
        <f>IFERROR(GETPIVOTDATA("[Measures].[Somme de Conso_kWh_DEET]",TCD_Conso!$B$3,"[Tab_concat].[Type]","[Tab_concat].[Type].&amp;[Consommation]","[Tab_concat].[Detail usage]","[Tab_concat].[Detail usage].&amp;["&amp;$B35&amp;"]","[Tab_concat].[Annee]","[Tab_concat].[Annee].&amp;["&amp;D$33&amp;"]"),0)</f>
        <v>211810.81081081103</v>
      </c>
      <c r="E22" s="461">
        <f>IFERROR(GETPIVOTDATA("[Measures].[Somme de Conso_kWh_DEET]",TCD_Conso!$B$3,"[Tab_concat].[Type]","[Tab_concat].[Type].&amp;[Consommation]","[Tab_concat].[Detail usage]","[Tab_concat].[Detail usage].&amp;["&amp;$B35&amp;"]","[Tab_concat].[Annee]","[Tab_concat].[Annee].&amp;["&amp;E$33&amp;"]"),0)</f>
        <v>280988.28828828776</v>
      </c>
      <c r="F22" s="461">
        <f>IFERROR(GETPIVOTDATA("[Measures].[Somme de Conso_kWh_DEET]",TCD_Conso!$B$3,"[Tab_concat].[Type]","[Tab_concat].[Type].&amp;[Consommation]","[Tab_concat].[Detail usage]","[Tab_concat].[Detail usage].&amp;["&amp;$B35&amp;"]","[Tab_concat].[Annee]","[Tab_concat].[Annee].&amp;["&amp;F$33&amp;"]"),0)</f>
        <v>342108.10810810782</v>
      </c>
      <c r="G22" s="461">
        <f>IFERROR(GETPIVOTDATA("[Measures].[Somme de Conso_kWh_DEET]",TCD_Conso!$B$3,"[Tab_concat].[Type]","[Tab_concat].[Type].&amp;[Consommation]","[Tab_concat].[Detail usage]","[Tab_concat].[Detail usage].&amp;["&amp;$B35&amp;"]","[Tab_concat].[Annee]","[Tab_concat].[Annee].&amp;["&amp;G$33&amp;"]"),0)</f>
        <v>325871.17117117153</v>
      </c>
      <c r="H22" s="461">
        <f>IFERROR(GETPIVOTDATA("[Measures].[Somme de Conso_kWh_DEET]",TCD_Conso!$B$3,"[Tab_concat].[Type]","[Tab_concat].[Type].&amp;[Consommation]","[Tab_concat].[Detail usage]","[Tab_concat].[Detail usage].&amp;["&amp;$B35&amp;"]","[Tab_concat].[Annee]","[Tab_concat].[Annee].&amp;["&amp;H$33&amp;"]"),0)</f>
        <v>321185.58558558655</v>
      </c>
      <c r="I22" s="461">
        <f>IFERROR(GETPIVOTDATA("[Measures].[Somme de Conso_kWh_DEET]",TCD_Conso!$B$3,"[Tab_concat].[Type]","[Tab_concat].[Type].&amp;[Consommation]","[Tab_concat].[Detail usage]","[Tab_concat].[Detail usage].&amp;["&amp;$B35&amp;"]","[Tab_concat].[Annee]","[Tab_concat].[Annee].&amp;["&amp;I$33&amp;"]"),0)</f>
        <v>336323.42342342378</v>
      </c>
      <c r="J22" s="461">
        <f>IFERROR(GETPIVOTDATA("[Measures].[Somme de Conso_kWh_DEET]",TCD_Conso!$B$3,"[Tab_concat].[Type]","[Tab_concat].[Type].&amp;[Consommation]","[Tab_concat].[Detail usage]","[Tab_concat].[Detail usage].&amp;["&amp;$B35&amp;"]","[Tab_concat].[Annee]","[Tab_concat].[Annee].&amp;["&amp;J$33&amp;"]"),0)</f>
        <v>379922.52252252348</v>
      </c>
      <c r="K22" s="461">
        <f>IFERROR(GETPIVOTDATA("[Measures].[Somme de Conso_kWh_DEET]",TCD_Conso!$B$3,"[Tab_concat].[Type]","[Tab_concat].[Type].&amp;[Consommation]","[Tab_concat].[Detail usage]","[Tab_concat].[Detail usage].&amp;["&amp;$B35&amp;"]","[Tab_concat].[Annee]","[Tab_concat].[Annee].&amp;["&amp;K$33&amp;"]"),0)</f>
        <v>382162.16216216149</v>
      </c>
      <c r="L22" s="461">
        <f>IFERROR(GETPIVOTDATA("[Measures].[Somme de Conso_kWh_DEET]",TCD_Conso!$B$3,"[Tab_concat].[Type]","[Tab_concat].[Type].&amp;[Consommation]","[Tab_concat].[Detail usage]","[Tab_concat].[Detail usage].&amp;["&amp;$B35&amp;"]","[Tab_concat].[Annee]","[Tab_concat].[Annee].&amp;["&amp;L$33&amp;"]"),0)</f>
        <v>346641.44144144229</v>
      </c>
      <c r="M22" s="461">
        <f>IFERROR(GETPIVOTDATA("[Measures].[Somme de Conso_kWh_DEET]",TCD_Conso!$B$3,"[Tab_concat].[Type]","[Tab_concat].[Type].&amp;[Consommation]","[Tab_concat].[Detail usage]","[Tab_concat].[Detail usage].&amp;["&amp;$B35&amp;"]","[Tab_concat].[Annee]","[Tab_concat].[Annee].&amp;["&amp;M$33&amp;"]"),0)</f>
        <v>342772.97297297238</v>
      </c>
      <c r="N22" s="461">
        <f>IFERROR(GETPIVOTDATA("[Measures].[Somme de Conso_kWh_DEET]",TCD_Conso!$B$3,"[Tab_concat].[Type]","[Tab_concat].[Type].&amp;[Consommation]","[Tab_concat].[Detail usage]","[Tab_concat].[Detail usage].&amp;["&amp;$B35&amp;"]","[Tab_concat].[Annee]","[Tab_concat].[Annee].&amp;["&amp;N$33&amp;"]"),0)</f>
        <v>414052.25225225126</v>
      </c>
      <c r="O22" s="461">
        <f>IFERROR(GETPIVOTDATA("[Measures].[Somme de Conso_kWh_DEET]",TCD_Conso!$B$3,"[Tab_concat].[Type]","[Tab_concat].[Type].&amp;[Consommation]","[Tab_concat].[Detail usage]","[Tab_concat].[Detail usage].&amp;["&amp;$B35&amp;"]","[Tab_concat].[Annee]","[Tab_concat].[Annee].&amp;["&amp;O$33&amp;"]"),0)</f>
        <v>354637.25661145052</v>
      </c>
      <c r="P22" s="461">
        <f>IFERROR(GETPIVOTDATA("[Measures].[Somme de Conso_kWh_DEET]",TCD_Conso!$B$3,"[Tab_concat].[Type]","[Tab_concat].[Type].&amp;[Consommation]","[Tab_concat].[Detail usage]","[Tab_concat].[Detail usage].&amp;["&amp;$B35&amp;"]","[Tab_concat].[Annee]","[Tab_concat].[Annee].&amp;["&amp;P$33&amp;"]"),0)</f>
        <v>253047.19558267933</v>
      </c>
      <c r="Q22" s="461">
        <f>IFERROR(GETPIVOTDATA("[Measures].[Somme de Conso_kWh_DEET]",TCD_Conso!$B$3,"[Tab_concat].[Type]","[Tab_concat].[Type].&amp;[Consommation]","[Tab_concat].[Detail usage]","[Tab_concat].[Detail usage].&amp;["&amp;$B35&amp;"]","[Tab_concat].[Annee]","[Tab_concat].[Annee].&amp;["&amp;Q$33&amp;"]"),0)</f>
        <v>261365.09735541983</v>
      </c>
      <c r="R22" s="461">
        <f>IFERROR(GETPIVOTDATA("[Measures].[Somme de Conso_kWh_DEET]",TCD_Conso!$B$3,"[Tab_concat].[Type]","[Tab_concat].[Type].&amp;[Consommation]","[Tab_concat].[Detail usage]","[Tab_concat].[Detail usage].&amp;["&amp;$B35&amp;"]","[Tab_concat].[Annee]","[Tab_concat].[Annee].&amp;["&amp;R$33&amp;"]"),0)</f>
        <v>264427.92792792822</v>
      </c>
      <c r="S22" s="461">
        <f>IFERROR(GETPIVOTDATA("[Measures].[Somme de Conso_kWh_DEET]",TCD_Conso!$B$3,"[Tab_concat].[Type]","[Tab_concat].[Type].&amp;[Consommation]","[Tab_concat].[Detail usage]","[Tab_concat].[Detail usage].&amp;["&amp;$B35&amp;"]","[Tab_concat].[Annee]","[Tab_concat].[Annee].&amp;["&amp;S$33&amp;"]"),0)</f>
        <v>0</v>
      </c>
      <c r="T22" s="461">
        <f>IFERROR(GETPIVOTDATA("[Measures].[Somme de Conso_kWh_DEET]",TCD_Conso!$B$3,"[Tab_concat].[Type]","[Tab_concat].[Type].&amp;[Consommation]","[Tab_concat].[Detail usage]","[Tab_concat].[Detail usage].&amp;["&amp;$B35&amp;"]","[Tab_concat].[Annee]","[Tab_concat].[Annee].&amp;["&amp;T$33&amp;"]"),0)</f>
        <v>0</v>
      </c>
      <c r="U22" s="461">
        <f>IFERROR(GETPIVOTDATA("[Measures].[Somme de Conso_kWh_DEET]",TCD_Conso!$B$3,"[Tab_concat].[Type]","[Tab_concat].[Type].&amp;[Consommation]","[Tab_concat].[Detail usage]","[Tab_concat].[Detail usage].&amp;["&amp;$B35&amp;"]","[Tab_concat].[Annee]","[Tab_concat].[Annee].&amp;["&amp;U$33&amp;"]"),0)</f>
        <v>0</v>
      </c>
      <c r="V22" s="461">
        <f>IFERROR(GETPIVOTDATA("[Measures].[Somme de Conso_kWh_DEET]",TCD_Conso!$B$3,"[Tab_concat].[Type]","[Tab_concat].[Type].&amp;[Consommation]","[Tab_concat].[Detail usage]","[Tab_concat].[Detail usage].&amp;["&amp;$B35&amp;"]","[Tab_concat].[Annee]","[Tab_concat].[Annee].&amp;["&amp;V$33&amp;"]"),0)</f>
        <v>0</v>
      </c>
      <c r="W22" s="461">
        <f>IFERROR(GETPIVOTDATA("[Measures].[Somme de Conso_kWh_DEET]",TCD_Conso!$B$3,"[Tab_concat].[Type]","[Tab_concat].[Type].&amp;[Consommation]","[Tab_concat].[Detail usage]","[Tab_concat].[Detail usage].&amp;["&amp;$B35&amp;"]","[Tab_concat].[Annee]","[Tab_concat].[Annee].&amp;["&amp;W$33&amp;"]"),0)</f>
        <v>0</v>
      </c>
    </row>
    <row r="23" spans="2:23">
      <c r="B23" t="s">
        <v>397</v>
      </c>
      <c r="C23">
        <f>SUM(C21:C22)</f>
        <v>164033.33333333308</v>
      </c>
      <c r="D23">
        <f t="shared" ref="D23:I23" si="0">SUM(D21:D22)</f>
        <v>211810.81081081103</v>
      </c>
      <c r="E23">
        <f t="shared" si="0"/>
        <v>280988.28828828776</v>
      </c>
      <c r="F23">
        <f t="shared" si="0"/>
        <v>342108.10810810782</v>
      </c>
      <c r="G23">
        <f t="shared" si="0"/>
        <v>325871.17117117153</v>
      </c>
      <c r="H23">
        <f t="shared" si="0"/>
        <v>321185.58558558655</v>
      </c>
      <c r="I23">
        <f t="shared" si="0"/>
        <v>336323.42342342378</v>
      </c>
      <c r="J23">
        <f t="shared" ref="J23:P23" si="1">SUM(J21:J22)</f>
        <v>379922.52252252348</v>
      </c>
      <c r="K23">
        <f t="shared" si="1"/>
        <v>382162.16216216149</v>
      </c>
      <c r="L23">
        <f t="shared" si="1"/>
        <v>346641.44144144229</v>
      </c>
      <c r="M23">
        <f t="shared" si="1"/>
        <v>342772.97297297238</v>
      </c>
      <c r="N23">
        <f t="shared" si="1"/>
        <v>414052.25225225126</v>
      </c>
      <c r="O23">
        <f t="shared" si="1"/>
        <v>354637.25661145052</v>
      </c>
      <c r="P23">
        <f t="shared" si="1"/>
        <v>253047.19558267933</v>
      </c>
      <c r="Q23">
        <f t="shared" ref="Q23:W23" si="2">SUM(Q21:Q22)</f>
        <v>261365.09735541983</v>
      </c>
      <c r="R23">
        <f>SUM(R21:R22)</f>
        <v>264427.92792792822</v>
      </c>
      <c r="S23" s="424">
        <f t="shared" si="2"/>
        <v>0</v>
      </c>
      <c r="T23" s="424">
        <f>SUM(T21:T22)</f>
        <v>0</v>
      </c>
      <c r="U23" s="424">
        <f t="shared" si="2"/>
        <v>0</v>
      </c>
      <c r="V23" s="424">
        <f>SUM(V21:V22)</f>
        <v>0</v>
      </c>
      <c r="W23" s="424">
        <f t="shared" si="2"/>
        <v>0</v>
      </c>
    </row>
    <row r="26" spans="2:23">
      <c r="B26" s="32" t="s">
        <v>398</v>
      </c>
    </row>
    <row r="27" spans="2:23">
      <c r="C27">
        <v>2010</v>
      </c>
      <c r="D27">
        <v>2011</v>
      </c>
      <c r="E27">
        <v>2012</v>
      </c>
      <c r="F27">
        <v>2013</v>
      </c>
      <c r="G27">
        <v>2014</v>
      </c>
      <c r="H27">
        <v>2015</v>
      </c>
      <c r="I27">
        <v>2016</v>
      </c>
      <c r="J27">
        <v>2017</v>
      </c>
      <c r="K27">
        <v>2018</v>
      </c>
      <c r="L27">
        <v>2019</v>
      </c>
      <c r="M27">
        <v>2020</v>
      </c>
      <c r="N27">
        <v>2021</v>
      </c>
      <c r="O27">
        <v>2022</v>
      </c>
      <c r="P27">
        <v>2023</v>
      </c>
      <c r="Q27">
        <v>2024</v>
      </c>
      <c r="R27">
        <v>2025</v>
      </c>
      <c r="S27" s="424">
        <v>2026</v>
      </c>
      <c r="T27" s="424">
        <v>2027</v>
      </c>
      <c r="U27" s="424">
        <v>2028</v>
      </c>
      <c r="V27" s="424">
        <v>2029</v>
      </c>
      <c r="W27" s="424">
        <v>2030</v>
      </c>
    </row>
    <row r="28" spans="2:23">
      <c r="B28" t="s">
        <v>329</v>
      </c>
      <c r="C28" s="461">
        <f>IFERROR(GETPIVOTDATA("[Measures].[Moyenne de Conso_kWh_DEET]",$B$3,"[Tab_concat].[Annee]","[Tab_concat].[Annee].&amp;["&amp;C$20&amp;"]","[Tab_concat].[Detail usage]","[Tab_concat].[Detail usage].&amp;["&amp;$B28&amp;"]"),0)*366</f>
        <v>0</v>
      </c>
      <c r="D28" s="461">
        <f>IFERROR(GETPIVOTDATA("[Measures].[Moyenne de Conso_kWh_DEET]",$B$3,"[Tab_concat].[Annee]","[Tab_concat].[Annee].&amp;["&amp;D$20&amp;"]","[Tab_concat].[Detail usage]","[Tab_concat].[Detail usage].&amp;["&amp;$B28&amp;"]"),0)*366</f>
        <v>0</v>
      </c>
      <c r="E28" s="461">
        <f>IFERROR(GETPIVOTDATA("[Measures].[Moyenne de Conso_kWh_DEET]",$B$3,"[Tab_concat].[Annee]","[Tab_concat].[Annee].&amp;["&amp;E$20&amp;"]","[Tab_concat].[Detail usage]","[Tab_concat].[Detail usage].&amp;["&amp;$B28&amp;"]"),0)*366</f>
        <v>0</v>
      </c>
      <c r="F28" s="461">
        <f t="shared" ref="F28:W29" si="3">IFERROR(GETPIVOTDATA("[Measures].[Moyenne de Conso_kWh_DEET]",$B$3,"[Tab_concat].[Annee]","[Tab_concat].[Annee].&amp;["&amp;F$20&amp;"]","[Tab_concat].[Detail usage]","[Tab_concat].[Detail usage].&amp;["&amp;$B28&amp;"]"),0)*366</f>
        <v>0</v>
      </c>
      <c r="G28" s="461">
        <f t="shared" si="3"/>
        <v>0</v>
      </c>
      <c r="H28" s="461">
        <f t="shared" si="3"/>
        <v>0</v>
      </c>
      <c r="I28" s="461">
        <f t="shared" si="3"/>
        <v>0</v>
      </c>
      <c r="J28" s="461">
        <f t="shared" si="3"/>
        <v>0</v>
      </c>
      <c r="K28" s="461">
        <f t="shared" si="3"/>
        <v>0</v>
      </c>
      <c r="L28" s="461">
        <f t="shared" si="3"/>
        <v>0</v>
      </c>
      <c r="M28" s="461">
        <f t="shared" si="3"/>
        <v>0</v>
      </c>
      <c r="N28" s="461">
        <f t="shared" si="3"/>
        <v>0</v>
      </c>
      <c r="O28" s="461">
        <f t="shared" si="3"/>
        <v>0</v>
      </c>
      <c r="P28" s="461">
        <f t="shared" si="3"/>
        <v>0</v>
      </c>
      <c r="Q28" s="461">
        <f t="shared" si="3"/>
        <v>0</v>
      </c>
      <c r="R28" s="461">
        <f t="shared" si="3"/>
        <v>0</v>
      </c>
      <c r="S28" s="461">
        <f t="shared" si="3"/>
        <v>0</v>
      </c>
      <c r="T28" s="461">
        <f t="shared" si="3"/>
        <v>0</v>
      </c>
      <c r="U28" s="461">
        <f t="shared" si="3"/>
        <v>0</v>
      </c>
      <c r="V28" s="461">
        <f t="shared" si="3"/>
        <v>0</v>
      </c>
      <c r="W28" s="461">
        <f t="shared" si="3"/>
        <v>0</v>
      </c>
    </row>
    <row r="29" spans="2:23">
      <c r="B29" t="s">
        <v>184</v>
      </c>
      <c r="C29" s="461">
        <f>IFERROR(GETPIVOTDATA("[Measures].[Moyenne de Conso_kWh_DEET]",$B$3,"[Tab_concat].[Annee]","[Tab_concat].[Annee].&amp;["&amp;C$20&amp;"]","[Tab_concat].[Detail usage]","[Tab_concat].[Detail usage].&amp;["&amp;$B29&amp;"]"),0)*12</f>
        <v>145.68010633584396</v>
      </c>
      <c r="D29" s="461">
        <f>IFERROR(GETPIVOTDATA("[Measures].[Moyenne de Conso_kWh_DEET]",$B$3,"[Tab_concat].[Annee]","[Tab_concat].[Annee].&amp;["&amp;D$20&amp;"]","[Tab_concat].[Detail usage]","[Tab_concat].[Detail usage].&amp;["&amp;$B29&amp;"]"),0)*366</f>
        <v>11278.378378378389</v>
      </c>
      <c r="E29" s="461">
        <f>IFERROR(GETPIVOTDATA("[Measures].[Moyenne de Conso_kWh_DEET]",$B$3,"[Tab_concat].[Annee]","[Tab_concat].[Annee].&amp;["&amp;E$20&amp;"]","[Tab_concat].[Detail usage]","[Tab_concat].[Detail usage].&amp;["&amp;$B29&amp;"]"),0)*366</f>
        <v>128164.86486486504</v>
      </c>
      <c r="F29" s="461">
        <f t="shared" si="3"/>
        <v>89845.94594594583</v>
      </c>
      <c r="G29" s="461">
        <f t="shared" si="3"/>
        <v>100394.59459459464</v>
      </c>
      <c r="H29" s="461">
        <f t="shared" si="3"/>
        <v>107013.51351351349</v>
      </c>
      <c r="I29" s="461">
        <f t="shared" si="3"/>
        <v>54762.162162162145</v>
      </c>
      <c r="J29" s="461">
        <f t="shared" si="3"/>
        <v>55951.35135135139</v>
      </c>
      <c r="K29" s="461">
        <f t="shared" si="3"/>
        <v>57064.864864864932</v>
      </c>
      <c r="L29" s="461">
        <f t="shared" si="3"/>
        <v>170989.18918918929</v>
      </c>
      <c r="M29" s="461">
        <f t="shared" si="3"/>
        <v>180886.48648648654</v>
      </c>
      <c r="N29" s="461">
        <f t="shared" si="3"/>
        <v>200859.45945945921</v>
      </c>
      <c r="O29" s="461">
        <f t="shared" si="3"/>
        <v>226437.83783783772</v>
      </c>
      <c r="P29" s="461">
        <f t="shared" si="3"/>
        <v>68767.64603312999</v>
      </c>
      <c r="Q29" s="461">
        <f t="shared" si="3"/>
        <v>73848.218541121547</v>
      </c>
      <c r="R29" s="461">
        <f t="shared" si="3"/>
        <v>60870.270270270288</v>
      </c>
      <c r="S29" s="461">
        <f t="shared" si="3"/>
        <v>0</v>
      </c>
      <c r="T29" s="461">
        <f t="shared" si="3"/>
        <v>0</v>
      </c>
      <c r="U29" s="461">
        <f t="shared" si="3"/>
        <v>0</v>
      </c>
      <c r="V29" s="461">
        <f t="shared" si="3"/>
        <v>0</v>
      </c>
      <c r="W29" s="461">
        <f t="shared" si="3"/>
        <v>0</v>
      </c>
    </row>
    <row r="30" spans="2:23">
      <c r="B30" t="s">
        <v>397</v>
      </c>
      <c r="C30">
        <f>IF($C$49="Oui",IF($C$50="Oui",(100-$C$51)*C23/100,SUM(C28:C29)),0)</f>
        <v>145.68010633584396</v>
      </c>
      <c r="D30">
        <f t="shared" ref="D30:R30" si="4">IF($C$49="Oui",IF($C$50="Oui",(100-$C$51)*D23/100,SUM(D28:D29)),0)</f>
        <v>11278.378378378389</v>
      </c>
      <c r="E30">
        <f t="shared" si="4"/>
        <v>128164.86486486504</v>
      </c>
      <c r="F30">
        <f t="shared" si="4"/>
        <v>89845.94594594583</v>
      </c>
      <c r="G30">
        <f t="shared" si="4"/>
        <v>100394.59459459464</v>
      </c>
      <c r="H30">
        <f t="shared" si="4"/>
        <v>107013.51351351349</v>
      </c>
      <c r="I30">
        <f t="shared" si="4"/>
        <v>54762.162162162145</v>
      </c>
      <c r="J30">
        <f t="shared" si="4"/>
        <v>55951.35135135139</v>
      </c>
      <c r="K30">
        <f t="shared" si="4"/>
        <v>57064.864864864932</v>
      </c>
      <c r="L30">
        <f t="shared" si="4"/>
        <v>170989.18918918929</v>
      </c>
      <c r="M30">
        <f t="shared" si="4"/>
        <v>180886.48648648654</v>
      </c>
      <c r="N30">
        <f t="shared" si="4"/>
        <v>200859.45945945921</v>
      </c>
      <c r="O30">
        <f t="shared" si="4"/>
        <v>226437.83783783772</v>
      </c>
      <c r="P30">
        <f t="shared" si="4"/>
        <v>68767.64603312999</v>
      </c>
      <c r="Q30">
        <f t="shared" si="4"/>
        <v>73848.218541121547</v>
      </c>
      <c r="R30">
        <f t="shared" si="4"/>
        <v>60870.270270270288</v>
      </c>
      <c r="S30" s="424">
        <f>IF($C$49="Oui",IF($C$50="Oui",(100-$C$51)*S23/100,SUM(S28:S29)),0)</f>
        <v>0</v>
      </c>
      <c r="T30" s="424">
        <f>IF($C$49="Oui",IF($C$50="Oui",(100-$C$51)*T23/100,SUM(T28:T29)),0)</f>
        <v>0</v>
      </c>
      <c r="U30" s="424">
        <f>IF($C$49="Oui",IF($C$50="Oui",(100-$C$51)*U23/100,SUM(U28:U29)),0)</f>
        <v>0</v>
      </c>
      <c r="V30" s="424">
        <f>IF($C$49="Oui",IF($C$50="Oui",(100-$C$51)*V23/100,SUM(V28:V29)),0)</f>
        <v>0</v>
      </c>
      <c r="W30" s="424">
        <f>IF($C$49="Oui",IF($C$50="Oui",(100-$C$51)*W23/100,SUM(W28:W29)),0)</f>
        <v>0</v>
      </c>
    </row>
    <row r="32" spans="2:23" ht="21">
      <c r="B32" s="154" t="s">
        <v>399</v>
      </c>
    </row>
    <row r="33" spans="1:23">
      <c r="B33" s="150" t="s">
        <v>396</v>
      </c>
      <c r="C33">
        <v>2010</v>
      </c>
      <c r="D33">
        <v>2011</v>
      </c>
      <c r="E33">
        <v>2012</v>
      </c>
      <c r="F33">
        <v>2013</v>
      </c>
      <c r="G33">
        <v>2014</v>
      </c>
      <c r="H33">
        <v>2015</v>
      </c>
      <c r="I33">
        <v>2016</v>
      </c>
      <c r="J33">
        <v>2017</v>
      </c>
      <c r="K33">
        <v>2018</v>
      </c>
      <c r="L33">
        <v>2019</v>
      </c>
      <c r="M33">
        <v>2020</v>
      </c>
      <c r="N33">
        <v>2021</v>
      </c>
      <c r="O33">
        <v>2022</v>
      </c>
      <c r="P33">
        <v>2023</v>
      </c>
      <c r="Q33">
        <v>2024</v>
      </c>
      <c r="R33">
        <v>2025</v>
      </c>
      <c r="S33" s="424">
        <v>2026</v>
      </c>
      <c r="T33" s="424">
        <v>2027</v>
      </c>
      <c r="U33" s="424">
        <v>2028</v>
      </c>
      <c r="V33" s="424">
        <v>2029</v>
      </c>
      <c r="W33" s="424">
        <v>2030</v>
      </c>
    </row>
    <row r="34" spans="1:23">
      <c r="B34" t="s">
        <v>329</v>
      </c>
      <c r="C34">
        <f>IFERROR(GETPIVOTDATA("[Measures].[Somme de Conso_kWh_PCI]",TCD_Conso!$B$3,"[Tab_concat].[Type]","[Tab_concat].[Type].&amp;[Consommation]","[Tab_concat].[Detail usage]","[Tab_concat].[Detail usage].&amp;["&amp;$B34&amp;"]","[Tab_concat].[Annee]","[Tab_concat].[Annee].&amp;["&amp;C$33&amp;"]"),0)</f>
        <v>0</v>
      </c>
      <c r="D34" s="461">
        <f>IFERROR(GETPIVOTDATA("[Measures].[Somme de Conso_kWh_PCI]",TCD_Conso!$B$3,"[Tab_concat].[Type]","[Tab_concat].[Type].&amp;[Consommation]","[Tab_concat].[Detail usage]","[Tab_concat].[Detail usage].&amp;["&amp;$B34&amp;"]","[Tab_concat].[Annee]","[Tab_concat].[Annee].&amp;["&amp;D$33&amp;"]"),0)</f>
        <v>0</v>
      </c>
      <c r="E34" s="461">
        <f>IFERROR(GETPIVOTDATA("[Measures].[Somme de Conso_kWh_PCI]",TCD_Conso!$B$3,"[Tab_concat].[Type]","[Tab_concat].[Type].&amp;[Consommation]","[Tab_concat].[Detail usage]","[Tab_concat].[Detail usage].&amp;["&amp;$B34&amp;"]","[Tab_concat].[Annee]","[Tab_concat].[Annee].&amp;["&amp;E$33&amp;"]"),0)</f>
        <v>0</v>
      </c>
      <c r="F34" s="461">
        <f>IFERROR(GETPIVOTDATA("[Measures].[Somme de Conso_kWh_PCI]",TCD_Conso!$B$3,"[Tab_concat].[Type]","[Tab_concat].[Type].&amp;[Consommation]","[Tab_concat].[Detail usage]","[Tab_concat].[Detail usage].&amp;["&amp;$B34&amp;"]","[Tab_concat].[Annee]","[Tab_concat].[Annee].&amp;["&amp;F$33&amp;"]"),0)</f>
        <v>0</v>
      </c>
      <c r="G34" s="461">
        <f>IFERROR(GETPIVOTDATA("[Measures].[Somme de Conso_kWh_PCI]",TCD_Conso!$B$3,"[Tab_concat].[Type]","[Tab_concat].[Type].&amp;[Consommation]","[Tab_concat].[Detail usage]","[Tab_concat].[Detail usage].&amp;["&amp;$B34&amp;"]","[Tab_concat].[Annee]","[Tab_concat].[Annee].&amp;["&amp;G$33&amp;"]"),0)</f>
        <v>0</v>
      </c>
      <c r="H34" s="461">
        <f>IFERROR(GETPIVOTDATA("[Measures].[Somme de Conso_kWh_PCI]",TCD_Conso!$B$3,"[Tab_concat].[Type]","[Tab_concat].[Type].&amp;[Consommation]","[Tab_concat].[Detail usage]","[Tab_concat].[Detail usage].&amp;["&amp;$B34&amp;"]","[Tab_concat].[Annee]","[Tab_concat].[Annee].&amp;["&amp;H$33&amp;"]"),0)</f>
        <v>0</v>
      </c>
      <c r="I34" s="461">
        <f>IFERROR(GETPIVOTDATA("[Measures].[Somme de Conso_kWh_PCI]",TCD_Conso!$B$3,"[Tab_concat].[Type]","[Tab_concat].[Type].&amp;[Consommation]","[Tab_concat].[Detail usage]","[Tab_concat].[Detail usage].&amp;["&amp;$B34&amp;"]","[Tab_concat].[Annee]","[Tab_concat].[Annee].&amp;["&amp;I$33&amp;"]"),0)</f>
        <v>0</v>
      </c>
      <c r="J34" s="461">
        <f>IFERROR(GETPIVOTDATA("[Measures].[Somme de Conso_kWh_PCI]",TCD_Conso!$B$3,"[Tab_concat].[Type]","[Tab_concat].[Type].&amp;[Consommation]","[Tab_concat].[Detail usage]","[Tab_concat].[Detail usage].&amp;["&amp;$B34&amp;"]","[Tab_concat].[Annee]","[Tab_concat].[Annee].&amp;["&amp;J$33&amp;"]"),0)</f>
        <v>0</v>
      </c>
      <c r="K34" s="461">
        <f>IFERROR(GETPIVOTDATA("[Measures].[Somme de Conso_kWh_PCI]",TCD_Conso!$B$3,"[Tab_concat].[Type]","[Tab_concat].[Type].&amp;[Consommation]","[Tab_concat].[Detail usage]","[Tab_concat].[Detail usage].&amp;["&amp;$B34&amp;"]","[Tab_concat].[Annee]","[Tab_concat].[Annee].&amp;["&amp;K$33&amp;"]"),0)</f>
        <v>0</v>
      </c>
      <c r="L34" s="461">
        <f>IFERROR(GETPIVOTDATA("[Measures].[Somme de Conso_kWh_PCI]",TCD_Conso!$B$3,"[Tab_concat].[Type]","[Tab_concat].[Type].&amp;[Consommation]","[Tab_concat].[Detail usage]","[Tab_concat].[Detail usage].&amp;["&amp;$B34&amp;"]","[Tab_concat].[Annee]","[Tab_concat].[Annee].&amp;["&amp;L$33&amp;"]"),0)</f>
        <v>0</v>
      </c>
      <c r="M34" s="461">
        <f>IFERROR(GETPIVOTDATA("[Measures].[Somme de Conso_kWh_PCI]",TCD_Conso!$B$3,"[Tab_concat].[Type]","[Tab_concat].[Type].&amp;[Consommation]","[Tab_concat].[Detail usage]","[Tab_concat].[Detail usage].&amp;["&amp;$B34&amp;"]","[Tab_concat].[Annee]","[Tab_concat].[Annee].&amp;["&amp;M$33&amp;"]"),0)</f>
        <v>0</v>
      </c>
      <c r="N34" s="461">
        <f>IFERROR(GETPIVOTDATA("[Measures].[Somme de Conso_kWh_PCI]",TCD_Conso!$B$3,"[Tab_concat].[Type]","[Tab_concat].[Type].&amp;[Consommation]","[Tab_concat].[Detail usage]","[Tab_concat].[Detail usage].&amp;["&amp;$B34&amp;"]","[Tab_concat].[Annee]","[Tab_concat].[Annee].&amp;["&amp;N$33&amp;"]"),0)</f>
        <v>0</v>
      </c>
      <c r="O34" s="461">
        <f>IFERROR(GETPIVOTDATA("[Measures].[Somme de Conso_kWh_PCI]",TCD_Conso!$B$3,"[Tab_concat].[Type]","[Tab_concat].[Type].&amp;[Consommation]","[Tab_concat].[Detail usage]","[Tab_concat].[Detail usage].&amp;["&amp;$B34&amp;"]","[Tab_concat].[Annee]","[Tab_concat].[Annee].&amp;["&amp;O$33&amp;"]"),0)</f>
        <v>0</v>
      </c>
      <c r="P34" s="461">
        <f>IFERROR(GETPIVOTDATA("[Measures].[Somme de Conso_kWh_PCI]",TCD_Conso!$B$3,"[Tab_concat].[Type]","[Tab_concat].[Type].&amp;[Consommation]","[Tab_concat].[Detail usage]","[Tab_concat].[Detail usage].&amp;["&amp;$B34&amp;"]","[Tab_concat].[Annee]","[Tab_concat].[Annee].&amp;["&amp;P$33&amp;"]"),0)</f>
        <v>0</v>
      </c>
      <c r="Q34" s="461">
        <f>IFERROR(GETPIVOTDATA("[Measures].[Somme de Conso_kWh_PCI]",TCD_Conso!$B$3,"[Tab_concat].[Type]","[Tab_concat].[Type].&amp;[Consommation]","[Tab_concat].[Detail usage]","[Tab_concat].[Detail usage].&amp;["&amp;$B34&amp;"]","[Tab_concat].[Annee]","[Tab_concat].[Annee].&amp;["&amp;Q$33&amp;"]"),0)</f>
        <v>0</v>
      </c>
      <c r="R34" s="461">
        <f>IFERROR(GETPIVOTDATA("[Measures].[Somme de Conso_kWh_PCI]",TCD_Conso!$B$3,"[Tab_concat].[Type]","[Tab_concat].[Type].&amp;[Consommation]","[Tab_concat].[Detail usage]","[Tab_concat].[Detail usage].&amp;["&amp;$B34&amp;"]","[Tab_concat].[Annee]","[Tab_concat].[Annee].&amp;["&amp;R$33&amp;"]"),0)</f>
        <v>0</v>
      </c>
      <c r="S34" s="461">
        <f>IFERROR(GETPIVOTDATA("[Measures].[Somme de Conso_kWh_PCI]",TCD_Conso!$B$3,"[Tab_concat].[Type]","[Tab_concat].[Type].&amp;[Consommation]","[Tab_concat].[Detail usage]","[Tab_concat].[Detail usage].&amp;["&amp;$B34&amp;"]","[Tab_concat].[Annee]","[Tab_concat].[Annee].&amp;["&amp;S$33&amp;"]"),0)</f>
        <v>0</v>
      </c>
      <c r="T34" s="461">
        <f>IFERROR(GETPIVOTDATA("[Measures].[Somme de Conso_kWh_PCI]",TCD_Conso!$B$3,"[Tab_concat].[Type]","[Tab_concat].[Type].&amp;[Consommation]","[Tab_concat].[Detail usage]","[Tab_concat].[Detail usage].&amp;["&amp;$B34&amp;"]","[Tab_concat].[Annee]","[Tab_concat].[Annee].&amp;["&amp;T$33&amp;"]"),0)</f>
        <v>0</v>
      </c>
      <c r="U34" s="461">
        <f>IFERROR(GETPIVOTDATA("[Measures].[Somme de Conso_kWh_PCI]",TCD_Conso!$B$3,"[Tab_concat].[Type]","[Tab_concat].[Type].&amp;[Consommation]","[Tab_concat].[Detail usage]","[Tab_concat].[Detail usage].&amp;["&amp;$B34&amp;"]","[Tab_concat].[Annee]","[Tab_concat].[Annee].&amp;["&amp;U$33&amp;"]"),0)</f>
        <v>0</v>
      </c>
      <c r="V34" s="461">
        <f>IFERROR(GETPIVOTDATA("[Measures].[Somme de Conso_kWh_PCI]",TCD_Conso!$B$3,"[Tab_concat].[Type]","[Tab_concat].[Type].&amp;[Consommation]","[Tab_concat].[Detail usage]","[Tab_concat].[Detail usage].&amp;["&amp;$B34&amp;"]","[Tab_concat].[Annee]","[Tab_concat].[Annee].&amp;["&amp;V$33&amp;"]"),0)</f>
        <v>0</v>
      </c>
      <c r="W34" s="461">
        <f>IFERROR(GETPIVOTDATA("[Measures].[Somme de Conso_kWh_PCI]",TCD_Conso!$B$3,"[Tab_concat].[Type]","[Tab_concat].[Type].&amp;[Consommation]","[Tab_concat].[Detail usage]","[Tab_concat].[Detail usage].&amp;["&amp;$B34&amp;"]","[Tab_concat].[Annee]","[Tab_concat].[Annee].&amp;["&amp;W$33&amp;"]"),0)</f>
        <v>0</v>
      </c>
    </row>
    <row r="35" spans="1:23">
      <c r="B35" t="s">
        <v>184</v>
      </c>
      <c r="C35" s="461">
        <f>IFERROR(GETPIVOTDATA("[Measures].[Somme de Conso_kWh_PCI]",TCD_Conso!$B$3,"[Tab_concat].[Type]","[Tab_concat].[Type].&amp;[Consommation]","[Tab_concat].[Detail usage]","[Tab_concat].[Detail usage].&amp;["&amp;$B35&amp;"]","[Tab_concat].[Annee]","[Tab_concat].[Annee].&amp;["&amp;C$33&amp;"]"),0)</f>
        <v>164033.33333333308</v>
      </c>
      <c r="D35" s="461">
        <f>IFERROR(GETPIVOTDATA("[Measures].[Somme de Conso_kWh_PCI]",TCD_Conso!$B$3,"[Tab_concat].[Type]","[Tab_concat].[Type].&amp;[Consommation]","[Tab_concat].[Detail usage]","[Tab_concat].[Detail usage].&amp;["&amp;$B35&amp;"]","[Tab_concat].[Annee]","[Tab_concat].[Annee].&amp;["&amp;D$33&amp;"]"),0)</f>
        <v>211810.81081081103</v>
      </c>
      <c r="E35" s="461">
        <f>IFERROR(GETPIVOTDATA("[Measures].[Somme de Conso_kWh_PCI]",TCD_Conso!$B$3,"[Tab_concat].[Type]","[Tab_concat].[Type].&amp;[Consommation]","[Tab_concat].[Detail usage]","[Tab_concat].[Detail usage].&amp;["&amp;$B35&amp;"]","[Tab_concat].[Annee]","[Tab_concat].[Annee].&amp;["&amp;E$33&amp;"]"),0)</f>
        <v>280988.28828828793</v>
      </c>
      <c r="F35" s="461">
        <f>IFERROR(GETPIVOTDATA("[Measures].[Somme de Conso_kWh_PCI]",TCD_Conso!$B$3,"[Tab_concat].[Type]","[Tab_concat].[Type].&amp;[Consommation]","[Tab_concat].[Detail usage]","[Tab_concat].[Detail usage].&amp;["&amp;$B35&amp;"]","[Tab_concat].[Annee]","[Tab_concat].[Annee].&amp;["&amp;F$33&amp;"]"),0)</f>
        <v>342108.10810810805</v>
      </c>
      <c r="G35" s="461">
        <f>IFERROR(GETPIVOTDATA("[Measures].[Somme de Conso_kWh_PCI]",TCD_Conso!$B$3,"[Tab_concat].[Type]","[Tab_concat].[Type].&amp;[Consommation]","[Tab_concat].[Detail usage]","[Tab_concat].[Detail usage].&amp;["&amp;$B35&amp;"]","[Tab_concat].[Annee]","[Tab_concat].[Annee].&amp;["&amp;G$33&amp;"]"),0)</f>
        <v>325871.17117117153</v>
      </c>
      <c r="H35" s="461">
        <f>IFERROR(GETPIVOTDATA("[Measures].[Somme de Conso_kWh_PCI]",TCD_Conso!$B$3,"[Tab_concat].[Type]","[Tab_concat].[Type].&amp;[Consommation]","[Tab_concat].[Detail usage]","[Tab_concat].[Detail usage].&amp;["&amp;$B35&amp;"]","[Tab_concat].[Annee]","[Tab_concat].[Annee].&amp;["&amp;H$33&amp;"]"),0)</f>
        <v>321185.58558558655</v>
      </c>
      <c r="I35" s="461">
        <f>IFERROR(GETPIVOTDATA("[Measures].[Somme de Conso_kWh_PCI]",TCD_Conso!$B$3,"[Tab_concat].[Type]","[Tab_concat].[Type].&amp;[Consommation]","[Tab_concat].[Detail usage]","[Tab_concat].[Detail usage].&amp;["&amp;$B35&amp;"]","[Tab_concat].[Annee]","[Tab_concat].[Annee].&amp;["&amp;I$33&amp;"]"),0)</f>
        <v>336323.42342342407</v>
      </c>
      <c r="J35" s="461">
        <f>IFERROR(GETPIVOTDATA("[Measures].[Somme de Conso_kWh_PCI]",TCD_Conso!$B$3,"[Tab_concat].[Type]","[Tab_concat].[Type].&amp;[Consommation]","[Tab_concat].[Detail usage]","[Tab_concat].[Detail usage].&amp;["&amp;$B35&amp;"]","[Tab_concat].[Annee]","[Tab_concat].[Annee].&amp;["&amp;J$33&amp;"]"),0)</f>
        <v>379922.52252252353</v>
      </c>
      <c r="K35" s="461">
        <f>IFERROR(GETPIVOTDATA("[Measures].[Somme de Conso_kWh_PCI]",TCD_Conso!$B$3,"[Tab_concat].[Type]","[Tab_concat].[Type].&amp;[Consommation]","[Tab_concat].[Detail usage]","[Tab_concat].[Detail usage].&amp;["&amp;$B35&amp;"]","[Tab_concat].[Annee]","[Tab_concat].[Annee].&amp;["&amp;K$33&amp;"]"),0)</f>
        <v>382162.16216216155</v>
      </c>
      <c r="L35" s="461">
        <f>IFERROR(GETPIVOTDATA("[Measures].[Somme de Conso_kWh_PCI]",TCD_Conso!$B$3,"[Tab_concat].[Type]","[Tab_concat].[Type].&amp;[Consommation]","[Tab_concat].[Detail usage]","[Tab_concat].[Detail usage].&amp;["&amp;$B35&amp;"]","[Tab_concat].[Annee]","[Tab_concat].[Annee].&amp;["&amp;L$33&amp;"]"),0)</f>
        <v>346641.44144144229</v>
      </c>
      <c r="M35" s="461">
        <f>IFERROR(GETPIVOTDATA("[Measures].[Somme de Conso_kWh_PCI]",TCD_Conso!$B$3,"[Tab_concat].[Type]","[Tab_concat].[Type].&amp;[Consommation]","[Tab_concat].[Detail usage]","[Tab_concat].[Detail usage].&amp;["&amp;$B35&amp;"]","[Tab_concat].[Annee]","[Tab_concat].[Annee].&amp;["&amp;M$33&amp;"]"),0)</f>
        <v>342772.97297297243</v>
      </c>
      <c r="N35" s="461">
        <f>IFERROR(GETPIVOTDATA("[Measures].[Somme de Conso_kWh_PCI]",TCD_Conso!$B$3,"[Tab_concat].[Type]","[Tab_concat].[Type].&amp;[Consommation]","[Tab_concat].[Detail usage]","[Tab_concat].[Detail usage].&amp;["&amp;$B35&amp;"]","[Tab_concat].[Annee]","[Tab_concat].[Annee].&amp;["&amp;N$33&amp;"]"),0)</f>
        <v>414052.25225225126</v>
      </c>
      <c r="O35" s="461">
        <f>IFERROR(GETPIVOTDATA("[Measures].[Somme de Conso_kWh_PCI]",TCD_Conso!$B$3,"[Tab_concat].[Type]","[Tab_concat].[Type].&amp;[Consommation]","[Tab_concat].[Detail usage]","[Tab_concat].[Detail usage].&amp;["&amp;$B35&amp;"]","[Tab_concat].[Annee]","[Tab_concat].[Annee].&amp;["&amp;O$33&amp;"]"),0)</f>
        <v>354637.25661145058</v>
      </c>
      <c r="P35" s="461">
        <f>IFERROR(GETPIVOTDATA("[Measures].[Somme de Conso_kWh_PCI]",TCD_Conso!$B$3,"[Tab_concat].[Type]","[Tab_concat].[Type].&amp;[Consommation]","[Tab_concat].[Detail usage]","[Tab_concat].[Detail usage].&amp;["&amp;$B35&amp;"]","[Tab_concat].[Annee]","[Tab_concat].[Annee].&amp;["&amp;P$33&amp;"]"),0)</f>
        <v>253047.19558267947</v>
      </c>
      <c r="Q35" s="461">
        <f>IFERROR(GETPIVOTDATA("[Measures].[Somme de Conso_kWh_PCI]",TCD_Conso!$B$3,"[Tab_concat].[Type]","[Tab_concat].[Type].&amp;[Consommation]","[Tab_concat].[Detail usage]","[Tab_concat].[Detail usage].&amp;["&amp;$B35&amp;"]","[Tab_concat].[Annee]","[Tab_concat].[Annee].&amp;["&amp;Q$33&amp;"]"),0)</f>
        <v>261365.09735542</v>
      </c>
      <c r="R35" s="461">
        <f>IFERROR(GETPIVOTDATA("[Measures].[Somme de Conso_kWh_PCI]",TCD_Conso!$B$3,"[Tab_concat].[Type]","[Tab_concat].[Type].&amp;[Consommation]","[Tab_concat].[Detail usage]","[Tab_concat].[Detail usage].&amp;["&amp;$B35&amp;"]","[Tab_concat].[Annee]","[Tab_concat].[Annee].&amp;["&amp;R$33&amp;"]"),0)</f>
        <v>264427.92792792822</v>
      </c>
      <c r="S35" s="461">
        <f>IFERROR(GETPIVOTDATA("[Measures].[Somme de Conso_kWh_PCI]",TCD_Conso!$B$3,"[Tab_concat].[Type]","[Tab_concat].[Type].&amp;[Consommation]","[Tab_concat].[Detail usage]","[Tab_concat].[Detail usage].&amp;["&amp;$B35&amp;"]","[Tab_concat].[Annee]","[Tab_concat].[Annee].&amp;["&amp;S$33&amp;"]"),0)</f>
        <v>0</v>
      </c>
      <c r="T35" s="461">
        <f>IFERROR(GETPIVOTDATA("[Measures].[Somme de Conso_kWh_PCI]",TCD_Conso!$B$3,"[Tab_concat].[Type]","[Tab_concat].[Type].&amp;[Consommation]","[Tab_concat].[Detail usage]","[Tab_concat].[Detail usage].&amp;["&amp;$B35&amp;"]","[Tab_concat].[Annee]","[Tab_concat].[Annee].&amp;["&amp;T$33&amp;"]"),0)</f>
        <v>0</v>
      </c>
      <c r="U35" s="461">
        <f>IFERROR(GETPIVOTDATA("[Measures].[Somme de Conso_kWh_PCI]",TCD_Conso!$B$3,"[Tab_concat].[Type]","[Tab_concat].[Type].&amp;[Consommation]","[Tab_concat].[Detail usage]","[Tab_concat].[Detail usage].&amp;["&amp;$B35&amp;"]","[Tab_concat].[Annee]","[Tab_concat].[Annee].&amp;["&amp;U$33&amp;"]"),0)</f>
        <v>0</v>
      </c>
      <c r="V35" s="461">
        <f>IFERROR(GETPIVOTDATA("[Measures].[Somme de Conso_kWh_PCI]",TCD_Conso!$B$3,"[Tab_concat].[Type]","[Tab_concat].[Type].&amp;[Consommation]","[Tab_concat].[Detail usage]","[Tab_concat].[Detail usage].&amp;["&amp;$B35&amp;"]","[Tab_concat].[Annee]","[Tab_concat].[Annee].&amp;["&amp;V$33&amp;"]"),0)</f>
        <v>0</v>
      </c>
      <c r="W35" s="461">
        <f>IFERROR(GETPIVOTDATA("[Measures].[Somme de Conso_kWh_PCI]",TCD_Conso!$B$3,"[Tab_concat].[Type]","[Tab_concat].[Type].&amp;[Consommation]","[Tab_concat].[Detail usage]","[Tab_concat].[Detail usage].&amp;["&amp;$B35&amp;"]","[Tab_concat].[Annee]","[Tab_concat].[Annee].&amp;["&amp;W$33&amp;"]"),0)</f>
        <v>0</v>
      </c>
    </row>
    <row r="36" spans="1:23">
      <c r="B36" t="s">
        <v>397</v>
      </c>
      <c r="C36">
        <f>SUM(C34:C35)</f>
        <v>164033.33333333308</v>
      </c>
      <c r="D36">
        <f t="shared" ref="D36:R36" si="5">SUM(D34:D35)</f>
        <v>211810.81081081103</v>
      </c>
      <c r="E36">
        <f t="shared" si="5"/>
        <v>280988.28828828793</v>
      </c>
      <c r="F36">
        <f t="shared" si="5"/>
        <v>342108.10810810805</v>
      </c>
      <c r="G36">
        <f t="shared" si="5"/>
        <v>325871.17117117153</v>
      </c>
      <c r="H36">
        <f t="shared" si="5"/>
        <v>321185.58558558655</v>
      </c>
      <c r="I36">
        <f t="shared" si="5"/>
        <v>336323.42342342407</v>
      </c>
      <c r="J36">
        <f t="shared" si="5"/>
        <v>379922.52252252353</v>
      </c>
      <c r="K36">
        <f t="shared" si="5"/>
        <v>382162.16216216155</v>
      </c>
      <c r="L36">
        <f t="shared" si="5"/>
        <v>346641.44144144229</v>
      </c>
      <c r="M36">
        <f t="shared" si="5"/>
        <v>342772.97297297243</v>
      </c>
      <c r="N36">
        <f t="shared" si="5"/>
        <v>414052.25225225126</v>
      </c>
      <c r="O36">
        <f t="shared" si="5"/>
        <v>354637.25661145058</v>
      </c>
      <c r="P36">
        <f t="shared" si="5"/>
        <v>253047.19558267947</v>
      </c>
      <c r="Q36">
        <f t="shared" si="5"/>
        <v>261365.09735542</v>
      </c>
      <c r="R36">
        <f t="shared" si="5"/>
        <v>264427.92792792822</v>
      </c>
      <c r="S36" s="424">
        <f>SUM(S34:S35)</f>
        <v>0</v>
      </c>
      <c r="T36" s="424">
        <f>SUM(T34:T35)</f>
        <v>0</v>
      </c>
      <c r="U36" s="424">
        <f>SUM(U34:U35)</f>
        <v>0</v>
      </c>
      <c r="V36" s="424">
        <f>SUM(V34:V35)</f>
        <v>0</v>
      </c>
      <c r="W36" s="424">
        <f>SUM(W34:W35)</f>
        <v>0</v>
      </c>
    </row>
    <row r="37" spans="1:23" ht="21">
      <c r="B37" s="154"/>
    </row>
    <row r="38" spans="1:23" ht="21">
      <c r="B38" s="154"/>
    </row>
    <row r="40" spans="1:23">
      <c r="C40">
        <v>2010</v>
      </c>
      <c r="D40">
        <v>2011</v>
      </c>
      <c r="E40">
        <v>2012</v>
      </c>
      <c r="F40">
        <v>2013</v>
      </c>
      <c r="G40">
        <v>2014</v>
      </c>
      <c r="H40">
        <v>2015</v>
      </c>
      <c r="I40">
        <v>2016</v>
      </c>
      <c r="J40">
        <v>2017</v>
      </c>
      <c r="K40">
        <v>2018</v>
      </c>
      <c r="L40">
        <v>2019</v>
      </c>
      <c r="M40">
        <v>2020</v>
      </c>
      <c r="N40">
        <v>2021</v>
      </c>
      <c r="O40">
        <v>2022</v>
      </c>
      <c r="P40">
        <v>2023</v>
      </c>
      <c r="Q40">
        <v>2024</v>
      </c>
      <c r="R40">
        <v>2025</v>
      </c>
      <c r="S40" s="424">
        <v>2026</v>
      </c>
      <c r="T40" s="424">
        <v>2027</v>
      </c>
      <c r="U40" s="424">
        <v>2028</v>
      </c>
      <c r="V40" s="424">
        <v>2029</v>
      </c>
      <c r="W40" s="424">
        <v>2030</v>
      </c>
    </row>
    <row r="41" spans="1:23">
      <c r="B41" s="32" t="s">
        <v>329</v>
      </c>
      <c r="C41" s="461">
        <f>IFERROR(GETPIVOTDATA("[Measures].[Moyenne de Conso_kWh_PCI]",$B$3,"[Tab_concat].[Annee]","[Tab_concat].[Annee].&amp;["&amp;C$20&amp;"]","[Tab_concat].[Detail usage]","[Tab_concat].[Detail usage].&amp;["&amp;$B41&amp;"]"),0)*366</f>
        <v>0</v>
      </c>
      <c r="D41" s="461">
        <f t="shared" ref="D41:S43" si="6">IFERROR(GETPIVOTDATA("[Measures].[Moyenne de Conso_kWh_PCI]",$B$3,"[Tab_concat].[Annee]","[Tab_concat].[Annee].&amp;["&amp;D$20&amp;"]","[Tab_concat].[Detail usage]","[Tab_concat].[Detail usage].&amp;["&amp;$B41&amp;"]"),0)*366</f>
        <v>0</v>
      </c>
      <c r="E41" s="461">
        <f t="shared" si="6"/>
        <v>0</v>
      </c>
      <c r="F41" s="461">
        <f t="shared" si="6"/>
        <v>0</v>
      </c>
      <c r="G41" s="461">
        <f t="shared" si="6"/>
        <v>0</v>
      </c>
      <c r="H41" s="461">
        <f t="shared" si="6"/>
        <v>0</v>
      </c>
      <c r="I41" s="461">
        <f t="shared" si="6"/>
        <v>0</v>
      </c>
      <c r="J41" s="461">
        <f t="shared" si="6"/>
        <v>0</v>
      </c>
      <c r="K41" s="461">
        <f t="shared" si="6"/>
        <v>0</v>
      </c>
      <c r="L41" s="461">
        <f t="shared" si="6"/>
        <v>0</v>
      </c>
      <c r="M41" s="461">
        <f t="shared" si="6"/>
        <v>0</v>
      </c>
      <c r="N41" s="461">
        <f t="shared" si="6"/>
        <v>0</v>
      </c>
      <c r="O41" s="461">
        <f t="shared" si="6"/>
        <v>0</v>
      </c>
      <c r="P41" s="461">
        <f t="shared" si="6"/>
        <v>0</v>
      </c>
      <c r="Q41" s="461">
        <f t="shared" si="6"/>
        <v>0</v>
      </c>
      <c r="R41" s="461">
        <f>IFERROR(GETPIVOTDATA("[Measures].[Moyenne de Conso_kWh_PCI]",$B$3,"[Tab_concat].[Annee]","[Tab_concat].[Annee].&amp;["&amp;R$20&amp;"]","[Tab_concat].[Detail usage]","[Tab_concat].[Detail usage].&amp;["&amp;$B41&amp;"]"),0)*366</f>
        <v>0</v>
      </c>
      <c r="S41" s="461">
        <f t="shared" si="6"/>
        <v>0</v>
      </c>
      <c r="T41" s="461">
        <f t="shared" ref="S41:W43" si="7">IFERROR(GETPIVOTDATA("[Measures].[Moyenne de Conso_kWh_PCI]",$B$3,"[Tab_concat].[Annee]","[Tab_concat].[Annee].&amp;["&amp;T$20&amp;"]","[Tab_concat].[Detail usage]","[Tab_concat].[Detail usage].&amp;["&amp;$B41&amp;"]"),0)*366</f>
        <v>0</v>
      </c>
      <c r="U41" s="461">
        <f t="shared" si="7"/>
        <v>0</v>
      </c>
      <c r="V41" s="461">
        <f t="shared" si="7"/>
        <v>0</v>
      </c>
      <c r="W41" s="461">
        <f t="shared" si="7"/>
        <v>0</v>
      </c>
    </row>
    <row r="42" spans="1:23">
      <c r="B42" t="s">
        <v>184</v>
      </c>
      <c r="C42" s="461">
        <f>IFERROR(GETPIVOTDATA("[Measures].[Moyenne de Conso_kWh_PCI]",$B$3,"[Tab_concat].[Annee]","[Tab_concat].[Annee].&amp;["&amp;C$20&amp;"]","[Tab_concat].[Detail usage]","[Tab_concat].[Detail usage].&amp;["&amp;$B42&amp;"]"),0)*366</f>
        <v>4443.2432432432406</v>
      </c>
      <c r="D42" s="461">
        <f t="shared" si="6"/>
        <v>11278.378378378389</v>
      </c>
      <c r="E42" s="461">
        <f t="shared" si="6"/>
        <v>128164.86486486504</v>
      </c>
      <c r="F42" s="461">
        <f t="shared" si="6"/>
        <v>89845.94594594583</v>
      </c>
      <c r="G42" s="461">
        <f t="shared" si="6"/>
        <v>100394.59459459466</v>
      </c>
      <c r="H42" s="461">
        <f t="shared" si="6"/>
        <v>107013.51351351349</v>
      </c>
      <c r="I42" s="461">
        <f t="shared" si="6"/>
        <v>54762.162162162145</v>
      </c>
      <c r="J42" s="461">
        <f t="shared" si="6"/>
        <v>55951.35135135139</v>
      </c>
      <c r="K42" s="461">
        <f t="shared" si="6"/>
        <v>57064.864864864932</v>
      </c>
      <c r="L42" s="461">
        <f t="shared" si="6"/>
        <v>170989.18918918938</v>
      </c>
      <c r="M42" s="461">
        <f t="shared" si="6"/>
        <v>180886.48648648654</v>
      </c>
      <c r="N42" s="461">
        <f t="shared" si="6"/>
        <v>200859.45945945921</v>
      </c>
      <c r="O42" s="461">
        <f t="shared" si="6"/>
        <v>226437.83783783772</v>
      </c>
      <c r="P42" s="461">
        <f t="shared" si="6"/>
        <v>68767.64603312999</v>
      </c>
      <c r="Q42" s="461">
        <f t="shared" si="6"/>
        <v>73848.218541121547</v>
      </c>
      <c r="R42" s="461">
        <f>IFERROR(GETPIVOTDATA("[Measures].[Moyenne de Conso_kWh_PCI]",$B$3,"[Tab_concat].[Annee]","[Tab_concat].[Annee].&amp;["&amp;R$20&amp;"]","[Tab_concat].[Detail usage]","[Tab_concat].[Detail usage].&amp;["&amp;$B42&amp;"]"),0)*366</f>
        <v>60870.270270270288</v>
      </c>
      <c r="S42" s="461">
        <f t="shared" si="7"/>
        <v>0</v>
      </c>
      <c r="T42" s="461">
        <f t="shared" si="7"/>
        <v>0</v>
      </c>
      <c r="U42" s="461">
        <f t="shared" si="7"/>
        <v>0</v>
      </c>
      <c r="V42" s="461">
        <f t="shared" si="7"/>
        <v>0</v>
      </c>
      <c r="W42" s="461">
        <f t="shared" si="7"/>
        <v>0</v>
      </c>
    </row>
    <row r="43" spans="1:23">
      <c r="B43" t="s">
        <v>400</v>
      </c>
      <c r="C43" s="461">
        <f>IFERROR(GETPIVOTDATA("[Measures].[Moyenne de Conso_kWh_PCI]",$B$3,"[Tab_concat].[Annee]","[Tab_concat].[Annee].&amp;["&amp;C$20&amp;"]","[Tab_concat].[Detail usage]","[Tab_concat].[Detail usage].&amp;["&amp;$B43&amp;"]"),0)*366</f>
        <v>0</v>
      </c>
      <c r="D43" s="461">
        <f t="shared" si="6"/>
        <v>0</v>
      </c>
      <c r="E43" s="461">
        <f t="shared" si="6"/>
        <v>0</v>
      </c>
      <c r="F43" s="461">
        <f t="shared" si="6"/>
        <v>0</v>
      </c>
      <c r="G43" s="461">
        <f t="shared" si="6"/>
        <v>0</v>
      </c>
      <c r="H43" s="461">
        <f t="shared" si="6"/>
        <v>0</v>
      </c>
      <c r="I43" s="461">
        <f t="shared" si="6"/>
        <v>0</v>
      </c>
      <c r="J43" s="461">
        <f t="shared" si="6"/>
        <v>0</v>
      </c>
      <c r="K43" s="461">
        <f t="shared" si="6"/>
        <v>0</v>
      </c>
      <c r="L43" s="461">
        <f t="shared" si="6"/>
        <v>0</v>
      </c>
      <c r="M43" s="461">
        <f t="shared" si="6"/>
        <v>0</v>
      </c>
      <c r="N43" s="461">
        <f t="shared" si="6"/>
        <v>0</v>
      </c>
      <c r="O43" s="461">
        <f t="shared" si="6"/>
        <v>0</v>
      </c>
      <c r="P43" s="461">
        <f t="shared" si="6"/>
        <v>0</v>
      </c>
      <c r="Q43" s="461">
        <f t="shared" si="6"/>
        <v>0</v>
      </c>
      <c r="R43" s="461">
        <f>IFERROR(GETPIVOTDATA("[Measures].[Moyenne de Conso_kWh_PCI]",$B$3,"[Tab_concat].[Annee]","[Tab_concat].[Annee].&amp;["&amp;R$20&amp;"]","[Tab_concat].[Detail usage]","[Tab_concat].[Detail usage].&amp;["&amp;$B43&amp;"]"),0)*366</f>
        <v>0</v>
      </c>
      <c r="S43" s="461">
        <f t="shared" si="6"/>
        <v>0</v>
      </c>
      <c r="T43" s="461">
        <f t="shared" si="7"/>
        <v>0</v>
      </c>
      <c r="U43" s="461">
        <f t="shared" si="7"/>
        <v>0</v>
      </c>
      <c r="V43" s="461">
        <f t="shared" si="7"/>
        <v>0</v>
      </c>
      <c r="W43" s="461">
        <f t="shared" si="7"/>
        <v>0</v>
      </c>
    </row>
    <row r="44" spans="1:23">
      <c r="A44" t="s">
        <v>317</v>
      </c>
      <c r="B44" t="str">
        <f>IF(C43&gt;0,"ECS seule", IF(C41&gt;0,"ECS seule estimée","ECS+Cuisson estimées"))</f>
        <v>ECS+Cuisson estimées</v>
      </c>
      <c r="C44">
        <f>IF($C$49="Oui",IF($C$50="Oui",(100-$C$51)*C36/100,SUM(C41:C43)),0)</f>
        <v>4443.2432432432406</v>
      </c>
      <c r="D44" s="424">
        <f t="shared" ref="D44:W44" si="8">IF($C$49="Oui",IF($C$50="Oui",(100-$C$51)*D36/100,SUM(D41:D43)),0)</f>
        <v>11278.378378378389</v>
      </c>
      <c r="E44" s="424">
        <f t="shared" si="8"/>
        <v>128164.86486486504</v>
      </c>
      <c r="F44" s="424">
        <f t="shared" si="8"/>
        <v>89845.94594594583</v>
      </c>
      <c r="G44" s="424">
        <f t="shared" si="8"/>
        <v>100394.59459459466</v>
      </c>
      <c r="H44" s="424">
        <f t="shared" si="8"/>
        <v>107013.51351351349</v>
      </c>
      <c r="I44" s="424">
        <f t="shared" si="8"/>
        <v>54762.162162162145</v>
      </c>
      <c r="J44" s="424">
        <f t="shared" si="8"/>
        <v>55951.35135135139</v>
      </c>
      <c r="K44" s="424">
        <f t="shared" si="8"/>
        <v>57064.864864864932</v>
      </c>
      <c r="L44" s="424">
        <f t="shared" si="8"/>
        <v>170989.18918918938</v>
      </c>
      <c r="M44" s="424">
        <f t="shared" si="8"/>
        <v>180886.48648648654</v>
      </c>
      <c r="N44" s="424">
        <f t="shared" si="8"/>
        <v>200859.45945945921</v>
      </c>
      <c r="O44" s="424">
        <f t="shared" si="8"/>
        <v>226437.83783783772</v>
      </c>
      <c r="P44" s="424">
        <f t="shared" si="8"/>
        <v>68767.64603312999</v>
      </c>
      <c r="Q44" s="424">
        <f t="shared" si="8"/>
        <v>73848.218541121547</v>
      </c>
      <c r="R44" s="424">
        <f t="shared" si="8"/>
        <v>60870.270270270288</v>
      </c>
      <c r="S44" s="424">
        <f t="shared" si="8"/>
        <v>0</v>
      </c>
      <c r="T44" s="424">
        <f t="shared" si="8"/>
        <v>0</v>
      </c>
      <c r="U44" s="424">
        <f t="shared" si="8"/>
        <v>0</v>
      </c>
      <c r="V44" s="424">
        <f t="shared" si="8"/>
        <v>0</v>
      </c>
      <c r="W44" s="424">
        <f t="shared" si="8"/>
        <v>0</v>
      </c>
    </row>
    <row r="49" spans="2:3">
      <c r="B49" t="s">
        <v>306</v>
      </c>
      <c r="C49" t="str">
        <f>Controle_des_données!$B$43</f>
        <v>Oui</v>
      </c>
    </row>
    <row r="50" spans="2:3">
      <c r="B50" t="s">
        <v>307</v>
      </c>
      <c r="C50" t="str">
        <f>Controle_des_données!$B$44</f>
        <v>Non</v>
      </c>
    </row>
    <row r="51" spans="2:3">
      <c r="B51" t="s">
        <v>308</v>
      </c>
      <c r="C51">
        <f>Controle_des_données!$B$45</f>
        <v>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5">
    <tabColor theme="9" tint="-0.249977111117893"/>
  </sheetPr>
  <dimension ref="A3:I36"/>
  <sheetViews>
    <sheetView showGridLines="0" topLeftCell="A3" workbookViewId="0">
      <selection activeCell="E21" sqref="E21"/>
    </sheetView>
  </sheetViews>
  <sheetFormatPr baseColWidth="10" defaultColWidth="0" defaultRowHeight="15" customHeight="1" zeroHeight="1"/>
  <cols>
    <col min="1" max="1" width="11.453125" customWidth="1"/>
    <col min="2" max="2" width="29.453125" bestFit="1" customWidth="1"/>
    <col min="3" max="3" width="11.1796875" bestFit="1" customWidth="1"/>
    <col min="4" max="9" width="11.453125" customWidth="1"/>
    <col min="10" max="11" width="11.453125" hidden="1" customWidth="1"/>
    <col min="12" max="16384" width="11.453125" hidden="1"/>
  </cols>
  <sheetData>
    <row r="3" spans="2:6" ht="14.5">
      <c r="B3" s="107" t="s">
        <v>0</v>
      </c>
      <c r="C3" s="554">
        <f>Site!C2</f>
        <v>0</v>
      </c>
      <c r="D3" s="554"/>
      <c r="E3" s="554"/>
      <c r="F3" s="38"/>
    </row>
    <row r="4" spans="2:6" ht="14.5">
      <c r="B4" s="38"/>
      <c r="C4" s="106" t="s">
        <v>56</v>
      </c>
      <c r="D4" s="79">
        <f>DJU!I11</f>
        <v>0</v>
      </c>
      <c r="E4" s="38"/>
      <c r="F4" s="38"/>
    </row>
    <row r="5" spans="2:6" ht="14.5">
      <c r="B5" s="38"/>
      <c r="E5" s="38"/>
      <c r="F5" s="38"/>
    </row>
    <row r="6" spans="2:6" ht="14.5">
      <c r="B6" s="38"/>
      <c r="E6" s="38"/>
      <c r="F6" s="38" t="s">
        <v>60</v>
      </c>
    </row>
    <row r="7" spans="2:6" ht="14.5">
      <c r="B7" s="38"/>
      <c r="C7" s="38"/>
      <c r="D7" s="38"/>
      <c r="E7" s="38"/>
      <c r="F7" s="38"/>
    </row>
    <row r="8" spans="2:6" ht="34.5" customHeight="1">
      <c r="B8" s="558" t="s">
        <v>61</v>
      </c>
      <c r="C8" s="559"/>
      <c r="D8" s="559"/>
      <c r="E8" s="559"/>
      <c r="F8" s="38"/>
    </row>
    <row r="9" spans="2:6" ht="14.5">
      <c r="B9" s="125"/>
      <c r="C9" s="165"/>
      <c r="D9" s="165"/>
      <c r="E9" s="165"/>
      <c r="F9" s="38"/>
    </row>
    <row r="10" spans="2:6" ht="14.5">
      <c r="B10" s="164" t="s">
        <v>62</v>
      </c>
      <c r="E10" s="38"/>
      <c r="F10" s="38"/>
    </row>
    <row r="11" spans="2:6" ht="16.5" customHeight="1">
      <c r="B11" s="163" t="s">
        <v>63</v>
      </c>
      <c r="E11" s="38"/>
      <c r="F11" s="38"/>
    </row>
    <row r="12" spans="2:6" ht="12.75" customHeight="1">
      <c r="F12" s="38"/>
    </row>
    <row r="13" spans="2:6" ht="14.5">
      <c r="B13" s="180" t="s">
        <v>878</v>
      </c>
      <c r="C13" s="515" t="s" vm="11">
        <v>852</v>
      </c>
      <c r="D13" s="294"/>
      <c r="E13" s="294"/>
      <c r="F13" s="38"/>
    </row>
    <row r="14" spans="2:6" ht="14.5">
      <c r="B14" s="461"/>
      <c r="C14" s="461"/>
      <c r="D14" s="294"/>
      <c r="E14" s="294"/>
      <c r="F14" s="38"/>
    </row>
    <row r="15" spans="2:6" ht="14.5">
      <c r="B15" s="180" t="s">
        <v>64</v>
      </c>
      <c r="C15" t="s">
        <v>879</v>
      </c>
      <c r="E15" s="38"/>
      <c r="F15" s="38"/>
    </row>
    <row r="16" spans="2:6" ht="14.5">
      <c r="B16" s="89" t="s">
        <v>26</v>
      </c>
      <c r="C16" s="81"/>
      <c r="E16" s="38"/>
      <c r="F16" s="38"/>
    </row>
    <row r="17" spans="2:3" ht="14.5">
      <c r="B17" s="181" t="s">
        <v>184</v>
      </c>
      <c r="C17" s="508">
        <v>293515.00000000012</v>
      </c>
    </row>
    <row r="18" spans="2:3" ht="14.5">
      <c r="B18" s="181" t="s">
        <v>28</v>
      </c>
      <c r="C18" s="508">
        <v>127658.61290322595</v>
      </c>
    </row>
    <row r="19" spans="2:3" ht="14.5">
      <c r="B19" s="181" t="s">
        <v>36</v>
      </c>
      <c r="C19" s="508">
        <v>1937.2257891866773</v>
      </c>
    </row>
    <row r="20" spans="2:3" ht="14.5">
      <c r="B20" s="89" t="s">
        <v>141</v>
      </c>
      <c r="C20" s="81"/>
    </row>
    <row r="21" spans="2:3" ht="15" customHeight="1">
      <c r="B21" s="181" t="s">
        <v>154</v>
      </c>
      <c r="C21" s="81"/>
    </row>
    <row r="22" spans="2:3" ht="15" customHeight="1">
      <c r="B22" s="412" t="s">
        <v>209</v>
      </c>
      <c r="C22" s="81">
        <v>3943.0000000000077</v>
      </c>
    </row>
    <row r="23" spans="2:3" ht="15" customHeight="1">
      <c r="B23" s="89" t="s">
        <v>94</v>
      </c>
      <c r="C23" s="81"/>
    </row>
    <row r="24" spans="2:3" ht="15" customHeight="1">
      <c r="B24" s="181" t="s">
        <v>174</v>
      </c>
      <c r="C24" s="508">
        <v>400.99530206819924</v>
      </c>
    </row>
    <row r="25" spans="2:3" ht="15" customHeight="1">
      <c r="B25" s="181" t="s">
        <v>157</v>
      </c>
      <c r="C25" s="508">
        <v>1936.7173371119829</v>
      </c>
    </row>
    <row r="26" spans="2:3" ht="15" customHeight="1">
      <c r="B26" s="89" t="s">
        <v>89</v>
      </c>
      <c r="C26" s="81">
        <v>429391.55133159249</v>
      </c>
    </row>
    <row r="27" spans="2:3" ht="15" customHeight="1"/>
    <row r="28" spans="2:3" ht="15" customHeight="1"/>
    <row r="29" spans="2:3" ht="15" customHeight="1"/>
    <row r="30" spans="2:3" ht="15" customHeight="1"/>
    <row r="31" spans="2:3" ht="15" customHeight="1"/>
    <row r="32" spans="2:3" ht="15" customHeight="1"/>
    <row r="33" ht="15" customHeight="1"/>
    <row r="34" ht="15" customHeight="1"/>
    <row r="35" ht="15" customHeight="1"/>
    <row r="36" ht="15" customHeight="1"/>
  </sheetData>
  <sheetProtection sheet="1" autoFilter="0" pivotTables="0"/>
  <protectedRanges>
    <protectedRange sqref="C3:E3" name="Plage1"/>
  </protectedRanges>
  <mergeCells count="2">
    <mergeCell ref="C3:E3"/>
    <mergeCell ref="B8:E8"/>
  </mergeCells>
  <hyperlinks>
    <hyperlink ref="B11" r:id="rId2" location="/public/signin" xr:uid="{00000000-0004-0000-0900-000000000000}"/>
  </hyperlinks>
  <pageMargins left="0.7" right="0.7" top="0.75" bottom="0.75" header="0.3" footer="0.3"/>
  <pageSetup paperSize="9" orientation="landscape" r:id="rId3"/>
  <drawing r:id="rId4"/>
  <extLst>
    <ext xmlns:x14="http://schemas.microsoft.com/office/spreadsheetml/2009/9/main" uri="{A8765BA9-456A-4dab-B4F3-ACF838C121DE}">
      <x14:slicerList>
        <x14:slicer r:id="rId5"/>
      </x14:slicerList>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6">
    <tabColor theme="7" tint="0.39997558519241921"/>
  </sheetPr>
  <dimension ref="A1:N56"/>
  <sheetViews>
    <sheetView topLeftCell="A10" workbookViewId="0">
      <selection activeCell="H5" sqref="H5"/>
    </sheetView>
  </sheetViews>
  <sheetFormatPr baseColWidth="10" defaultColWidth="0" defaultRowHeight="15" customHeight="1" zeroHeight="1"/>
  <cols>
    <col min="1" max="11" width="11.453125" style="38" customWidth="1"/>
    <col min="12" max="16384" width="11.453125" hidden="1"/>
  </cols>
  <sheetData>
    <row r="1" spans="2:7" ht="15" customHeight="1"/>
    <row r="2" spans="2:7" ht="14.5">
      <c r="B2" s="107" t="s">
        <v>0</v>
      </c>
      <c r="C2" s="560">
        <f>Site!C2</f>
        <v>0</v>
      </c>
      <c r="D2" s="560"/>
      <c r="E2" s="560"/>
    </row>
    <row r="3" spans="2:7" ht="15" customHeight="1"/>
    <row r="4" spans="2:7" ht="15" customHeight="1"/>
    <row r="5" spans="2:7" ht="15" customHeight="1"/>
    <row r="6" spans="2:7" ht="15" customHeight="1">
      <c r="C6" s="562" t="s">
        <v>441</v>
      </c>
      <c r="D6" s="562"/>
      <c r="E6" s="562"/>
      <c r="F6" s="562"/>
      <c r="G6" s="562"/>
    </row>
    <row r="7" spans="2:7" ht="15" customHeight="1"/>
    <row r="8" spans="2:7" ht="15" customHeight="1"/>
    <row r="9" spans="2:7" ht="15" customHeight="1"/>
    <row r="10" spans="2:7" ht="15" customHeight="1"/>
    <row r="11" spans="2:7" ht="15" customHeight="1"/>
    <row r="12" spans="2:7" ht="15" customHeight="1"/>
    <row r="13" spans="2:7" ht="15" customHeight="1"/>
    <row r="14" spans="2:7" ht="15" customHeight="1"/>
    <row r="15" spans="2:7" ht="15" customHeight="1"/>
    <row r="16" spans="2:7" ht="15" customHeight="1"/>
    <row r="17" spans="3:14" ht="15" customHeight="1"/>
    <row r="18" spans="3:14" ht="15" customHeight="1"/>
    <row r="19" spans="3:14" ht="15" customHeight="1"/>
    <row r="20" spans="3:14" ht="15" customHeight="1"/>
    <row r="21" spans="3:14" ht="15" customHeight="1"/>
    <row r="22" spans="3:14" ht="15" customHeight="1"/>
    <row r="23" spans="3:14" ht="15" customHeight="1">
      <c r="C23" s="563" t="s">
        <v>442</v>
      </c>
      <c r="D23" s="563"/>
      <c r="E23" s="563"/>
      <c r="F23" s="563"/>
      <c r="G23" s="563"/>
    </row>
    <row r="24" spans="3:14" ht="15" customHeight="1"/>
    <row r="25" spans="3:14" ht="15" customHeight="1"/>
    <row r="26" spans="3:14" ht="14.5">
      <c r="I26" s="561"/>
      <c r="J26" s="561"/>
      <c r="K26" s="561"/>
      <c r="L26" s="561"/>
      <c r="M26" s="561"/>
      <c r="N26" s="561"/>
    </row>
    <row r="27" spans="3:14" ht="14.5">
      <c r="I27" s="561"/>
      <c r="J27" s="561"/>
      <c r="K27" s="561"/>
      <c r="L27" s="561"/>
      <c r="M27" s="561"/>
      <c r="N27" s="561"/>
    </row>
    <row r="28" spans="3:14" ht="14.5">
      <c r="I28" s="561"/>
      <c r="J28" s="561"/>
      <c r="K28" s="561"/>
      <c r="L28" s="561"/>
      <c r="M28" s="561"/>
      <c r="N28" s="561"/>
    </row>
    <row r="29" spans="3:14" ht="14.5">
      <c r="I29" s="561"/>
      <c r="J29" s="561"/>
      <c r="K29" s="561"/>
      <c r="L29" s="561"/>
      <c r="M29" s="561"/>
      <c r="N29" s="561"/>
    </row>
    <row r="30" spans="3:14" ht="20.25" customHeight="1">
      <c r="I30" s="561"/>
      <c r="J30" s="561"/>
      <c r="K30" s="561"/>
      <c r="L30" s="561"/>
      <c r="M30" s="561"/>
      <c r="N30" s="561"/>
    </row>
    <row r="31" spans="3:14" ht="14.5">
      <c r="I31" s="561"/>
      <c r="J31" s="561"/>
      <c r="K31" s="561"/>
      <c r="L31" s="561"/>
      <c r="M31" s="561"/>
      <c r="N31" s="561"/>
    </row>
    <row r="32" spans="3:14" ht="14.5">
      <c r="I32" s="561"/>
      <c r="J32" s="561"/>
      <c r="K32" s="561"/>
      <c r="L32" s="561"/>
      <c r="M32" s="561"/>
      <c r="N32" s="561"/>
    </row>
    <row r="33" spans="3:14" ht="14.5">
      <c r="I33" s="561"/>
      <c r="J33" s="561"/>
      <c r="K33" s="561"/>
      <c r="L33" s="561"/>
      <c r="M33" s="561"/>
      <c r="N33" s="561"/>
    </row>
    <row r="34" spans="3:14" ht="15" customHeight="1">
      <c r="I34" s="561"/>
      <c r="J34" s="561"/>
      <c r="K34" s="561"/>
      <c r="L34" s="561"/>
      <c r="M34" s="561"/>
      <c r="N34" s="561"/>
    </row>
    <row r="35" spans="3:14" ht="15" customHeight="1">
      <c r="I35" s="561"/>
      <c r="J35" s="561"/>
      <c r="K35" s="561"/>
      <c r="L35" s="561"/>
      <c r="M35" s="561"/>
      <c r="N35" s="561"/>
    </row>
    <row r="36" spans="3:14" ht="15" customHeight="1">
      <c r="I36" s="561"/>
      <c r="J36" s="561"/>
      <c r="K36" s="561"/>
      <c r="L36" s="561"/>
      <c r="M36" s="561"/>
      <c r="N36" s="561"/>
    </row>
    <row r="37" spans="3:14" ht="15" customHeight="1">
      <c r="I37" s="561"/>
      <c r="J37" s="561"/>
      <c r="K37" s="561"/>
      <c r="L37" s="561"/>
      <c r="M37" s="561"/>
      <c r="N37" s="561"/>
    </row>
    <row r="38" spans="3:14" ht="15" customHeight="1">
      <c r="I38" s="561"/>
      <c r="J38" s="561"/>
      <c r="K38" s="561"/>
      <c r="L38" s="561"/>
      <c r="M38" s="561"/>
      <c r="N38" s="561"/>
    </row>
    <row r="39" spans="3:14" ht="15" customHeight="1">
      <c r="I39" s="561"/>
      <c r="J39" s="561"/>
      <c r="K39" s="561"/>
      <c r="L39" s="561"/>
      <c r="M39" s="561"/>
      <c r="N39" s="561"/>
    </row>
    <row r="40" spans="3:14" ht="15" customHeight="1">
      <c r="C40" s="564" t="s">
        <v>443</v>
      </c>
      <c r="D40" s="564"/>
      <c r="E40" s="564"/>
      <c r="F40" s="564"/>
      <c r="G40" s="564"/>
      <c r="I40" s="561"/>
      <c r="J40" s="561"/>
      <c r="K40" s="561"/>
      <c r="L40" s="561"/>
      <c r="M40" s="561"/>
      <c r="N40" s="561"/>
    </row>
    <row r="41" spans="3:14" ht="15" customHeight="1">
      <c r="I41" s="561"/>
      <c r="J41" s="561"/>
      <c r="K41" s="561"/>
      <c r="L41" s="561"/>
      <c r="M41" s="561"/>
      <c r="N41" s="561"/>
    </row>
    <row r="42" spans="3:14" ht="15" customHeight="1"/>
    <row r="43" spans="3:14" ht="15" customHeight="1"/>
    <row r="44" spans="3:14" ht="15" customHeight="1"/>
    <row r="45" spans="3:14" ht="15" customHeight="1"/>
    <row r="46" spans="3:14" ht="15" customHeight="1"/>
    <row r="47" spans="3:14" ht="15" customHeight="1"/>
    <row r="48" spans="3:14" ht="15" customHeight="1"/>
    <row r="49" ht="15" customHeight="1"/>
    <row r="50" ht="15" customHeight="1"/>
    <row r="51" ht="15" customHeight="1"/>
    <row r="52" ht="15" customHeight="1"/>
    <row r="53" ht="15" customHeight="1"/>
    <row r="54" ht="15" customHeight="1"/>
    <row r="55" ht="15" customHeight="1"/>
    <row r="56" ht="15" customHeight="1"/>
  </sheetData>
  <sheetProtection sheet="1" pivotTables="0"/>
  <protectedRanges>
    <protectedRange sqref="C2:E2" name="Plage1"/>
  </protectedRanges>
  <mergeCells count="5">
    <mergeCell ref="C2:E2"/>
    <mergeCell ref="I26:N41"/>
    <mergeCell ref="C6:G6"/>
    <mergeCell ref="C23:G23"/>
    <mergeCell ref="C40:G40"/>
  </mergeCell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Drop Down 1">
              <controlPr defaultSize="0" autoLine="0" autoPict="0">
                <anchor moveWithCells="1">
                  <from>
                    <xdr:col>1</xdr:col>
                    <xdr:colOff>209550</xdr:colOff>
                    <xdr:row>2</xdr:row>
                    <xdr:rowOff>114300</xdr:rowOff>
                  </from>
                  <to>
                    <xdr:col>2</xdr:col>
                    <xdr:colOff>704850</xdr:colOff>
                    <xdr:row>3</xdr:row>
                    <xdr:rowOff>171450</xdr:rowOff>
                  </to>
                </anchor>
              </controlPr>
            </control>
          </mc:Choice>
        </mc:AlternateContent>
        <mc:AlternateContent xmlns:mc="http://schemas.openxmlformats.org/markup-compatibility/2006">
          <mc:Choice Requires="x14">
            <control shapeId="76802" r:id="rId5" name="Drop Down 2">
              <controlPr defaultSize="0" autoLine="0" autoPict="0">
                <anchor moveWithCells="1">
                  <from>
                    <xdr:col>4</xdr:col>
                    <xdr:colOff>590550</xdr:colOff>
                    <xdr:row>2</xdr:row>
                    <xdr:rowOff>114300</xdr:rowOff>
                  </from>
                  <to>
                    <xdr:col>6</xdr:col>
                    <xdr:colOff>304800</xdr:colOff>
                    <xdr:row>3</xdr:row>
                    <xdr:rowOff>171450</xdr:rowOff>
                  </to>
                </anchor>
              </controlPr>
            </control>
          </mc:Choice>
        </mc:AlternateContent>
        <mc:AlternateContent xmlns:mc="http://schemas.openxmlformats.org/markup-compatibility/2006">
          <mc:Choice Requires="x14">
            <control shapeId="76803" r:id="rId6" name="Drop Down 3">
              <controlPr defaultSize="0" autoLine="0" autoPict="0">
                <anchor moveWithCells="1">
                  <from>
                    <xdr:col>8</xdr:col>
                    <xdr:colOff>95250</xdr:colOff>
                    <xdr:row>18</xdr:row>
                    <xdr:rowOff>133350</xdr:rowOff>
                  </from>
                  <to>
                    <xdr:col>9</xdr:col>
                    <xdr:colOff>590550</xdr:colOff>
                    <xdr:row>19</xdr:row>
                    <xdr:rowOff>190500</xdr:rowOff>
                  </to>
                </anchor>
              </controlPr>
            </control>
          </mc:Choice>
        </mc:AlternateContent>
        <mc:AlternateContent xmlns:mc="http://schemas.openxmlformats.org/markup-compatibility/2006">
          <mc:Choice Requires="x14">
            <control shapeId="76804" r:id="rId7" name="Drop Down 4">
              <controlPr defaultSize="0" autoLine="0" autoPict="0">
                <anchor moveWithCells="1">
                  <from>
                    <xdr:col>8</xdr:col>
                    <xdr:colOff>95250</xdr:colOff>
                    <xdr:row>35</xdr:row>
                    <xdr:rowOff>114300</xdr:rowOff>
                  </from>
                  <to>
                    <xdr:col>9</xdr:col>
                    <xdr:colOff>590550</xdr:colOff>
                    <xdr:row>36</xdr:row>
                    <xdr:rowOff>171450</xdr:rowOff>
                  </to>
                </anchor>
              </controlPr>
            </control>
          </mc:Choice>
        </mc:AlternateContent>
      </controls>
    </mc:Choice>
  </mc:AlternateContent>
  <extLst>
    <ext xmlns:x14="http://schemas.microsoft.com/office/spreadsheetml/2009/9/main" uri="{A8765BA9-456A-4dab-B4F3-ACF838C121DE}">
      <x14:slicerList>
        <x14:slicer r:id="rId8"/>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tabColor theme="0"/>
  </sheetPr>
  <dimension ref="A1:AG422"/>
  <sheetViews>
    <sheetView topLeftCell="D1" workbookViewId="0">
      <selection activeCell="P1" sqref="P1"/>
    </sheetView>
  </sheetViews>
  <sheetFormatPr baseColWidth="10" defaultColWidth="11.453125" defaultRowHeight="14.5"/>
  <cols>
    <col min="6" max="6" width="9" customWidth="1"/>
    <col min="7" max="7" width="14.81640625" style="185" customWidth="1"/>
    <col min="16" max="16" width="20.1796875" bestFit="1" customWidth="1"/>
    <col min="17" max="17" width="25.7265625" bestFit="1" customWidth="1"/>
    <col min="18" max="20" width="11.81640625" bestFit="1" customWidth="1"/>
    <col min="21" max="21" width="4.81640625" bestFit="1" customWidth="1"/>
    <col min="22" max="22" width="20.1796875" bestFit="1" customWidth="1"/>
    <col min="23" max="23" width="27.54296875" bestFit="1" customWidth="1"/>
    <col min="24" max="26" width="11.81640625" bestFit="1" customWidth="1"/>
    <col min="27" max="27" width="12" bestFit="1" customWidth="1"/>
    <col min="28" max="32" width="11.81640625" bestFit="1" customWidth="1"/>
    <col min="33" max="143" width="12" bestFit="1" customWidth="1"/>
    <col min="144" max="144" width="12.54296875" bestFit="1" customWidth="1"/>
  </cols>
  <sheetData>
    <row r="1" spans="1:33">
      <c r="A1" t="s">
        <v>65</v>
      </c>
      <c r="B1">
        <v>15</v>
      </c>
      <c r="C1">
        <f>INDEX(Site!$B$8:$B$28,CalculSuiviMensuel!B1,1)</f>
        <v>2024</v>
      </c>
      <c r="G1" s="185" t="s">
        <v>66</v>
      </c>
      <c r="H1">
        <v>2</v>
      </c>
      <c r="P1" s="180" t="s">
        <v>19</v>
      </c>
      <c r="Q1" s="503" t="s" vm="7">
        <v>918</v>
      </c>
    </row>
    <row r="2" spans="1:33">
      <c r="A2" t="s">
        <v>67</v>
      </c>
      <c r="B2">
        <v>16</v>
      </c>
      <c r="C2">
        <f>INDEX(Site!$B$8:$B$28,CalculSuiviMensuel!B2,1)</f>
        <v>2025</v>
      </c>
      <c r="P2" s="461"/>
      <c r="Q2" s="461"/>
    </row>
    <row r="3" spans="1:33">
      <c r="B3" t="s">
        <v>7</v>
      </c>
      <c r="C3" t="s">
        <v>68</v>
      </c>
      <c r="D3" t="s">
        <v>69</v>
      </c>
      <c r="E3" t="s">
        <v>912</v>
      </c>
      <c r="F3" t="s">
        <v>71</v>
      </c>
      <c r="G3" s="185" t="s">
        <v>72</v>
      </c>
      <c r="H3" t="s">
        <v>913</v>
      </c>
      <c r="P3" s="180" t="s">
        <v>862</v>
      </c>
      <c r="Q3" s="180" t="s">
        <v>74</v>
      </c>
    </row>
    <row r="4" spans="1:33">
      <c r="B4">
        <f>$C$1</f>
        <v>2024</v>
      </c>
      <c r="C4">
        <v>1</v>
      </c>
      <c r="D4" t="s">
        <v>73</v>
      </c>
      <c r="E4" s="185">
        <f>GETPIVOTDATA("[Measures].[Somme de Conso_kWh_PCI]",$P$3,"[Tab_concat].[Dates (année)]","[Tab_concat].[Dates (année)].&amp;["&amp;$B4&amp;"]","[Tab_concat].[Dates (mois)]","[Tab_concat].[Dates (mois)].&amp;["&amp;$D4&amp;"]")/1000</f>
        <v>11.203137931034478</v>
      </c>
      <c r="F4">
        <f>GETPIVOTDATA("Somme de DJU(chauffagiste)",$P$92,"annee",B4,"mois_numero",C4)</f>
        <v>380</v>
      </c>
      <c r="G4" s="185">
        <f>GETPIVOTDATA("DJU(chauffagiste)",$V$92,"mois_numero",C4)</f>
        <v>383.35384615384618</v>
      </c>
      <c r="H4" s="121">
        <f>IF($H$1=1,E4*G4/F4,E4)</f>
        <v>11.203137931034478</v>
      </c>
      <c r="P4" s="180" t="s">
        <v>64</v>
      </c>
      <c r="Q4" s="503" t="s">
        <v>921</v>
      </c>
      <c r="R4" s="503" t="s">
        <v>909</v>
      </c>
      <c r="S4" s="503" t="s">
        <v>910</v>
      </c>
      <c r="T4" s="503" t="s">
        <v>861</v>
      </c>
      <c r="U4" s="503" t="s">
        <v>855</v>
      </c>
      <c r="V4" s="503" t="s">
        <v>856</v>
      </c>
      <c r="W4" s="503" t="s">
        <v>857</v>
      </c>
      <c r="X4" s="503" t="s">
        <v>858</v>
      </c>
      <c r="Y4" s="503" t="s">
        <v>859</v>
      </c>
      <c r="Z4" s="503" t="s">
        <v>860</v>
      </c>
      <c r="AA4" s="503" t="s">
        <v>847</v>
      </c>
      <c r="AB4" s="503" t="s">
        <v>848</v>
      </c>
      <c r="AC4" s="503" t="s">
        <v>849</v>
      </c>
      <c r="AD4" s="503" t="s">
        <v>850</v>
      </c>
      <c r="AE4" s="503" t="s">
        <v>851</v>
      </c>
      <c r="AF4" s="503" t="s">
        <v>852</v>
      </c>
      <c r="AG4" s="503" t="s">
        <v>89</v>
      </c>
    </row>
    <row r="5" spans="1:33">
      <c r="B5">
        <f t="shared" ref="B5:B15" si="0">$C$1</f>
        <v>2024</v>
      </c>
      <c r="C5">
        <v>2</v>
      </c>
      <c r="D5" s="89" t="s">
        <v>880</v>
      </c>
      <c r="E5" s="185">
        <f>GETPIVOTDATA("[Measures].[Somme de Conso_kWh_PCI]",$P$3,"[Tab_concat].[Dates (année)]","[Tab_concat].[Dates (année)].&amp;["&amp;$B5&amp;"]","[Tab_concat].[Dates (mois)]","[Tab_concat].[Dates (mois)].&amp;["&amp;$D5&amp;"]")/1000</f>
        <v>9.7414749721913232</v>
      </c>
      <c r="F5" s="461">
        <f t="shared" ref="F5:F27" si="1">GETPIVOTDATA("DJU(chauffagiste)",$P$92,"annee",B5,"mois_numero",C5)</f>
        <v>244</v>
      </c>
      <c r="G5" s="185">
        <f t="shared" ref="G5:G27" si="2">GETPIVOTDATA("DJU(chauffagiste)",$V$92,"mois_numero",C5)</f>
        <v>329.08</v>
      </c>
      <c r="H5" s="121">
        <f t="shared" ref="H5:H27" si="3">IF($H$1=1,E5*G5/F5,E5)</f>
        <v>9.7414749721913232</v>
      </c>
      <c r="P5" s="89" t="s">
        <v>73</v>
      </c>
      <c r="Q5" s="241">
        <v>0</v>
      </c>
      <c r="R5" s="241">
        <v>21897.999999999993</v>
      </c>
      <c r="S5" s="241">
        <v>25043.000000000004</v>
      </c>
      <c r="T5" s="241">
        <v>13736.999999999998</v>
      </c>
      <c r="U5" s="241">
        <v>13314.999999999991</v>
      </c>
      <c r="V5" s="241">
        <v>13907.999999999995</v>
      </c>
      <c r="W5" s="241">
        <v>12450.000000000005</v>
      </c>
      <c r="X5" s="241">
        <v>12593.999999999995</v>
      </c>
      <c r="Y5" s="241">
        <v>11597.999999999998</v>
      </c>
      <c r="Z5" s="241">
        <v>10640.999999999995</v>
      </c>
      <c r="AA5" s="241">
        <v>10496</v>
      </c>
      <c r="AB5" s="241">
        <v>11384.000000000004</v>
      </c>
      <c r="AC5" s="241">
        <v>10962.999999999998</v>
      </c>
      <c r="AD5" s="241">
        <v>10737.999999999995</v>
      </c>
      <c r="AE5" s="241">
        <v>11203.137931034478</v>
      </c>
      <c r="AF5" s="241">
        <v>10588.184331797243</v>
      </c>
      <c r="AG5" s="241">
        <v>200556.32226283196</v>
      </c>
    </row>
    <row r="6" spans="1:33">
      <c r="B6">
        <f t="shared" si="0"/>
        <v>2024</v>
      </c>
      <c r="C6">
        <v>3</v>
      </c>
      <c r="D6" t="s">
        <v>78</v>
      </c>
      <c r="E6" s="185">
        <f t="shared" ref="E6:E27" si="4">GETPIVOTDATA("[Measures].[Somme de Conso_kWh_PCI]",$P$3,"[Tab_concat].[Dates (année)]","[Tab_concat].[Dates (année)].&amp;["&amp;$B6&amp;"]","[Tab_concat].[Dates (mois)]","[Tab_concat].[Dates (mois)].&amp;["&amp;$D6&amp;"]")/1000</f>
        <v>10.081987096774194</v>
      </c>
      <c r="F6" s="461">
        <f t="shared" si="1"/>
        <v>253</v>
      </c>
      <c r="G6" s="185">
        <f t="shared" si="2"/>
        <v>284.72000000000003</v>
      </c>
      <c r="H6" s="121">
        <f t="shared" si="3"/>
        <v>10.081987096774194</v>
      </c>
      <c r="P6" s="89" t="s">
        <v>880</v>
      </c>
      <c r="Q6" s="241">
        <v>29989.999999999993</v>
      </c>
      <c r="R6" s="241">
        <v>21898</v>
      </c>
      <c r="S6" s="241">
        <v>20015.000000000007</v>
      </c>
      <c r="T6" s="241">
        <v>12963.000000000002</v>
      </c>
      <c r="U6" s="241">
        <v>12372.999999999996</v>
      </c>
      <c r="V6" s="241">
        <v>11610.999999999995</v>
      </c>
      <c r="W6" s="241">
        <v>12319</v>
      </c>
      <c r="X6" s="241">
        <v>10692.999999999996</v>
      </c>
      <c r="Y6" s="241">
        <v>10043.999999999998</v>
      </c>
      <c r="Z6" s="241">
        <v>9256</v>
      </c>
      <c r="AA6" s="241">
        <v>9637.9999999999945</v>
      </c>
      <c r="AB6" s="241">
        <v>9880.0000000000018</v>
      </c>
      <c r="AC6" s="241">
        <v>9943.9999999999982</v>
      </c>
      <c r="AD6" s="241">
        <v>10452</v>
      </c>
      <c r="AE6" s="241">
        <v>9741.4749721913231</v>
      </c>
      <c r="AF6" s="241">
        <v>9719.5898617511484</v>
      </c>
      <c r="AG6" s="241">
        <v>210537.06483394245</v>
      </c>
    </row>
    <row r="7" spans="1:33">
      <c r="B7">
        <f t="shared" si="0"/>
        <v>2024</v>
      </c>
      <c r="C7">
        <v>4</v>
      </c>
      <c r="D7" t="s">
        <v>80</v>
      </c>
      <c r="E7" s="185">
        <f t="shared" si="4"/>
        <v>9.6309483870967707</v>
      </c>
      <c r="F7" s="461">
        <f t="shared" si="1"/>
        <v>186</v>
      </c>
      <c r="G7" s="185">
        <f t="shared" si="2"/>
        <v>196.68</v>
      </c>
      <c r="H7" s="121">
        <f t="shared" si="3"/>
        <v>9.6309483870967707</v>
      </c>
      <c r="P7" s="89" t="s">
        <v>78</v>
      </c>
      <c r="Q7" s="241">
        <v>0</v>
      </c>
      <c r="R7" s="241">
        <v>21897.999999999993</v>
      </c>
      <c r="S7" s="241">
        <v>11332.000000000007</v>
      </c>
      <c r="T7" s="241">
        <v>12967.000000000005</v>
      </c>
      <c r="U7" s="241">
        <v>10301.000000000002</v>
      </c>
      <c r="V7" s="241">
        <v>12144.999999999995</v>
      </c>
      <c r="W7" s="241">
        <v>11148.000000000005</v>
      </c>
      <c r="X7" s="241">
        <v>11264.000000000002</v>
      </c>
      <c r="Y7" s="241">
        <v>10863</v>
      </c>
      <c r="Z7" s="241">
        <v>9501.9999999999927</v>
      </c>
      <c r="AA7" s="241">
        <v>9839.9999999999982</v>
      </c>
      <c r="AB7" s="241">
        <v>11041.000000000004</v>
      </c>
      <c r="AC7" s="241">
        <v>10326.999999999998</v>
      </c>
      <c r="AD7" s="241">
        <v>9544.9999999999982</v>
      </c>
      <c r="AE7" s="241">
        <v>10081.987096774194</v>
      </c>
      <c r="AF7" s="241">
        <v>10389.870967741937</v>
      </c>
      <c r="AG7" s="241">
        <v>172644.85806451595</v>
      </c>
    </row>
    <row r="8" spans="1:33">
      <c r="B8">
        <f t="shared" si="0"/>
        <v>2024</v>
      </c>
      <c r="C8">
        <v>5</v>
      </c>
      <c r="D8" t="s">
        <v>81</v>
      </c>
      <c r="E8" s="185">
        <f t="shared" si="4"/>
        <v>9.6033182795698924</v>
      </c>
      <c r="F8" s="461">
        <f t="shared" si="1"/>
        <v>102</v>
      </c>
      <c r="G8" s="185">
        <f t="shared" si="2"/>
        <v>116.56</v>
      </c>
      <c r="H8" s="121">
        <f t="shared" si="3"/>
        <v>9.6033182795698924</v>
      </c>
      <c r="P8" s="89" t="s">
        <v>80</v>
      </c>
      <c r="Q8" s="241">
        <v>13893.000000000007</v>
      </c>
      <c r="R8" s="241">
        <v>21897.999999999996</v>
      </c>
      <c r="S8" s="241">
        <v>11747.000000000007</v>
      </c>
      <c r="T8" s="241">
        <v>10120</v>
      </c>
      <c r="U8" s="241">
        <v>11726.999999999995</v>
      </c>
      <c r="V8" s="241">
        <v>9816</v>
      </c>
      <c r="W8" s="241">
        <v>10990.000000000002</v>
      </c>
      <c r="X8" s="241">
        <v>9971.0000000000018</v>
      </c>
      <c r="Y8" s="241">
        <v>9887.0000000000036</v>
      </c>
      <c r="Z8" s="241">
        <v>8814.0000000000018</v>
      </c>
      <c r="AA8" s="241">
        <v>9026.9999999999945</v>
      </c>
      <c r="AB8" s="241">
        <v>9328.9999999999964</v>
      </c>
      <c r="AC8" s="241">
        <v>9753.0000000000055</v>
      </c>
      <c r="AD8" s="241">
        <v>10110</v>
      </c>
      <c r="AE8" s="241">
        <v>9630.9483870967706</v>
      </c>
      <c r="AF8" s="241">
        <v>9101.2344086021476</v>
      </c>
      <c r="AG8" s="241">
        <v>175814.18279569899</v>
      </c>
    </row>
    <row r="9" spans="1:33">
      <c r="B9">
        <f t="shared" si="0"/>
        <v>2024</v>
      </c>
      <c r="C9">
        <v>6</v>
      </c>
      <c r="D9" t="s">
        <v>82</v>
      </c>
      <c r="E9" s="185">
        <f t="shared" si="4"/>
        <v>9.2743268817204338</v>
      </c>
      <c r="F9" s="461">
        <f t="shared" si="1"/>
        <v>60</v>
      </c>
      <c r="G9" s="185">
        <f t="shared" si="2"/>
        <v>46.56</v>
      </c>
      <c r="H9" s="121">
        <f t="shared" si="3"/>
        <v>9.2743268817204338</v>
      </c>
      <c r="P9" s="89" t="s">
        <v>81</v>
      </c>
      <c r="Q9" s="241">
        <v>7926.0000000000036</v>
      </c>
      <c r="R9" s="241">
        <v>7369.0000000000018</v>
      </c>
      <c r="S9" s="241">
        <v>10861.000000000002</v>
      </c>
      <c r="T9" s="241">
        <v>12279.000000000007</v>
      </c>
      <c r="U9" s="241">
        <v>10933.000000000004</v>
      </c>
      <c r="V9" s="241">
        <v>12245</v>
      </c>
      <c r="W9" s="241">
        <v>9755.0000000000036</v>
      </c>
      <c r="X9" s="241">
        <v>10410.000000000004</v>
      </c>
      <c r="Y9" s="241">
        <v>9179.0000000000018</v>
      </c>
      <c r="Z9" s="241">
        <v>6577.9999999999964</v>
      </c>
      <c r="AA9" s="241">
        <v>8873.9999999999945</v>
      </c>
      <c r="AB9" s="241">
        <v>9752.0000000000018</v>
      </c>
      <c r="AC9" s="241">
        <v>12355.000000000007</v>
      </c>
      <c r="AD9" s="241">
        <v>9402</v>
      </c>
      <c r="AE9" s="241">
        <v>9603.3182795698922</v>
      </c>
      <c r="AF9" s="241">
        <v>9752.50752688172</v>
      </c>
      <c r="AG9" s="241">
        <v>157273.82580645182</v>
      </c>
    </row>
    <row r="10" spans="1:33">
      <c r="B10">
        <f t="shared" si="0"/>
        <v>2024</v>
      </c>
      <c r="C10">
        <v>7</v>
      </c>
      <c r="D10" t="s">
        <v>83</v>
      </c>
      <c r="E10" s="185">
        <f t="shared" si="4"/>
        <v>12.161193548387102</v>
      </c>
      <c r="F10" s="461">
        <f t="shared" si="1"/>
        <v>28</v>
      </c>
      <c r="G10" s="185">
        <f t="shared" si="2"/>
        <v>27.88</v>
      </c>
      <c r="H10" s="121">
        <f t="shared" si="3"/>
        <v>12.161193548387102</v>
      </c>
      <c r="P10" s="89" t="s">
        <v>82</v>
      </c>
      <c r="Q10" s="241">
        <v>0</v>
      </c>
      <c r="R10" s="241">
        <v>5338.9999999999973</v>
      </c>
      <c r="S10" s="241">
        <v>9448.9999999999964</v>
      </c>
      <c r="T10" s="241">
        <v>9444.9999999999982</v>
      </c>
      <c r="U10" s="241">
        <v>9651</v>
      </c>
      <c r="V10" s="241">
        <v>8732</v>
      </c>
      <c r="W10" s="241">
        <v>9819</v>
      </c>
      <c r="X10" s="241">
        <v>9648.9999999999982</v>
      </c>
      <c r="Y10" s="241">
        <v>7749.0000000000036</v>
      </c>
      <c r="Z10" s="241">
        <v>7726.9999999999991</v>
      </c>
      <c r="AA10" s="241">
        <v>10057.999999999995</v>
      </c>
      <c r="AB10" s="241">
        <v>9573.0000000000055</v>
      </c>
      <c r="AC10" s="241">
        <v>16045.000000000007</v>
      </c>
      <c r="AD10" s="241">
        <v>9708.0000000000055</v>
      </c>
      <c r="AE10" s="241">
        <v>9274.3268817204334</v>
      </c>
      <c r="AF10" s="241">
        <v>10951.025806451609</v>
      </c>
      <c r="AG10" s="241">
        <v>143169.35268817213</v>
      </c>
    </row>
    <row r="11" spans="1:33">
      <c r="B11">
        <f t="shared" si="0"/>
        <v>2024</v>
      </c>
      <c r="C11">
        <v>8</v>
      </c>
      <c r="D11" t="s">
        <v>881</v>
      </c>
      <c r="E11" s="185">
        <f t="shared" si="4"/>
        <v>11.960612903225812</v>
      </c>
      <c r="F11" s="461">
        <f t="shared" si="1"/>
        <v>28</v>
      </c>
      <c r="G11" s="185">
        <f t="shared" si="2"/>
        <v>33.200000000000003</v>
      </c>
      <c r="H11" s="121">
        <f t="shared" si="3"/>
        <v>11.960612903225812</v>
      </c>
      <c r="P11" s="89" t="s">
        <v>83</v>
      </c>
      <c r="Q11" s="241">
        <v>9062.9999999999982</v>
      </c>
      <c r="R11" s="241">
        <v>5594.9999999999964</v>
      </c>
      <c r="S11" s="241">
        <v>7940.9999999999973</v>
      </c>
      <c r="T11" s="241">
        <v>10064</v>
      </c>
      <c r="U11" s="241">
        <v>9887.9999999999945</v>
      </c>
      <c r="V11" s="241">
        <v>10917.999999999996</v>
      </c>
      <c r="W11" s="241">
        <v>13516</v>
      </c>
      <c r="X11" s="241">
        <v>12992.000000000009</v>
      </c>
      <c r="Y11" s="241">
        <v>9714</v>
      </c>
      <c r="Z11" s="241">
        <v>9621</v>
      </c>
      <c r="AA11" s="241">
        <v>9825</v>
      </c>
      <c r="AB11" s="241">
        <v>9433.9999999999964</v>
      </c>
      <c r="AC11" s="241">
        <v>18586.000000000004</v>
      </c>
      <c r="AD11" s="241">
        <v>8372.9999999999982</v>
      </c>
      <c r="AE11" s="241">
        <v>12161.193548387102</v>
      </c>
      <c r="AF11" s="241">
        <v>13864.393548387086</v>
      </c>
      <c r="AG11" s="241">
        <v>171555.58709677454</v>
      </c>
    </row>
    <row r="12" spans="1:33">
      <c r="B12">
        <f t="shared" si="0"/>
        <v>2024</v>
      </c>
      <c r="C12">
        <v>9</v>
      </c>
      <c r="D12" t="s">
        <v>85</v>
      </c>
      <c r="E12" s="185">
        <f t="shared" si="4"/>
        <v>8.6197241379310334</v>
      </c>
      <c r="F12" s="461">
        <f t="shared" si="1"/>
        <v>78</v>
      </c>
      <c r="G12" s="185">
        <f t="shared" si="2"/>
        <v>73.28</v>
      </c>
      <c r="H12" s="121">
        <f t="shared" si="3"/>
        <v>8.6197241379310334</v>
      </c>
      <c r="P12" s="89" t="s">
        <v>881</v>
      </c>
      <c r="Q12" s="241">
        <v>0</v>
      </c>
      <c r="R12" s="241">
        <v>5338.9999999999964</v>
      </c>
      <c r="S12" s="241">
        <v>12462</v>
      </c>
      <c r="T12" s="241">
        <v>11313</v>
      </c>
      <c r="U12" s="241">
        <v>10735.999999999996</v>
      </c>
      <c r="V12" s="241">
        <v>10137</v>
      </c>
      <c r="W12" s="241">
        <v>5797</v>
      </c>
      <c r="X12" s="241">
        <v>8021.0000000000055</v>
      </c>
      <c r="Y12" s="241">
        <v>9974.0000000000055</v>
      </c>
      <c r="Z12" s="241">
        <v>8715.9999999999982</v>
      </c>
      <c r="AA12" s="241">
        <v>9591.9999999999982</v>
      </c>
      <c r="AB12" s="241">
        <v>9916.0000000000018</v>
      </c>
      <c r="AC12" s="241"/>
      <c r="AD12" s="241">
        <v>12122.000000000009</v>
      </c>
      <c r="AE12" s="241">
        <v>11960.612903225812</v>
      </c>
      <c r="AF12" s="241">
        <v>11776.258064516131</v>
      </c>
      <c r="AG12" s="241">
        <v>137861.8709677422</v>
      </c>
    </row>
    <row r="13" spans="1:33">
      <c r="B13">
        <f t="shared" si="0"/>
        <v>2024</v>
      </c>
      <c r="C13">
        <v>10</v>
      </c>
      <c r="D13" t="s">
        <v>86</v>
      </c>
      <c r="E13" s="185">
        <f t="shared" si="4"/>
        <v>9.8971425287356318</v>
      </c>
      <c r="F13" s="461">
        <f t="shared" si="1"/>
        <v>119</v>
      </c>
      <c r="G13" s="185">
        <f t="shared" si="2"/>
        <v>147.16</v>
      </c>
      <c r="H13" s="121">
        <f t="shared" si="3"/>
        <v>9.8971425287356318</v>
      </c>
      <c r="P13" s="89" t="s">
        <v>85</v>
      </c>
      <c r="Q13" s="241">
        <v>4631.0000000000027</v>
      </c>
      <c r="R13" s="241">
        <v>7933.9999999999936</v>
      </c>
      <c r="S13" s="241">
        <v>8041.0000000000064</v>
      </c>
      <c r="T13" s="241">
        <v>10150</v>
      </c>
      <c r="U13" s="241">
        <v>9412.9999999999945</v>
      </c>
      <c r="V13" s="241">
        <v>12563.999999999995</v>
      </c>
      <c r="W13" s="241">
        <v>9474</v>
      </c>
      <c r="X13" s="241">
        <v>10112.000000000004</v>
      </c>
      <c r="Y13" s="241">
        <v>8373.9999999999982</v>
      </c>
      <c r="Z13" s="241">
        <v>7706.0000000000027</v>
      </c>
      <c r="AA13" s="241">
        <v>6843.9999999999973</v>
      </c>
      <c r="AB13" s="241">
        <v>9453.9999999999982</v>
      </c>
      <c r="AC13" s="241">
        <v>11002.000000000005</v>
      </c>
      <c r="AD13" s="241">
        <v>12670.000000000004</v>
      </c>
      <c r="AE13" s="241">
        <v>8619.7241379310326</v>
      </c>
      <c r="AF13" s="241">
        <v>9703.8150537634447</v>
      </c>
      <c r="AG13" s="241">
        <v>146692.53919169461</v>
      </c>
    </row>
    <row r="14" spans="1:33">
      <c r="B14">
        <f t="shared" si="0"/>
        <v>2024</v>
      </c>
      <c r="C14">
        <v>11</v>
      </c>
      <c r="D14" t="s">
        <v>87</v>
      </c>
      <c r="E14" s="185">
        <f t="shared" si="4"/>
        <v>9.9885849462365641</v>
      </c>
      <c r="F14" s="461">
        <f t="shared" si="1"/>
        <v>266</v>
      </c>
      <c r="G14" s="185">
        <f t="shared" si="2"/>
        <v>269.83999999999997</v>
      </c>
      <c r="H14" s="121">
        <f t="shared" si="3"/>
        <v>9.9885849462365641</v>
      </c>
      <c r="P14" s="89" t="s">
        <v>86</v>
      </c>
      <c r="Q14" s="241">
        <v>10031.000000000002</v>
      </c>
      <c r="R14" s="241">
        <v>11844</v>
      </c>
      <c r="S14" s="241">
        <v>10532.000000000005</v>
      </c>
      <c r="T14" s="241">
        <v>11130.000000000007</v>
      </c>
      <c r="U14" s="241">
        <v>11444.000000000004</v>
      </c>
      <c r="V14" s="241">
        <v>8328.0000000000036</v>
      </c>
      <c r="W14" s="241">
        <v>10317.000000000004</v>
      </c>
      <c r="X14" s="241">
        <v>7928.0000000000055</v>
      </c>
      <c r="Y14" s="241">
        <v>9749.0000000000073</v>
      </c>
      <c r="Z14" s="241">
        <v>9794</v>
      </c>
      <c r="AA14" s="241">
        <v>10208.999999999996</v>
      </c>
      <c r="AB14" s="241">
        <v>10111.000000000002</v>
      </c>
      <c r="AC14" s="241">
        <v>9763.9999999999964</v>
      </c>
      <c r="AD14" s="241">
        <v>11457</v>
      </c>
      <c r="AE14" s="241">
        <v>9897.1425287356324</v>
      </c>
      <c r="AF14" s="241">
        <v>10319.42564102564</v>
      </c>
      <c r="AG14" s="241">
        <v>162854.56816976098</v>
      </c>
    </row>
    <row r="15" spans="1:33">
      <c r="B15">
        <f t="shared" si="0"/>
        <v>2024</v>
      </c>
      <c r="C15">
        <v>12</v>
      </c>
      <c r="D15" t="s">
        <v>882</v>
      </c>
      <c r="E15" s="185">
        <f t="shared" si="4"/>
        <v>10.577935483870974</v>
      </c>
      <c r="F15" s="461">
        <f t="shared" si="1"/>
        <v>346</v>
      </c>
      <c r="G15" s="185">
        <f t="shared" si="2"/>
        <v>367.8</v>
      </c>
      <c r="H15" s="121">
        <f t="shared" si="3"/>
        <v>10.577935483870974</v>
      </c>
      <c r="P15" s="89" t="s">
        <v>87</v>
      </c>
      <c r="Q15" s="241">
        <v>21390</v>
      </c>
      <c r="R15" s="241">
        <v>21109.000000000011</v>
      </c>
      <c r="S15" s="241">
        <v>14913.000000000007</v>
      </c>
      <c r="T15" s="241">
        <v>13793.999999999993</v>
      </c>
      <c r="U15" s="241">
        <v>12316</v>
      </c>
      <c r="V15" s="241">
        <v>11181.000000000004</v>
      </c>
      <c r="W15" s="241">
        <v>11587.999999999995</v>
      </c>
      <c r="X15" s="241">
        <v>11812.999999999995</v>
      </c>
      <c r="Y15" s="241">
        <v>9922.0000000000055</v>
      </c>
      <c r="Z15" s="241">
        <v>10173.999999999998</v>
      </c>
      <c r="AA15" s="241">
        <v>9016.0000000000055</v>
      </c>
      <c r="AB15" s="241">
        <v>10012.999999999995</v>
      </c>
      <c r="AC15" s="241">
        <v>9983.9999999999982</v>
      </c>
      <c r="AD15" s="241">
        <v>9662.0000000000036</v>
      </c>
      <c r="AE15" s="241">
        <v>9988.5849462365641</v>
      </c>
      <c r="AF15" s="241">
        <v>9763.8461538461524</v>
      </c>
      <c r="AG15" s="241">
        <v>196627.43110008311</v>
      </c>
    </row>
    <row r="16" spans="1:33">
      <c r="B16">
        <f>$C$2</f>
        <v>2025</v>
      </c>
      <c r="C16">
        <v>1</v>
      </c>
      <c r="D16" s="461" t="s">
        <v>73</v>
      </c>
      <c r="E16" s="185">
        <f t="shared" si="4"/>
        <v>10.588184331797244</v>
      </c>
      <c r="F16" s="461">
        <f t="shared" si="1"/>
        <v>407</v>
      </c>
      <c r="G16" s="185">
        <f t="shared" si="2"/>
        <v>383.35384615384618</v>
      </c>
      <c r="H16" s="121">
        <f t="shared" si="3"/>
        <v>10.588184331797244</v>
      </c>
      <c r="I16" s="184">
        <f>(H16-H4)/H4</f>
        <v>-5.4891192362607123E-2</v>
      </c>
      <c r="P16" s="89" t="s">
        <v>882</v>
      </c>
      <c r="Q16" s="241">
        <v>0</v>
      </c>
      <c r="R16" s="241">
        <v>24543.000000000007</v>
      </c>
      <c r="S16" s="241">
        <v>14077.999999999998</v>
      </c>
      <c r="T16" s="241">
        <v>10387</v>
      </c>
      <c r="U16" s="241">
        <v>9830.0000000000036</v>
      </c>
      <c r="V16" s="241">
        <v>11264.000000000002</v>
      </c>
      <c r="W16" s="241">
        <v>12365.999999999993</v>
      </c>
      <c r="X16" s="241">
        <v>12103.000000000002</v>
      </c>
      <c r="Y16" s="241">
        <v>0</v>
      </c>
      <c r="Z16" s="241">
        <v>10563.000000000005</v>
      </c>
      <c r="AA16" s="241">
        <v>10987</v>
      </c>
      <c r="AB16" s="241">
        <v>11049</v>
      </c>
      <c r="AC16" s="241">
        <v>6635.9999999999991</v>
      </c>
      <c r="AD16" s="241">
        <v>9743.9999999999964</v>
      </c>
      <c r="AE16" s="241">
        <v>10577.935483870973</v>
      </c>
      <c r="AF16" s="241">
        <v>11728.461538461539</v>
      </c>
      <c r="AG16" s="241">
        <v>165856.397022333</v>
      </c>
    </row>
    <row r="17" spans="2:33">
      <c r="B17">
        <f t="shared" ref="B17:B27" si="5">$C$2</f>
        <v>2025</v>
      </c>
      <c r="C17">
        <v>2</v>
      </c>
      <c r="D17" s="89" t="s">
        <v>880</v>
      </c>
      <c r="E17" s="185">
        <f t="shared" si="4"/>
        <v>9.7195898617511478</v>
      </c>
      <c r="F17" s="461">
        <f t="shared" si="1"/>
        <v>329</v>
      </c>
      <c r="G17" s="185">
        <f t="shared" si="2"/>
        <v>329.08</v>
      </c>
      <c r="H17" s="121">
        <f t="shared" si="3"/>
        <v>9.7195898617511478</v>
      </c>
      <c r="I17" s="184">
        <f t="shared" ref="I17:I27" si="6">(H17-H5)/H5</f>
        <v>-2.2465910452626634E-3</v>
      </c>
      <c r="P17" s="89" t="s">
        <v>89</v>
      </c>
      <c r="Q17" s="241">
        <v>96923.999999999971</v>
      </c>
      <c r="R17" s="241">
        <v>176664.00000000012</v>
      </c>
      <c r="S17" s="241">
        <v>156413.99999999983</v>
      </c>
      <c r="T17" s="241">
        <v>138348.99999999997</v>
      </c>
      <c r="U17" s="241">
        <v>131926.99999999974</v>
      </c>
      <c r="V17" s="241">
        <v>132848.99999999983</v>
      </c>
      <c r="W17" s="241">
        <v>129539.00000000025</v>
      </c>
      <c r="X17" s="241">
        <v>127550.00000000026</v>
      </c>
      <c r="Y17" s="241">
        <v>107052.99999999981</v>
      </c>
      <c r="Z17" s="241">
        <v>109092.00000000023</v>
      </c>
      <c r="AA17" s="241">
        <v>114406.00000000009</v>
      </c>
      <c r="AB17" s="241">
        <v>120936.00000000015</v>
      </c>
      <c r="AC17" s="241">
        <v>125358.99999999997</v>
      </c>
      <c r="AD17" s="241">
        <v>123982.99999999985</v>
      </c>
      <c r="AE17" s="241">
        <v>122740.38709677407</v>
      </c>
      <c r="AF17" s="241">
        <v>127658.61290322569</v>
      </c>
      <c r="AG17" s="241">
        <v>2041444.0000000214</v>
      </c>
    </row>
    <row r="18" spans="2:33">
      <c r="B18">
        <f t="shared" si="5"/>
        <v>2025</v>
      </c>
      <c r="C18">
        <v>3</v>
      </c>
      <c r="D18" s="461" t="s">
        <v>78</v>
      </c>
      <c r="E18" s="185">
        <f t="shared" si="4"/>
        <v>10.389870967741938</v>
      </c>
      <c r="F18" s="461">
        <f t="shared" si="1"/>
        <v>260</v>
      </c>
      <c r="G18" s="185">
        <f t="shared" si="2"/>
        <v>284.72000000000003</v>
      </c>
      <c r="H18" s="121">
        <f t="shared" si="3"/>
        <v>10.389870967741938</v>
      </c>
      <c r="I18" s="184">
        <f t="shared" si="6"/>
        <v>3.0538014779472811E-2</v>
      </c>
    </row>
    <row r="19" spans="2:33">
      <c r="B19">
        <f t="shared" si="5"/>
        <v>2025</v>
      </c>
      <c r="C19">
        <v>4</v>
      </c>
      <c r="D19" s="461" t="s">
        <v>80</v>
      </c>
      <c r="E19" s="185">
        <f t="shared" si="4"/>
        <v>9.1012344086021475</v>
      </c>
      <c r="F19" s="461">
        <f t="shared" si="1"/>
        <v>142</v>
      </c>
      <c r="G19" s="185">
        <f t="shared" si="2"/>
        <v>196.68</v>
      </c>
      <c r="H19" s="121">
        <f t="shared" si="3"/>
        <v>9.1012344086021475</v>
      </c>
      <c r="I19" s="184">
        <f t="shared" si="6"/>
        <v>-5.5001227003180359E-2</v>
      </c>
    </row>
    <row r="20" spans="2:33">
      <c r="B20">
        <f t="shared" si="5"/>
        <v>2025</v>
      </c>
      <c r="C20">
        <v>5</v>
      </c>
      <c r="D20" s="461" t="s">
        <v>81</v>
      </c>
      <c r="E20" s="185">
        <f t="shared" si="4"/>
        <v>9.7525075268817201</v>
      </c>
      <c r="F20" s="461">
        <f t="shared" si="1"/>
        <v>91</v>
      </c>
      <c r="G20" s="185">
        <f t="shared" si="2"/>
        <v>116.56</v>
      </c>
      <c r="H20" s="121">
        <f t="shared" si="3"/>
        <v>9.7525075268817201</v>
      </c>
      <c r="I20" s="184">
        <f t="shared" si="6"/>
        <v>1.5535176797088256E-2</v>
      </c>
    </row>
    <row r="21" spans="2:33">
      <c r="B21">
        <f t="shared" si="5"/>
        <v>2025</v>
      </c>
      <c r="C21">
        <v>6</v>
      </c>
      <c r="D21" s="461" t="s">
        <v>82</v>
      </c>
      <c r="E21" s="185">
        <f t="shared" si="4"/>
        <v>10.951025806451609</v>
      </c>
      <c r="F21" s="461">
        <f t="shared" si="1"/>
        <v>24</v>
      </c>
      <c r="G21" s="185">
        <f t="shared" si="2"/>
        <v>46.56</v>
      </c>
      <c r="H21" s="121">
        <f t="shared" si="3"/>
        <v>10.951025806451609</v>
      </c>
      <c r="I21" s="184">
        <f t="shared" si="6"/>
        <v>0.18078928488448309</v>
      </c>
    </row>
    <row r="22" spans="2:33">
      <c r="B22">
        <f t="shared" si="5"/>
        <v>2025</v>
      </c>
      <c r="C22">
        <v>7</v>
      </c>
      <c r="D22" s="461" t="s">
        <v>83</v>
      </c>
      <c r="E22" s="185">
        <f t="shared" si="4"/>
        <v>13.864393548387087</v>
      </c>
      <c r="F22" s="461">
        <f t="shared" si="1"/>
        <v>18</v>
      </c>
      <c r="G22" s="185">
        <f t="shared" si="2"/>
        <v>27.88</v>
      </c>
      <c r="H22" s="121">
        <f t="shared" si="3"/>
        <v>13.864393548387087</v>
      </c>
      <c r="I22" s="184">
        <f t="shared" si="6"/>
        <v>0.14005204285445111</v>
      </c>
    </row>
    <row r="23" spans="2:33">
      <c r="B23">
        <f t="shared" si="5"/>
        <v>2025</v>
      </c>
      <c r="C23">
        <v>8</v>
      </c>
      <c r="D23" s="461" t="s">
        <v>881</v>
      </c>
      <c r="E23" s="185">
        <f t="shared" si="4"/>
        <v>11.776258064516131</v>
      </c>
      <c r="F23" s="461">
        <f t="shared" si="1"/>
        <v>22</v>
      </c>
      <c r="G23" s="185">
        <f t="shared" si="2"/>
        <v>33.200000000000003</v>
      </c>
      <c r="H23" s="121">
        <f t="shared" si="3"/>
        <v>11.776258064516131</v>
      </c>
      <c r="I23" s="184">
        <f t="shared" si="6"/>
        <v>-1.5413494291748146E-2</v>
      </c>
    </row>
    <row r="24" spans="2:33">
      <c r="B24">
        <f t="shared" si="5"/>
        <v>2025</v>
      </c>
      <c r="C24">
        <v>9</v>
      </c>
      <c r="D24" s="461" t="s">
        <v>85</v>
      </c>
      <c r="E24" s="185">
        <f t="shared" si="4"/>
        <v>9.703815053763444</v>
      </c>
      <c r="F24" s="461">
        <f t="shared" si="1"/>
        <v>73</v>
      </c>
      <c r="G24" s="185">
        <f t="shared" si="2"/>
        <v>73.28</v>
      </c>
      <c r="H24" s="121">
        <f t="shared" si="3"/>
        <v>9.703815053763444</v>
      </c>
      <c r="I24" s="184">
        <f t="shared" si="6"/>
        <v>0.12576863232337987</v>
      </c>
    </row>
    <row r="25" spans="2:33">
      <c r="B25">
        <f t="shared" si="5"/>
        <v>2025</v>
      </c>
      <c r="C25">
        <v>10</v>
      </c>
      <c r="D25" s="461" t="s">
        <v>86</v>
      </c>
      <c r="E25" s="185">
        <f t="shared" si="4"/>
        <v>10.31942564102564</v>
      </c>
      <c r="F25" s="461">
        <f t="shared" si="1"/>
        <v>140</v>
      </c>
      <c r="G25" s="185">
        <f t="shared" si="2"/>
        <v>147.16</v>
      </c>
      <c r="H25" s="121">
        <f t="shared" si="3"/>
        <v>10.31942564102564</v>
      </c>
      <c r="I25" s="184">
        <f t="shared" si="6"/>
        <v>4.2667175001667439E-2</v>
      </c>
    </row>
    <row r="26" spans="2:33">
      <c r="B26">
        <f t="shared" si="5"/>
        <v>2025</v>
      </c>
      <c r="C26">
        <v>11</v>
      </c>
      <c r="D26" s="461" t="s">
        <v>87</v>
      </c>
      <c r="E26" s="185">
        <f t="shared" si="4"/>
        <v>9.7638461538461527</v>
      </c>
      <c r="F26" s="461">
        <f t="shared" si="1"/>
        <v>231</v>
      </c>
      <c r="G26" s="185">
        <f t="shared" si="2"/>
        <v>269.83999999999997</v>
      </c>
      <c r="H26" s="121">
        <f t="shared" si="3"/>
        <v>9.7638461538461527</v>
      </c>
      <c r="I26" s="184">
        <f t="shared" si="6"/>
        <v>-2.2499562610726664E-2</v>
      </c>
    </row>
    <row r="27" spans="2:33">
      <c r="B27">
        <f t="shared" si="5"/>
        <v>2025</v>
      </c>
      <c r="C27">
        <v>12</v>
      </c>
      <c r="D27" s="461" t="s">
        <v>882</v>
      </c>
      <c r="E27" s="185">
        <f t="shared" si="4"/>
        <v>11.72846153846154</v>
      </c>
      <c r="F27" s="461">
        <f t="shared" si="1"/>
        <v>309</v>
      </c>
      <c r="G27" s="185">
        <f t="shared" si="2"/>
        <v>367.8</v>
      </c>
      <c r="H27" s="121">
        <f t="shared" si="3"/>
        <v>11.72846153846154</v>
      </c>
      <c r="I27" s="184">
        <f t="shared" si="6"/>
        <v>0.10876659782477076</v>
      </c>
      <c r="P27" s="180" t="s">
        <v>19</v>
      </c>
      <c r="Q27" s="503" t="s" vm="8">
        <v>919</v>
      </c>
      <c r="R27" s="461"/>
      <c r="S27" s="461"/>
      <c r="T27" s="461"/>
      <c r="U27" s="461"/>
      <c r="V27" s="461"/>
      <c r="W27" s="461"/>
      <c r="X27" s="461"/>
      <c r="Y27" s="461"/>
      <c r="Z27" s="461"/>
      <c r="AA27" s="461"/>
      <c r="AB27" s="461"/>
      <c r="AC27" s="461"/>
      <c r="AD27" s="461"/>
      <c r="AE27" s="461"/>
    </row>
    <row r="28" spans="2:33">
      <c r="P28" s="461"/>
      <c r="Q28" s="461"/>
      <c r="R28" s="461"/>
      <c r="S28" s="461"/>
      <c r="T28" s="461"/>
      <c r="U28" s="461"/>
      <c r="V28" s="461"/>
      <c r="W28" s="461"/>
      <c r="X28" s="461"/>
      <c r="Y28" s="461"/>
      <c r="Z28" s="461"/>
      <c r="AA28" s="461"/>
      <c r="AB28" s="461"/>
      <c r="AC28" s="461"/>
      <c r="AD28" s="461"/>
      <c r="AE28" s="461"/>
    </row>
    <row r="29" spans="2:33">
      <c r="P29" s="180" t="s">
        <v>862</v>
      </c>
      <c r="Q29" s="180" t="s">
        <v>74</v>
      </c>
    </row>
    <row r="30" spans="2:33">
      <c r="P30" s="180" t="s">
        <v>64</v>
      </c>
      <c r="Q30" s="503" t="s">
        <v>921</v>
      </c>
      <c r="R30" s="503" t="s">
        <v>909</v>
      </c>
      <c r="S30" s="503" t="s">
        <v>910</v>
      </c>
      <c r="T30" s="503" t="s">
        <v>861</v>
      </c>
      <c r="U30" s="503" t="s">
        <v>855</v>
      </c>
      <c r="V30" s="503" t="s">
        <v>856</v>
      </c>
      <c r="W30" s="503" t="s">
        <v>857</v>
      </c>
      <c r="X30" s="503" t="s">
        <v>858</v>
      </c>
      <c r="Y30" s="503" t="s">
        <v>859</v>
      </c>
      <c r="Z30" s="503" t="s">
        <v>860</v>
      </c>
      <c r="AA30" s="503" t="s">
        <v>847</v>
      </c>
      <c r="AB30" s="503" t="s">
        <v>848</v>
      </c>
      <c r="AC30" s="503" t="s">
        <v>849</v>
      </c>
      <c r="AD30" s="503" t="s">
        <v>850</v>
      </c>
      <c r="AE30" s="503" t="s">
        <v>851</v>
      </c>
      <c r="AF30" s="503" t="s">
        <v>852</v>
      </c>
      <c r="AG30" s="503" t="s">
        <v>89</v>
      </c>
    </row>
    <row r="31" spans="2:33">
      <c r="P31" s="89" t="s">
        <v>73</v>
      </c>
      <c r="Q31" s="241">
        <v>73475.675675675695</v>
      </c>
      <c r="R31" s="241">
        <v>7159.4594594594573</v>
      </c>
      <c r="S31" s="241">
        <v>12298.198198198197</v>
      </c>
      <c r="T31" s="241">
        <v>71388.288288288313</v>
      </c>
      <c r="U31" s="241">
        <v>82632.43243243247</v>
      </c>
      <c r="V31" s="241">
        <v>76426.126126126139</v>
      </c>
      <c r="W31" s="241">
        <v>100860.36036036041</v>
      </c>
      <c r="X31" s="241">
        <v>103468.46846846848</v>
      </c>
      <c r="Y31" s="241">
        <v>117078.37837837833</v>
      </c>
      <c r="Z31" s="241">
        <v>39463.063063063069</v>
      </c>
      <c r="AA31" s="241">
        <v>51868.46846846844</v>
      </c>
      <c r="AB31" s="241">
        <v>63232.432432432455</v>
      </c>
      <c r="AC31" s="241">
        <v>57392.792792792774</v>
      </c>
      <c r="AD31" s="241">
        <v>43590.526009880865</v>
      </c>
      <c r="AE31" s="241">
        <v>48322.871258355131</v>
      </c>
      <c r="AF31" s="241">
        <v>51044.144144144149</v>
      </c>
      <c r="AG31" s="241">
        <v>999701.6855565242</v>
      </c>
    </row>
    <row r="32" spans="2:33">
      <c r="P32" s="89" t="s">
        <v>880</v>
      </c>
      <c r="Q32" s="241">
        <v>0</v>
      </c>
      <c r="R32" s="241">
        <v>0</v>
      </c>
      <c r="S32" s="241">
        <v>0</v>
      </c>
      <c r="T32" s="241">
        <v>0</v>
      </c>
      <c r="U32" s="241">
        <v>0</v>
      </c>
      <c r="V32" s="241">
        <v>0</v>
      </c>
      <c r="W32" s="241">
        <v>0</v>
      </c>
      <c r="X32" s="241">
        <v>0</v>
      </c>
      <c r="Y32" s="241">
        <v>0</v>
      </c>
      <c r="Z32" s="241">
        <v>48994.594594594608</v>
      </c>
      <c r="AA32" s="241">
        <v>41761.261261261265</v>
      </c>
      <c r="AB32" s="241">
        <v>51610.810810810857</v>
      </c>
      <c r="AC32" s="241">
        <v>4183.7837837837869</v>
      </c>
      <c r="AD32" s="241">
        <v>38282.127288578886</v>
      </c>
      <c r="AE32" s="241">
        <v>31680.37459038572</v>
      </c>
      <c r="AF32" s="241">
        <v>41575.675675675673</v>
      </c>
      <c r="AG32" s="241">
        <v>258088.62800509122</v>
      </c>
    </row>
    <row r="33" spans="2:33">
      <c r="P33" s="89" t="s">
        <v>78</v>
      </c>
      <c r="Q33" s="241">
        <v>81145.945945945976</v>
      </c>
      <c r="R33" s="241">
        <v>7680.1801801801812</v>
      </c>
      <c r="S33" s="241">
        <v>13384.684684684689</v>
      </c>
      <c r="T33" s="241">
        <v>76574.774774774793</v>
      </c>
      <c r="U33" s="241">
        <v>94040.540540540576</v>
      </c>
      <c r="V33" s="241">
        <v>86976.576576576597</v>
      </c>
      <c r="W33" s="241">
        <v>107704.50450450453</v>
      </c>
      <c r="X33" s="241">
        <v>108278.37837837831</v>
      </c>
      <c r="Y33" s="241">
        <v>122932.43243243253</v>
      </c>
      <c r="Z33" s="241">
        <v>37426.126126126132</v>
      </c>
      <c r="AA33" s="241">
        <v>38445.945945945947</v>
      </c>
      <c r="AB33" s="241">
        <v>44630.630630630651</v>
      </c>
      <c r="AC33" s="241">
        <v>16734.234234234224</v>
      </c>
      <c r="AD33" s="241">
        <v>34746.706081081087</v>
      </c>
      <c r="AE33" s="241">
        <v>28280.247321849085</v>
      </c>
      <c r="AF33" s="241">
        <v>34522.522522522515</v>
      </c>
      <c r="AG33" s="241">
        <v>933504.43088040664</v>
      </c>
    </row>
    <row r="34" spans="2:33">
      <c r="P34" s="89" t="s">
        <v>80</v>
      </c>
      <c r="Q34" s="241">
        <v>0</v>
      </c>
      <c r="R34" s="241">
        <v>0</v>
      </c>
      <c r="S34" s="241">
        <v>0</v>
      </c>
      <c r="T34" s="241">
        <v>0</v>
      </c>
      <c r="U34" s="241">
        <v>0</v>
      </c>
      <c r="V34" s="241">
        <v>0</v>
      </c>
      <c r="W34" s="241">
        <v>0</v>
      </c>
      <c r="X34" s="241">
        <v>0</v>
      </c>
      <c r="Y34" s="241">
        <v>0</v>
      </c>
      <c r="Z34" s="241">
        <v>34145.945945945961</v>
      </c>
      <c r="AA34" s="241">
        <v>24551.351351351368</v>
      </c>
      <c r="AB34" s="241">
        <v>35677.477477477471</v>
      </c>
      <c r="AC34" s="241">
        <v>112606.30630630639</v>
      </c>
      <c r="AD34" s="241">
        <v>23976.867492492507</v>
      </c>
      <c r="AE34" s="241">
        <v>19576.559139784942</v>
      </c>
      <c r="AF34" s="241">
        <v>18226.126126126121</v>
      </c>
      <c r="AG34" s="241">
        <v>268760.63383948529</v>
      </c>
    </row>
    <row r="35" spans="2:33">
      <c r="G35" s="185" t="s">
        <v>66</v>
      </c>
      <c r="H35">
        <v>1</v>
      </c>
      <c r="P35" s="89" t="s">
        <v>81</v>
      </c>
      <c r="Q35" s="241"/>
      <c r="R35" s="241">
        <v>19779.279279279282</v>
      </c>
      <c r="S35" s="241">
        <v>170707.20720720736</v>
      </c>
      <c r="T35" s="241">
        <v>96092.792792792738</v>
      </c>
      <c r="U35" s="241">
        <v>44018.018018017996</v>
      </c>
      <c r="V35" s="241">
        <v>66305.405405405429</v>
      </c>
      <c r="W35" s="241">
        <v>30584.684684684682</v>
      </c>
      <c r="X35" s="241">
        <v>61666.666666666701</v>
      </c>
      <c r="Y35" s="241">
        <v>43542.342342342352</v>
      </c>
      <c r="Z35" s="241">
        <v>27147.747747747744</v>
      </c>
      <c r="AA35" s="241">
        <v>15445.045045045041</v>
      </c>
      <c r="AB35" s="241">
        <v>26696.396396396383</v>
      </c>
      <c r="AC35" s="241">
        <v>27634.234234234227</v>
      </c>
      <c r="AD35" s="241">
        <v>10007.841712680427</v>
      </c>
      <c r="AE35" s="241">
        <v>13178.221447253705</v>
      </c>
      <c r="AF35" s="241">
        <v>9664.8648648648705</v>
      </c>
      <c r="AG35" s="241">
        <v>662470.74784462305</v>
      </c>
    </row>
    <row r="36" spans="2:33">
      <c r="P36" s="89" t="s">
        <v>82</v>
      </c>
      <c r="Q36" s="241">
        <v>0</v>
      </c>
      <c r="R36" s="241">
        <v>0</v>
      </c>
      <c r="S36" s="241">
        <v>0</v>
      </c>
      <c r="T36" s="241">
        <v>0</v>
      </c>
      <c r="U36" s="241">
        <v>0</v>
      </c>
      <c r="V36" s="241">
        <v>0</v>
      </c>
      <c r="W36" s="241">
        <v>0</v>
      </c>
      <c r="X36" s="241">
        <v>0</v>
      </c>
      <c r="Y36" s="241">
        <v>0</v>
      </c>
      <c r="Z36" s="241">
        <v>11304.504504504512</v>
      </c>
      <c r="AA36" s="241">
        <v>14586.486486486498</v>
      </c>
      <c r="AB36" s="241">
        <v>19860.360360360359</v>
      </c>
      <c r="AC36" s="241">
        <v>0</v>
      </c>
      <c r="AD36" s="241">
        <v>5124.9811101424002</v>
      </c>
      <c r="AE36" s="241">
        <v>6543.5202944880384</v>
      </c>
      <c r="AF36" s="241">
        <v>4532.4324324324343</v>
      </c>
      <c r="AG36" s="241">
        <v>61952.285188414055</v>
      </c>
    </row>
    <row r="37" spans="2:33">
      <c r="B37" t="s">
        <v>7</v>
      </c>
      <c r="C37" t="s">
        <v>68</v>
      </c>
      <c r="D37" t="s">
        <v>69</v>
      </c>
      <c r="E37" s="480" t="s">
        <v>912</v>
      </c>
      <c r="F37" s="480" t="s">
        <v>71</v>
      </c>
      <c r="G37" s="185" t="s">
        <v>72</v>
      </c>
      <c r="H37" s="480" t="s">
        <v>913</v>
      </c>
      <c r="P37" s="89" t="s">
        <v>83</v>
      </c>
      <c r="Q37" s="241">
        <v>778.37837837837822</v>
      </c>
      <c r="R37" s="241">
        <v>2300.0000000000005</v>
      </c>
      <c r="S37" s="241">
        <v>17645.045045045052</v>
      </c>
      <c r="T37" s="241">
        <v>17885.585585585592</v>
      </c>
      <c r="U37" s="241">
        <v>20235.135135135155</v>
      </c>
      <c r="V37" s="241">
        <v>21569.369369369386</v>
      </c>
      <c r="W37" s="241">
        <v>9145.9459459459431</v>
      </c>
      <c r="X37" s="241">
        <v>9344.1441441441384</v>
      </c>
      <c r="Y37" s="241">
        <v>10557.657657657663</v>
      </c>
      <c r="Z37" s="241">
        <v>20236.936936936941</v>
      </c>
      <c r="AA37" s="241">
        <v>18556.756756756753</v>
      </c>
      <c r="AB37" s="241">
        <v>13568.468468468471</v>
      </c>
      <c r="AC37" s="241">
        <v>24032.432432432448</v>
      </c>
      <c r="AD37" s="241">
        <v>5921.1392037198484</v>
      </c>
      <c r="AE37" s="241">
        <v>5829.365494526789</v>
      </c>
      <c r="AF37" s="241">
        <v>4851.482391482391</v>
      </c>
      <c r="AG37" s="241">
        <v>202457.842945585</v>
      </c>
    </row>
    <row r="38" spans="2:33">
      <c r="B38">
        <f>$C$1</f>
        <v>2024</v>
      </c>
      <c r="C38">
        <v>1</v>
      </c>
      <c r="D38" s="461" t="s">
        <v>73</v>
      </c>
      <c r="E38" s="185">
        <f>GETPIVOTDATA("[Measures].[Somme de Conso_kWh_PCI]",$P$29,"[Tab_concat].[Dates (année)]","[Tab_concat].[Dates (année)].&amp;["&amp;$B38&amp;"]","[Tab_concat].[Dates (mois)]","[Tab_concat].[Dates (mois)].&amp;["&amp;$D38&amp;"]")/1000</f>
        <v>48.322871258355129</v>
      </c>
      <c r="F38" s="461">
        <f>GETPIVOTDATA("Somme de DJU(chauffagiste)",$P$92,"annee",B38,"mois_numero",C38)</f>
        <v>380</v>
      </c>
      <c r="G38" s="185">
        <f>GETPIVOTDATA("DJU(chauffagiste)",$V$92,"mois_numero",C38)</f>
        <v>383.35384615384618</v>
      </c>
      <c r="H38" s="121">
        <f>IF($H$35=1,E38*G38/F38,E38)</f>
        <v>48.749364616019967</v>
      </c>
      <c r="P38" s="89" t="s">
        <v>881</v>
      </c>
      <c r="Q38" s="241">
        <v>0</v>
      </c>
      <c r="R38" s="241">
        <v>0</v>
      </c>
      <c r="S38" s="241">
        <v>0</v>
      </c>
      <c r="T38" s="241">
        <v>0</v>
      </c>
      <c r="U38" s="241">
        <v>0</v>
      </c>
      <c r="V38" s="241">
        <v>0</v>
      </c>
      <c r="W38" s="241">
        <v>0</v>
      </c>
      <c r="X38" s="241">
        <v>0</v>
      </c>
      <c r="Y38" s="241">
        <v>0</v>
      </c>
      <c r="Z38" s="241">
        <v>15185.585585585581</v>
      </c>
      <c r="AA38" s="241">
        <v>19881.081081081084</v>
      </c>
      <c r="AB38" s="241">
        <v>16756.756756756753</v>
      </c>
      <c r="AC38" s="241">
        <v>24019.81981981983</v>
      </c>
      <c r="AD38" s="241">
        <v>6162.1912234815463</v>
      </c>
      <c r="AE38" s="241">
        <v>5535.1351351351377</v>
      </c>
      <c r="AF38" s="241">
        <v>5101.6707616707617</v>
      </c>
      <c r="AG38" s="241">
        <v>92642.240363530625</v>
      </c>
    </row>
    <row r="39" spans="2:33">
      <c r="B39">
        <f t="shared" ref="B39:B49" si="7">$C$1</f>
        <v>2024</v>
      </c>
      <c r="C39">
        <v>2</v>
      </c>
      <c r="D39" s="89" t="s">
        <v>880</v>
      </c>
      <c r="E39" s="185">
        <f t="shared" ref="E39:E61" si="8">GETPIVOTDATA("[Measures].[Somme de Conso_kWh_PCI]",$P$29,"[Tab_concat].[Dates (année)]","[Tab_concat].[Dates (année)].&amp;["&amp;$B39&amp;"]","[Tab_concat].[Dates (mois)]","[Tab_concat].[Dates (mois)].&amp;["&amp;$D39&amp;"]")/1000</f>
        <v>31.680374590385721</v>
      </c>
      <c r="F39" s="461">
        <f t="shared" ref="F39:F61" si="9">GETPIVOTDATA("Somme de DJU(chauffagiste)",$P$92,"annee",B39,"mois_numero",C39)</f>
        <v>244</v>
      </c>
      <c r="G39" s="185">
        <f t="shared" ref="G39:G61" si="10">GETPIVOTDATA("DJU(chauffagiste)",$V$92,"mois_numero",C39)</f>
        <v>329.08</v>
      </c>
      <c r="H39" s="121">
        <f t="shared" ref="H39:H61" si="11">IF($H$35=1,E39*G39/F39,E39)</f>
        <v>42.726957664771035</v>
      </c>
      <c r="P39" s="89" t="s">
        <v>85</v>
      </c>
      <c r="Q39" s="241">
        <v>702.70270270270237</v>
      </c>
      <c r="R39" s="241">
        <v>1459.4594594594605</v>
      </c>
      <c r="S39" s="241">
        <v>25076.576576576594</v>
      </c>
      <c r="T39" s="241">
        <v>12063.063063063069</v>
      </c>
      <c r="U39" s="241">
        <v>13229.729729729732</v>
      </c>
      <c r="V39" s="241">
        <v>14101.801801801794</v>
      </c>
      <c r="W39" s="241">
        <v>9108.108108108112</v>
      </c>
      <c r="X39" s="241">
        <v>9306.3063063063055</v>
      </c>
      <c r="Y39" s="241">
        <v>8463.9639639639627</v>
      </c>
      <c r="Z39" s="241">
        <v>10269.369369369364</v>
      </c>
      <c r="AA39" s="241">
        <v>7271.1711711711732</v>
      </c>
      <c r="AB39" s="241">
        <v>16767.567567567563</v>
      </c>
      <c r="AC39" s="241">
        <v>27427.02702702703</v>
      </c>
      <c r="AD39" s="241">
        <v>5714.2371403661746</v>
      </c>
      <c r="AE39" s="241">
        <v>6708.051922890636</v>
      </c>
      <c r="AF39" s="241">
        <v>5804.504504504509</v>
      </c>
      <c r="AG39" s="241">
        <v>173473.64041460832</v>
      </c>
    </row>
    <row r="40" spans="2:33">
      <c r="B40">
        <f t="shared" si="7"/>
        <v>2024</v>
      </c>
      <c r="C40">
        <v>3</v>
      </c>
      <c r="D40" s="461" t="s">
        <v>78</v>
      </c>
      <c r="E40" s="185">
        <f t="shared" si="8"/>
        <v>28.280247321849085</v>
      </c>
      <c r="F40" s="461">
        <f t="shared" si="9"/>
        <v>253</v>
      </c>
      <c r="G40" s="185">
        <f t="shared" si="10"/>
        <v>284.72000000000003</v>
      </c>
      <c r="H40" s="121">
        <f t="shared" si="11"/>
        <v>31.825897302280126</v>
      </c>
      <c r="P40" s="89" t="s">
        <v>86</v>
      </c>
      <c r="Q40" s="241">
        <v>0</v>
      </c>
      <c r="R40" s="241">
        <v>0</v>
      </c>
      <c r="S40" s="241">
        <v>0</v>
      </c>
      <c r="T40" s="241">
        <v>0</v>
      </c>
      <c r="U40" s="241">
        <v>0</v>
      </c>
      <c r="V40" s="241">
        <v>12078.378378378386</v>
      </c>
      <c r="W40" s="241">
        <v>0</v>
      </c>
      <c r="X40" s="241">
        <v>0</v>
      </c>
      <c r="Y40" s="241">
        <v>0</v>
      </c>
      <c r="Z40" s="241">
        <v>17591.891891891893</v>
      </c>
      <c r="AA40" s="241">
        <v>26141.441441441442</v>
      </c>
      <c r="AB40" s="241">
        <v>27636.936936936941</v>
      </c>
      <c r="AC40" s="241">
        <v>14407.207207207221</v>
      </c>
      <c r="AD40" s="241">
        <v>13060.27608253415</v>
      </c>
      <c r="AE40" s="241">
        <v>17927.867867867877</v>
      </c>
      <c r="AF40" s="241">
        <v>18918.018018018021</v>
      </c>
      <c r="AG40" s="241">
        <v>147762.017824276</v>
      </c>
    </row>
    <row r="41" spans="2:33">
      <c r="B41">
        <f t="shared" si="7"/>
        <v>2024</v>
      </c>
      <c r="C41">
        <v>4</v>
      </c>
      <c r="D41" s="461" t="s">
        <v>80</v>
      </c>
      <c r="E41" s="185">
        <f t="shared" si="8"/>
        <v>19.576559139784941</v>
      </c>
      <c r="F41" s="461">
        <f t="shared" si="9"/>
        <v>186</v>
      </c>
      <c r="G41" s="185">
        <f t="shared" si="10"/>
        <v>196.68</v>
      </c>
      <c r="H41" s="121">
        <f t="shared" si="11"/>
        <v>20.70063253555324</v>
      </c>
      <c r="P41" s="89" t="s">
        <v>87</v>
      </c>
      <c r="Q41" s="241">
        <v>7930.6306306306342</v>
      </c>
      <c r="R41" s="241">
        <v>173432.43243243251</v>
      </c>
      <c r="S41" s="241">
        <v>41876.576576576605</v>
      </c>
      <c r="T41" s="241">
        <v>68103.603603603595</v>
      </c>
      <c r="U41" s="241">
        <v>71715.31531531534</v>
      </c>
      <c r="V41" s="241">
        <v>43727.927927927907</v>
      </c>
      <c r="W41" s="241">
        <v>78919.819819819837</v>
      </c>
      <c r="X41" s="241">
        <v>87858.558558558594</v>
      </c>
      <c r="Y41" s="241">
        <v>79587.387387387411</v>
      </c>
      <c r="Z41" s="241">
        <v>41104.504504504504</v>
      </c>
      <c r="AA41" s="241">
        <v>36220.720720720754</v>
      </c>
      <c r="AB41" s="241">
        <v>40221.621621621613</v>
      </c>
      <c r="AC41" s="241">
        <v>14557.657657657657</v>
      </c>
      <c r="AD41" s="241">
        <v>28929.994187736113</v>
      </c>
      <c r="AE41" s="241">
        <v>34304.984984984978</v>
      </c>
      <c r="AF41" s="241">
        <v>29531.531531531553</v>
      </c>
      <c r="AG41" s="241">
        <v>878023.26746101002</v>
      </c>
    </row>
    <row r="42" spans="2:33">
      <c r="B42">
        <f t="shared" si="7"/>
        <v>2024</v>
      </c>
      <c r="C42">
        <v>5</v>
      </c>
      <c r="D42" s="461" t="s">
        <v>81</v>
      </c>
      <c r="E42" s="185">
        <f t="shared" si="8"/>
        <v>13.178221447253705</v>
      </c>
      <c r="F42" s="461">
        <f t="shared" si="9"/>
        <v>102</v>
      </c>
      <c r="G42" s="185">
        <f t="shared" si="10"/>
        <v>116.56</v>
      </c>
      <c r="H42" s="121">
        <f t="shared" si="11"/>
        <v>15.059347959724429</v>
      </c>
      <c r="P42" s="89" t="s">
        <v>882</v>
      </c>
      <c r="Q42" s="241">
        <v>0</v>
      </c>
      <c r="R42" s="241">
        <v>0</v>
      </c>
      <c r="S42" s="241">
        <v>0</v>
      </c>
      <c r="T42" s="241">
        <v>0</v>
      </c>
      <c r="U42" s="241">
        <v>0</v>
      </c>
      <c r="V42" s="241">
        <v>0</v>
      </c>
      <c r="W42" s="241">
        <v>0</v>
      </c>
      <c r="X42" s="241">
        <v>0</v>
      </c>
      <c r="Y42" s="241">
        <v>0</v>
      </c>
      <c r="Z42" s="241">
        <v>43771.171171171154</v>
      </c>
      <c r="AA42" s="241">
        <v>48043.243243243218</v>
      </c>
      <c r="AB42" s="241">
        <v>57392.792792792774</v>
      </c>
      <c r="AC42" s="241">
        <v>31641.76111595468</v>
      </c>
      <c r="AD42" s="241">
        <v>37530.308049985455</v>
      </c>
      <c r="AE42" s="241">
        <v>43477.897897897899</v>
      </c>
      <c r="AF42" s="241">
        <v>40654.954954954963</v>
      </c>
      <c r="AG42" s="241">
        <v>302512.12922599947</v>
      </c>
    </row>
    <row r="43" spans="2:33">
      <c r="B43">
        <f t="shared" si="7"/>
        <v>2024</v>
      </c>
      <c r="C43">
        <v>6</v>
      </c>
      <c r="D43" s="461" t="s">
        <v>82</v>
      </c>
      <c r="E43" s="185">
        <f t="shared" si="8"/>
        <v>6.5435202944880384</v>
      </c>
      <c r="F43" s="461">
        <f t="shared" si="9"/>
        <v>60</v>
      </c>
      <c r="G43" s="185">
        <f t="shared" si="10"/>
        <v>46.56</v>
      </c>
      <c r="H43" s="121">
        <f t="shared" si="11"/>
        <v>5.0777717485227178</v>
      </c>
      <c r="P43" s="89" t="s">
        <v>89</v>
      </c>
      <c r="Q43" s="241">
        <v>164033.33333333308</v>
      </c>
      <c r="R43" s="241">
        <v>211810.81081081103</v>
      </c>
      <c r="S43" s="241">
        <v>280988.28828828793</v>
      </c>
      <c r="T43" s="241">
        <v>342108.10810810805</v>
      </c>
      <c r="U43" s="241">
        <v>325871.17117117153</v>
      </c>
      <c r="V43" s="241">
        <v>321185.58558558655</v>
      </c>
      <c r="W43" s="241">
        <v>336323.42342342407</v>
      </c>
      <c r="X43" s="241">
        <v>379922.52252252353</v>
      </c>
      <c r="Y43" s="241">
        <v>382162.16216216155</v>
      </c>
      <c r="Z43" s="241">
        <v>346641.44144144229</v>
      </c>
      <c r="AA43" s="241">
        <v>342772.97297297243</v>
      </c>
      <c r="AB43" s="241">
        <v>414052.25225225126</v>
      </c>
      <c r="AC43" s="241">
        <v>354637.25661145058</v>
      </c>
      <c r="AD43" s="241">
        <v>253047.19558267947</v>
      </c>
      <c r="AE43" s="241">
        <v>261365.09735542</v>
      </c>
      <c r="AF43" s="241">
        <v>264427.92792792822</v>
      </c>
      <c r="AG43" s="241">
        <v>4981349.5495495275</v>
      </c>
    </row>
    <row r="44" spans="2:33">
      <c r="B44">
        <f t="shared" si="7"/>
        <v>2024</v>
      </c>
      <c r="C44">
        <v>7</v>
      </c>
      <c r="D44" s="461" t="s">
        <v>83</v>
      </c>
      <c r="E44" s="185">
        <f t="shared" si="8"/>
        <v>5.8293654945267894</v>
      </c>
      <c r="F44" s="461">
        <f t="shared" si="9"/>
        <v>28</v>
      </c>
      <c r="G44" s="185">
        <f t="shared" si="10"/>
        <v>27.88</v>
      </c>
      <c r="H44" s="121">
        <f t="shared" si="11"/>
        <v>5.8043824995502451</v>
      </c>
    </row>
    <row r="45" spans="2:33">
      <c r="B45">
        <f t="shared" si="7"/>
        <v>2024</v>
      </c>
      <c r="C45">
        <v>8</v>
      </c>
      <c r="D45" s="461" t="s">
        <v>881</v>
      </c>
      <c r="E45" s="185">
        <f t="shared" si="8"/>
        <v>5.5351351351351381</v>
      </c>
      <c r="F45" s="461">
        <f t="shared" si="9"/>
        <v>28</v>
      </c>
      <c r="G45" s="185">
        <f t="shared" si="10"/>
        <v>33.200000000000003</v>
      </c>
      <c r="H45" s="121">
        <f t="shared" si="11"/>
        <v>6.5630888030888075</v>
      </c>
    </row>
    <row r="46" spans="2:33">
      <c r="B46">
        <f t="shared" si="7"/>
        <v>2024</v>
      </c>
      <c r="C46">
        <v>9</v>
      </c>
      <c r="D46" s="461" t="s">
        <v>85</v>
      </c>
      <c r="E46" s="185">
        <f t="shared" si="8"/>
        <v>6.7080519228906361</v>
      </c>
      <c r="F46" s="461">
        <f t="shared" si="9"/>
        <v>78</v>
      </c>
      <c r="G46" s="185">
        <f t="shared" si="10"/>
        <v>73.28</v>
      </c>
      <c r="H46" s="121">
        <f t="shared" si="11"/>
        <v>6.302128780890075</v>
      </c>
    </row>
    <row r="47" spans="2:33">
      <c r="B47">
        <f t="shared" si="7"/>
        <v>2024</v>
      </c>
      <c r="C47">
        <v>10</v>
      </c>
      <c r="D47" s="461" t="s">
        <v>86</v>
      </c>
      <c r="E47" s="185">
        <f t="shared" si="8"/>
        <v>17.927867867867878</v>
      </c>
      <c r="F47" s="461">
        <f t="shared" si="9"/>
        <v>119</v>
      </c>
      <c r="G47" s="185">
        <f t="shared" si="10"/>
        <v>147.16</v>
      </c>
      <c r="H47" s="121">
        <f t="shared" si="11"/>
        <v>22.170294415423839</v>
      </c>
    </row>
    <row r="48" spans="2:33">
      <c r="B48">
        <f t="shared" si="7"/>
        <v>2024</v>
      </c>
      <c r="C48">
        <v>11</v>
      </c>
      <c r="D48" s="461" t="s">
        <v>87</v>
      </c>
      <c r="E48" s="185">
        <f t="shared" si="8"/>
        <v>34.304984984984976</v>
      </c>
      <c r="F48" s="461">
        <f t="shared" si="9"/>
        <v>266</v>
      </c>
      <c r="G48" s="185">
        <f t="shared" si="10"/>
        <v>269.83999999999997</v>
      </c>
      <c r="H48" s="121">
        <f t="shared" si="11"/>
        <v>34.800214843414828</v>
      </c>
    </row>
    <row r="49" spans="2:29">
      <c r="B49">
        <f t="shared" si="7"/>
        <v>2024</v>
      </c>
      <c r="C49">
        <v>12</v>
      </c>
      <c r="D49" s="461" t="s">
        <v>882</v>
      </c>
      <c r="E49" s="185">
        <f t="shared" si="8"/>
        <v>43.477897897897897</v>
      </c>
      <c r="F49" s="461">
        <f t="shared" si="9"/>
        <v>346</v>
      </c>
      <c r="G49" s="185">
        <f t="shared" si="10"/>
        <v>367.8</v>
      </c>
      <c r="H49" s="121">
        <f t="shared" si="11"/>
        <v>46.217256782794358</v>
      </c>
    </row>
    <row r="50" spans="2:29">
      <c r="B50">
        <f>$C$2</f>
        <v>2025</v>
      </c>
      <c r="C50">
        <v>1</v>
      </c>
      <c r="D50" s="461" t="s">
        <v>73</v>
      </c>
      <c r="E50" s="185">
        <f t="shared" si="8"/>
        <v>51.044144144144148</v>
      </c>
      <c r="F50" s="461">
        <f t="shared" si="9"/>
        <v>407</v>
      </c>
      <c r="G50" s="185">
        <f t="shared" si="10"/>
        <v>383.35384615384618</v>
      </c>
      <c r="H50" s="121">
        <f t="shared" si="11"/>
        <v>48.078547865574897</v>
      </c>
      <c r="I50" s="184">
        <f>(H50-H38)/H38</f>
        <v>-1.3760522946890405E-2</v>
      </c>
    </row>
    <row r="51" spans="2:29">
      <c r="B51">
        <f t="shared" ref="B51:B61" si="12">$C$2</f>
        <v>2025</v>
      </c>
      <c r="C51">
        <v>2</v>
      </c>
      <c r="D51" s="89" t="s">
        <v>880</v>
      </c>
      <c r="E51" s="185">
        <f t="shared" si="8"/>
        <v>41.575675675675676</v>
      </c>
      <c r="F51" s="461">
        <f t="shared" si="9"/>
        <v>329</v>
      </c>
      <c r="G51" s="185">
        <f t="shared" si="10"/>
        <v>329.08</v>
      </c>
      <c r="H51" s="121">
        <f t="shared" si="11"/>
        <v>41.585785262466111</v>
      </c>
      <c r="I51" s="184">
        <f t="shared" ref="I51:I61" si="13">(H51-H39)/H39</f>
        <v>-2.6708487209840287E-2</v>
      </c>
    </row>
    <row r="52" spans="2:29">
      <c r="B52">
        <f t="shared" si="12"/>
        <v>2025</v>
      </c>
      <c r="C52">
        <v>3</v>
      </c>
      <c r="D52" s="461" t="s">
        <v>78</v>
      </c>
      <c r="E52" s="185">
        <f t="shared" si="8"/>
        <v>34.522522522522515</v>
      </c>
      <c r="F52" s="461">
        <f t="shared" si="9"/>
        <v>260</v>
      </c>
      <c r="G52" s="185">
        <f t="shared" si="10"/>
        <v>284.72000000000003</v>
      </c>
      <c r="H52" s="121">
        <f t="shared" si="11"/>
        <v>37.804817740817732</v>
      </c>
      <c r="I52" s="184">
        <f t="shared" si="13"/>
        <v>0.18786337370947448</v>
      </c>
    </row>
    <row r="53" spans="2:29">
      <c r="B53">
        <f t="shared" si="12"/>
        <v>2025</v>
      </c>
      <c r="C53">
        <v>4</v>
      </c>
      <c r="D53" s="461" t="s">
        <v>80</v>
      </c>
      <c r="E53" s="185">
        <f t="shared" si="8"/>
        <v>18.226126126126122</v>
      </c>
      <c r="F53" s="461">
        <f t="shared" si="9"/>
        <v>142</v>
      </c>
      <c r="G53" s="185">
        <f t="shared" si="10"/>
        <v>196.68</v>
      </c>
      <c r="H53" s="121">
        <f t="shared" si="11"/>
        <v>25.244468214693562</v>
      </c>
      <c r="I53" s="184">
        <f t="shared" si="13"/>
        <v>0.21950226261619329</v>
      </c>
    </row>
    <row r="54" spans="2:29">
      <c r="B54">
        <f t="shared" si="12"/>
        <v>2025</v>
      </c>
      <c r="C54">
        <v>5</v>
      </c>
      <c r="D54" s="461" t="s">
        <v>81</v>
      </c>
      <c r="E54" s="185">
        <f t="shared" si="8"/>
        <v>9.664864864864871</v>
      </c>
      <c r="F54" s="461">
        <f t="shared" si="9"/>
        <v>91</v>
      </c>
      <c r="G54" s="185">
        <f t="shared" si="10"/>
        <v>116.56</v>
      </c>
      <c r="H54" s="121">
        <f t="shared" si="11"/>
        <v>12.37952361152362</v>
      </c>
      <c r="I54" s="184">
        <f t="shared" si="13"/>
        <v>-0.17795088840286327</v>
      </c>
    </row>
    <row r="55" spans="2:29">
      <c r="B55">
        <f t="shared" si="12"/>
        <v>2025</v>
      </c>
      <c r="C55">
        <v>6</v>
      </c>
      <c r="D55" s="461" t="s">
        <v>82</v>
      </c>
      <c r="E55" s="185">
        <f t="shared" si="8"/>
        <v>4.5324324324324348</v>
      </c>
      <c r="F55" s="461">
        <f t="shared" si="9"/>
        <v>24</v>
      </c>
      <c r="G55" s="185">
        <f t="shared" si="10"/>
        <v>46.56</v>
      </c>
      <c r="H55" s="121">
        <f t="shared" si="11"/>
        <v>8.7929189189189234</v>
      </c>
      <c r="I55" s="184">
        <f t="shared" si="13"/>
        <v>0.73164910799250826</v>
      </c>
    </row>
    <row r="56" spans="2:29">
      <c r="B56">
        <f t="shared" si="12"/>
        <v>2025</v>
      </c>
      <c r="C56">
        <v>7</v>
      </c>
      <c r="D56" s="461" t="s">
        <v>83</v>
      </c>
      <c r="E56" s="185">
        <f t="shared" si="8"/>
        <v>4.8514823914823912</v>
      </c>
      <c r="F56" s="461">
        <f t="shared" si="9"/>
        <v>18</v>
      </c>
      <c r="G56" s="185">
        <f t="shared" si="10"/>
        <v>27.88</v>
      </c>
      <c r="H56" s="121">
        <f t="shared" si="11"/>
        <v>7.5144071708071705</v>
      </c>
      <c r="I56" s="184">
        <f t="shared" si="13"/>
        <v>0.29460923214302764</v>
      </c>
    </row>
    <row r="57" spans="2:29">
      <c r="B57">
        <f t="shared" si="12"/>
        <v>2025</v>
      </c>
      <c r="C57">
        <v>8</v>
      </c>
      <c r="D57" s="461" t="s">
        <v>881</v>
      </c>
      <c r="E57" s="185">
        <f t="shared" si="8"/>
        <v>5.1016707616707615</v>
      </c>
      <c r="F57" s="461">
        <f t="shared" si="9"/>
        <v>22</v>
      </c>
      <c r="G57" s="185">
        <f t="shared" si="10"/>
        <v>33.200000000000003</v>
      </c>
      <c r="H57" s="121">
        <f t="shared" si="11"/>
        <v>7.6988849676122406</v>
      </c>
      <c r="I57" s="184">
        <f t="shared" si="13"/>
        <v>0.17305817407024718</v>
      </c>
    </row>
    <row r="58" spans="2:29">
      <c r="B58">
        <f t="shared" si="12"/>
        <v>2025</v>
      </c>
      <c r="C58">
        <v>9</v>
      </c>
      <c r="D58" s="461" t="s">
        <v>85</v>
      </c>
      <c r="E58" s="185">
        <f t="shared" si="8"/>
        <v>5.8045045045045089</v>
      </c>
      <c r="F58" s="461">
        <f t="shared" si="9"/>
        <v>73</v>
      </c>
      <c r="G58" s="185">
        <f t="shared" si="10"/>
        <v>73.28</v>
      </c>
      <c r="H58" s="121">
        <f t="shared" si="11"/>
        <v>5.8267683573984987</v>
      </c>
      <c r="I58" s="184">
        <f t="shared" si="13"/>
        <v>-7.5428548038086768E-2</v>
      </c>
    </row>
    <row r="59" spans="2:29">
      <c r="B59">
        <f t="shared" si="12"/>
        <v>2025</v>
      </c>
      <c r="C59">
        <v>10</v>
      </c>
      <c r="D59" s="461" t="s">
        <v>86</v>
      </c>
      <c r="E59" s="185">
        <f t="shared" si="8"/>
        <v>18.918018018018021</v>
      </c>
      <c r="F59" s="461">
        <f t="shared" si="9"/>
        <v>140</v>
      </c>
      <c r="G59" s="185">
        <f t="shared" si="10"/>
        <v>147.16</v>
      </c>
      <c r="H59" s="121">
        <f t="shared" si="11"/>
        <v>19.885539510939513</v>
      </c>
      <c r="I59" s="184">
        <f t="shared" si="13"/>
        <v>-0.10305478410312975</v>
      </c>
    </row>
    <row r="60" spans="2:29">
      <c r="B60">
        <f t="shared" si="12"/>
        <v>2025</v>
      </c>
      <c r="C60">
        <v>11</v>
      </c>
      <c r="D60" s="461" t="s">
        <v>87</v>
      </c>
      <c r="E60" s="185">
        <f t="shared" si="8"/>
        <v>29.531531531531552</v>
      </c>
      <c r="F60" s="461">
        <f t="shared" si="9"/>
        <v>231</v>
      </c>
      <c r="G60" s="185">
        <f t="shared" si="10"/>
        <v>269.83999999999997</v>
      </c>
      <c r="H60" s="121">
        <f t="shared" si="11"/>
        <v>34.496919776919796</v>
      </c>
      <c r="I60" s="184">
        <f t="shared" si="13"/>
        <v>-8.715321668550673E-3</v>
      </c>
    </row>
    <row r="61" spans="2:29">
      <c r="B61">
        <f t="shared" si="12"/>
        <v>2025</v>
      </c>
      <c r="C61">
        <v>12</v>
      </c>
      <c r="D61" s="461" t="s">
        <v>882</v>
      </c>
      <c r="E61" s="185">
        <f t="shared" si="8"/>
        <v>40.65495495495496</v>
      </c>
      <c r="F61" s="461">
        <f t="shared" si="9"/>
        <v>309</v>
      </c>
      <c r="G61" s="185">
        <f t="shared" si="10"/>
        <v>367.8</v>
      </c>
      <c r="H61" s="121">
        <f t="shared" si="11"/>
        <v>48.39123764541241</v>
      </c>
      <c r="I61" s="184">
        <f t="shared" si="13"/>
        <v>4.7038292922382534E-2</v>
      </c>
    </row>
    <row r="64" spans="2:29">
      <c r="P64" s="180" t="s">
        <v>19</v>
      </c>
      <c r="Q64" s="503" t="s" vm="6">
        <v>920</v>
      </c>
      <c r="R64" s="461"/>
      <c r="S64" s="461"/>
      <c r="T64" s="461"/>
      <c r="U64" s="461"/>
      <c r="V64" s="461"/>
      <c r="W64" s="461"/>
      <c r="X64" s="461"/>
      <c r="Y64" s="461"/>
      <c r="Z64" s="461"/>
      <c r="AA64" s="461"/>
      <c r="AB64" s="461"/>
      <c r="AC64" s="461"/>
    </row>
    <row r="65" spans="2:29">
      <c r="P65" s="461"/>
      <c r="Q65" s="461"/>
      <c r="R65" s="461"/>
      <c r="S65" s="461"/>
      <c r="T65" s="461"/>
      <c r="U65" s="461"/>
      <c r="V65" s="461"/>
      <c r="W65" s="461"/>
      <c r="X65" s="461"/>
      <c r="Y65" s="461"/>
      <c r="Z65" s="461"/>
      <c r="AA65" s="461"/>
      <c r="AB65" s="461"/>
      <c r="AC65" s="461"/>
    </row>
    <row r="66" spans="2:29">
      <c r="P66" s="180" t="s">
        <v>873</v>
      </c>
      <c r="Q66" s="180" t="s">
        <v>74</v>
      </c>
    </row>
    <row r="67" spans="2:29">
      <c r="B67" t="s">
        <v>440</v>
      </c>
      <c r="P67" s="180" t="s">
        <v>64</v>
      </c>
      <c r="Q67" s="503" t="s">
        <v>858</v>
      </c>
      <c r="R67" s="503" t="s">
        <v>859</v>
      </c>
      <c r="S67" s="503" t="s">
        <v>860</v>
      </c>
      <c r="T67" s="503" t="s">
        <v>847</v>
      </c>
      <c r="U67" s="503" t="s">
        <v>848</v>
      </c>
      <c r="V67" s="503" t="s">
        <v>849</v>
      </c>
      <c r="W67" s="503" t="s">
        <v>850</v>
      </c>
      <c r="X67" s="503" t="s">
        <v>851</v>
      </c>
      <c r="Y67" s="503" t="s">
        <v>852</v>
      </c>
      <c r="Z67" s="503" t="s">
        <v>911</v>
      </c>
      <c r="AA67" s="503" t="s">
        <v>89</v>
      </c>
    </row>
    <row r="68" spans="2:29">
      <c r="P68" s="89" t="s">
        <v>73</v>
      </c>
      <c r="Q68" s="241">
        <v>278.74520547945207</v>
      </c>
      <c r="R68" s="241">
        <v>176.99726027397261</v>
      </c>
      <c r="S68" s="241">
        <v>158.56712328767122</v>
      </c>
      <c r="T68" s="241">
        <v>152.54371584699453</v>
      </c>
      <c r="U68" s="241">
        <v>0</v>
      </c>
      <c r="V68" s="241">
        <v>0</v>
      </c>
      <c r="W68" s="241">
        <v>289.39162162162165</v>
      </c>
      <c r="X68" s="241">
        <v>131.18722222222215</v>
      </c>
      <c r="Y68" s="241">
        <v>149.24911685863538</v>
      </c>
      <c r="Z68" s="241">
        <v>32.666666666666671</v>
      </c>
      <c r="AA68" s="241">
        <v>1369.3479322572366</v>
      </c>
    </row>
    <row r="69" spans="2:29">
      <c r="B69" s="242" t="s">
        <v>7</v>
      </c>
      <c r="C69" s="242" t="s">
        <v>68</v>
      </c>
      <c r="D69" s="242" t="s">
        <v>69</v>
      </c>
      <c r="E69" s="242" t="s">
        <v>70</v>
      </c>
      <c r="P69" s="89" t="s">
        <v>880</v>
      </c>
      <c r="Q69" s="241">
        <v>251.76986301369865</v>
      </c>
      <c r="R69" s="241">
        <v>159.86849315068494</v>
      </c>
      <c r="S69" s="241">
        <v>143.22191780821916</v>
      </c>
      <c r="T69" s="241">
        <v>142.70218579234972</v>
      </c>
      <c r="U69" s="241">
        <v>0</v>
      </c>
      <c r="V69" s="241">
        <v>0</v>
      </c>
      <c r="W69" s="241">
        <v>131.65297297297295</v>
      </c>
      <c r="X69" s="241">
        <v>120.89913793103445</v>
      </c>
      <c r="Y69" s="241">
        <v>127.03269328554011</v>
      </c>
      <c r="Z69" s="241"/>
      <c r="AA69" s="241">
        <v>1077.1472639545004</v>
      </c>
    </row>
    <row r="70" spans="2:29">
      <c r="B70" s="242">
        <f>$C$1</f>
        <v>2024</v>
      </c>
      <c r="C70" s="242">
        <v>1</v>
      </c>
      <c r="D70" s="461" t="s">
        <v>73</v>
      </c>
      <c r="E70" s="185">
        <f>GETPIVOTDATA("[Measures].[Somme de Demande_jour]",$P$66,"[Tab_concat].[Dates (année)]","[Tab_concat].[Dates (année)].&amp;["&amp;$B70&amp;"]","[Tab_concat].[Dates (mois)]","[Tab_concat].[Dates (mois)].&amp;["&amp;$D70&amp;"]")</f>
        <v>131.18722222222215</v>
      </c>
      <c r="P70" s="89" t="s">
        <v>78</v>
      </c>
      <c r="Q70" s="241">
        <v>278.74520547945207</v>
      </c>
      <c r="R70" s="241">
        <v>176.99726027397261</v>
      </c>
      <c r="S70" s="241">
        <v>158.56712328767122</v>
      </c>
      <c r="T70" s="241">
        <v>152.54371584699453</v>
      </c>
      <c r="U70" s="241">
        <v>0</v>
      </c>
      <c r="V70" s="241">
        <v>0</v>
      </c>
      <c r="W70" s="241">
        <v>145.75864864864863</v>
      </c>
      <c r="X70" s="241">
        <v>143.67871921182268</v>
      </c>
      <c r="Y70" s="241">
        <v>187.93322635432619</v>
      </c>
      <c r="Z70" s="241"/>
      <c r="AA70" s="241">
        <v>1244.2238991028883</v>
      </c>
    </row>
    <row r="71" spans="2:29">
      <c r="B71" s="242">
        <f t="shared" ref="B71:B81" si="14">$C$1</f>
        <v>2024</v>
      </c>
      <c r="C71" s="242">
        <v>2</v>
      </c>
      <c r="D71" s="89" t="s">
        <v>880</v>
      </c>
      <c r="E71" s="185">
        <f t="shared" ref="E71:E93" si="15">GETPIVOTDATA("[Measures].[Somme de Demande_jour]",$P$66,"[Tab_concat].[Dates (année)]","[Tab_concat].[Dates (année)].&amp;["&amp;$B71&amp;"]","[Tab_concat].[Dates (mois)]","[Tab_concat].[Dates (mois)].&amp;["&amp;$D71&amp;"]")</f>
        <v>120.89913793103445</v>
      </c>
      <c r="P71" s="89" t="s">
        <v>80</v>
      </c>
      <c r="Q71" s="241">
        <v>269.75342465753425</v>
      </c>
      <c r="R71" s="241">
        <v>171.2876712328767</v>
      </c>
      <c r="S71" s="241">
        <v>153.45205479452054</v>
      </c>
      <c r="T71" s="241">
        <v>147.62295081967213</v>
      </c>
      <c r="U71" s="241">
        <v>0</v>
      </c>
      <c r="V71" s="241">
        <v>0</v>
      </c>
      <c r="W71" s="241">
        <v>141.05675675675676</v>
      </c>
      <c r="X71" s="241">
        <v>150.64036866359453</v>
      </c>
      <c r="Y71" s="241">
        <v>148.91271347248576</v>
      </c>
      <c r="Z71" s="241"/>
      <c r="AA71" s="241">
        <v>1182.7259403974406</v>
      </c>
    </row>
    <row r="72" spans="2:29">
      <c r="B72" s="242">
        <f t="shared" si="14"/>
        <v>2024</v>
      </c>
      <c r="C72" s="242">
        <v>3</v>
      </c>
      <c r="D72" s="461" t="s">
        <v>78</v>
      </c>
      <c r="E72" s="185">
        <f t="shared" si="15"/>
        <v>143.67871921182268</v>
      </c>
      <c r="P72" s="89" t="s">
        <v>81</v>
      </c>
      <c r="Q72" s="241">
        <v>278.74520547945207</v>
      </c>
      <c r="R72" s="241">
        <v>176.99726027397261</v>
      </c>
      <c r="S72" s="241">
        <v>158.56712328767122</v>
      </c>
      <c r="T72" s="241">
        <v>152.54371584699453</v>
      </c>
      <c r="U72" s="241">
        <v>0</v>
      </c>
      <c r="V72" s="241">
        <v>0</v>
      </c>
      <c r="W72" s="241">
        <v>145.75864864864863</v>
      </c>
      <c r="X72" s="241">
        <v>156.84000000000006</v>
      </c>
      <c r="Y72" s="241">
        <v>167.76470588235298</v>
      </c>
      <c r="Z72" s="241"/>
      <c r="AA72" s="241">
        <v>1237.2166594190919</v>
      </c>
    </row>
    <row r="73" spans="2:29">
      <c r="B73" s="242">
        <f t="shared" si="14"/>
        <v>2024</v>
      </c>
      <c r="C73" s="242">
        <v>4</v>
      </c>
      <c r="D73" s="461" t="s">
        <v>80</v>
      </c>
      <c r="E73" s="185">
        <f t="shared" si="15"/>
        <v>150.64036866359453</v>
      </c>
      <c r="P73" s="89" t="s">
        <v>82</v>
      </c>
      <c r="Q73" s="241">
        <v>269.75342465753425</v>
      </c>
      <c r="R73" s="241">
        <v>171.2876712328767</v>
      </c>
      <c r="S73" s="241">
        <v>153.45205479452054</v>
      </c>
      <c r="T73" s="241">
        <v>147.62295081967213</v>
      </c>
      <c r="U73" s="241">
        <v>0</v>
      </c>
      <c r="V73" s="241">
        <v>0</v>
      </c>
      <c r="W73" s="241">
        <v>138.52360941586747</v>
      </c>
      <c r="X73" s="241">
        <v>133.93963133640545</v>
      </c>
      <c r="Y73" s="241">
        <v>162.14285714285717</v>
      </c>
      <c r="Z73" s="241"/>
      <c r="AA73" s="241">
        <v>1176.7221993997337</v>
      </c>
    </row>
    <row r="74" spans="2:29">
      <c r="B74" s="242">
        <f t="shared" si="14"/>
        <v>2024</v>
      </c>
      <c r="C74" s="242">
        <v>5</v>
      </c>
      <c r="D74" s="461" t="s">
        <v>81</v>
      </c>
      <c r="E74" s="185">
        <f t="shared" si="15"/>
        <v>156.84000000000006</v>
      </c>
      <c r="P74" s="89" t="s">
        <v>83</v>
      </c>
      <c r="Q74" s="241">
        <v>278.74520547945207</v>
      </c>
      <c r="R74" s="241">
        <v>176.99726027397261</v>
      </c>
      <c r="S74" s="241">
        <v>158.56712328767122</v>
      </c>
      <c r="T74" s="241">
        <v>152.54371584699453</v>
      </c>
      <c r="U74" s="241">
        <v>0</v>
      </c>
      <c r="V74" s="241">
        <v>0</v>
      </c>
      <c r="W74" s="241">
        <v>142.48666666666665</v>
      </c>
      <c r="X74" s="241">
        <v>136.82689716818231</v>
      </c>
      <c r="Y74" s="241">
        <v>176.29616724738671</v>
      </c>
      <c r="Z74" s="241"/>
      <c r="AA74" s="241">
        <v>1222.463035970326</v>
      </c>
    </row>
    <row r="75" spans="2:29">
      <c r="B75" s="242">
        <f t="shared" si="14"/>
        <v>2024</v>
      </c>
      <c r="C75" s="242">
        <v>6</v>
      </c>
      <c r="D75" s="461" t="s">
        <v>82</v>
      </c>
      <c r="E75" s="185">
        <f t="shared" si="15"/>
        <v>133.93963133640545</v>
      </c>
      <c r="P75" s="89" t="s">
        <v>881</v>
      </c>
      <c r="Q75" s="241">
        <v>278.74520547945207</v>
      </c>
      <c r="R75" s="241">
        <v>176.99726027397261</v>
      </c>
      <c r="S75" s="241">
        <v>158.56712328767122</v>
      </c>
      <c r="T75" s="241">
        <v>152.54371584699453</v>
      </c>
      <c r="U75" s="241">
        <v>0</v>
      </c>
      <c r="V75" s="241">
        <v>0</v>
      </c>
      <c r="W75" s="241">
        <v>142.48666666666665</v>
      </c>
      <c r="X75" s="241">
        <v>137.87345362652036</v>
      </c>
      <c r="Y75" s="241">
        <v>172.78546540567439</v>
      </c>
      <c r="Z75" s="241"/>
      <c r="AA75" s="241">
        <v>1219.9988905869518</v>
      </c>
    </row>
    <row r="76" spans="2:29">
      <c r="B76" s="242">
        <f t="shared" si="14"/>
        <v>2024</v>
      </c>
      <c r="C76" s="242">
        <v>7</v>
      </c>
      <c r="D76" s="461" t="s">
        <v>83</v>
      </c>
      <c r="E76" s="185">
        <f t="shared" si="15"/>
        <v>136.82689716818231</v>
      </c>
      <c r="P76" s="89" t="s">
        <v>85</v>
      </c>
      <c r="Q76" s="241">
        <v>269.75342465753425</v>
      </c>
      <c r="R76" s="241">
        <v>171.2876712328767</v>
      </c>
      <c r="S76" s="241">
        <v>153.45205479452054</v>
      </c>
      <c r="T76" s="241">
        <v>147.62295081967213</v>
      </c>
      <c r="U76" s="241">
        <v>0</v>
      </c>
      <c r="V76" s="241">
        <v>0</v>
      </c>
      <c r="W76" s="241">
        <v>119.5744086021505</v>
      </c>
      <c r="X76" s="241">
        <v>154.2585520094168</v>
      </c>
      <c r="Y76" s="241">
        <v>150.61224489795913</v>
      </c>
      <c r="Z76" s="241"/>
      <c r="AA76" s="241">
        <v>1166.5613070141301</v>
      </c>
    </row>
    <row r="77" spans="2:29">
      <c r="B77" s="242">
        <f t="shared" si="14"/>
        <v>2024</v>
      </c>
      <c r="C77" s="242">
        <v>8</v>
      </c>
      <c r="D77" s="461" t="s">
        <v>881</v>
      </c>
      <c r="E77" s="185">
        <f t="shared" si="15"/>
        <v>137.87345362652036</v>
      </c>
      <c r="P77" s="89" t="s">
        <v>86</v>
      </c>
      <c r="Q77" s="241">
        <v>278.74520547945207</v>
      </c>
      <c r="R77" s="241">
        <v>176.99726027397261</v>
      </c>
      <c r="S77" s="241">
        <v>158.56712328767122</v>
      </c>
      <c r="T77" s="241">
        <v>152.54371584699453</v>
      </c>
      <c r="U77" s="241">
        <v>0</v>
      </c>
      <c r="V77" s="241">
        <v>0</v>
      </c>
      <c r="W77" s="241">
        <v>117.79999999999994</v>
      </c>
      <c r="X77" s="241">
        <v>136.30701380778063</v>
      </c>
      <c r="Y77" s="241">
        <v>164.68050668543279</v>
      </c>
      <c r="Z77" s="241"/>
      <c r="AA77" s="241">
        <v>1185.6408253813038</v>
      </c>
    </row>
    <row r="78" spans="2:29">
      <c r="B78" s="242">
        <f t="shared" si="14"/>
        <v>2024</v>
      </c>
      <c r="C78" s="242">
        <v>9</v>
      </c>
      <c r="D78" s="461" t="s">
        <v>85</v>
      </c>
      <c r="E78" s="185">
        <f t="shared" si="15"/>
        <v>154.2585520094168</v>
      </c>
      <c r="P78" s="89" t="s">
        <v>87</v>
      </c>
      <c r="Q78" s="241">
        <v>269.75342465753425</v>
      </c>
      <c r="R78" s="241">
        <v>171.2876712328767</v>
      </c>
      <c r="S78" s="241">
        <v>153.45205479452054</v>
      </c>
      <c r="T78" s="241">
        <v>147.62295081967213</v>
      </c>
      <c r="U78" s="241">
        <v>0</v>
      </c>
      <c r="V78" s="241">
        <v>0</v>
      </c>
      <c r="W78" s="241">
        <v>123.38666666666657</v>
      </c>
      <c r="X78" s="241">
        <v>127.3893492543997</v>
      </c>
      <c r="Y78" s="241">
        <v>174.98275862068965</v>
      </c>
      <c r="Z78" s="241"/>
      <c r="AA78" s="241">
        <v>1167.8748760463595</v>
      </c>
    </row>
    <row r="79" spans="2:29">
      <c r="B79" s="242">
        <f t="shared" si="14"/>
        <v>2024</v>
      </c>
      <c r="C79" s="242">
        <v>10</v>
      </c>
      <c r="D79" s="461" t="s">
        <v>86</v>
      </c>
      <c r="E79" s="185">
        <f t="shared" si="15"/>
        <v>136.30701380778063</v>
      </c>
      <c r="P79" s="89" t="s">
        <v>882</v>
      </c>
      <c r="Q79" s="241">
        <v>278.74520547945207</v>
      </c>
      <c r="R79" s="241">
        <v>176.99726027397261</v>
      </c>
      <c r="S79" s="241">
        <v>158.56712328767122</v>
      </c>
      <c r="T79" s="241">
        <v>152.54371584699453</v>
      </c>
      <c r="U79" s="241">
        <v>0</v>
      </c>
      <c r="V79" s="241">
        <v>0</v>
      </c>
      <c r="W79" s="241">
        <v>132.47111111111107</v>
      </c>
      <c r="X79" s="241">
        <v>153.10414183202872</v>
      </c>
      <c r="Y79" s="241">
        <v>154.83333333333334</v>
      </c>
      <c r="Z79" s="241"/>
      <c r="AA79" s="241">
        <v>1207.2618911645638</v>
      </c>
    </row>
    <row r="80" spans="2:29">
      <c r="B80" s="242">
        <f t="shared" si="14"/>
        <v>2024</v>
      </c>
      <c r="C80" s="242">
        <v>11</v>
      </c>
      <c r="D80" s="461" t="s">
        <v>87</v>
      </c>
      <c r="E80" s="185">
        <f t="shared" si="15"/>
        <v>127.3893492543997</v>
      </c>
      <c r="P80" s="89" t="s">
        <v>89</v>
      </c>
      <c r="Q80" s="241">
        <v>3282</v>
      </c>
      <c r="R80" s="241">
        <v>2084</v>
      </c>
      <c r="S80" s="241">
        <v>1867</v>
      </c>
      <c r="T80" s="241">
        <v>1801</v>
      </c>
      <c r="U80" s="241">
        <v>0</v>
      </c>
      <c r="V80" s="241">
        <v>0</v>
      </c>
      <c r="W80" s="241">
        <v>1770.3477777777782</v>
      </c>
      <c r="X80" s="241">
        <v>1682.9444870634065</v>
      </c>
      <c r="Y80" s="241">
        <v>1937.2257891866773</v>
      </c>
      <c r="Z80" s="241">
        <v>32.666666666666671</v>
      </c>
      <c r="AA80" s="241">
        <v>14457.184720694544</v>
      </c>
    </row>
    <row r="81" spans="2:23">
      <c r="B81" s="242">
        <f t="shared" si="14"/>
        <v>2024</v>
      </c>
      <c r="C81" s="242">
        <v>12</v>
      </c>
      <c r="D81" s="461" t="s">
        <v>882</v>
      </c>
      <c r="E81" s="185">
        <f t="shared" si="15"/>
        <v>153.10414183202872</v>
      </c>
    </row>
    <row r="82" spans="2:23">
      <c r="B82" s="242">
        <f>$C$2</f>
        <v>2025</v>
      </c>
      <c r="C82" s="242">
        <v>1</v>
      </c>
      <c r="D82" s="461" t="s">
        <v>73</v>
      </c>
      <c r="E82" s="185">
        <f t="shared" si="15"/>
        <v>149.24911685863538</v>
      </c>
      <c r="F82" s="184">
        <f>(E82-E70)/E70</f>
        <v>0.13768028875417165</v>
      </c>
    </row>
    <row r="83" spans="2:23">
      <c r="B83" s="242">
        <f t="shared" ref="B83:B93" si="16">$C$2</f>
        <v>2025</v>
      </c>
      <c r="C83" s="242">
        <v>2</v>
      </c>
      <c r="D83" s="89" t="s">
        <v>880</v>
      </c>
      <c r="E83" s="185">
        <f t="shared" si="15"/>
        <v>127.03269328554011</v>
      </c>
      <c r="F83" s="184">
        <f t="shared" ref="F83:F93" si="17">(E83-E71)/E71</f>
        <v>5.0732829526083781E-2</v>
      </c>
    </row>
    <row r="84" spans="2:23">
      <c r="B84" s="242">
        <f t="shared" si="16"/>
        <v>2025</v>
      </c>
      <c r="C84" s="242">
        <v>3</v>
      </c>
      <c r="D84" s="461" t="s">
        <v>78</v>
      </c>
      <c r="E84" s="185">
        <f t="shared" si="15"/>
        <v>187.93322635432619</v>
      </c>
      <c r="F84" s="184">
        <f t="shared" si="17"/>
        <v>0.30801017287229554</v>
      </c>
    </row>
    <row r="85" spans="2:23">
      <c r="B85" s="242">
        <f t="shared" si="16"/>
        <v>2025</v>
      </c>
      <c r="C85" s="242">
        <v>4</v>
      </c>
      <c r="D85" s="461" t="s">
        <v>80</v>
      </c>
      <c r="E85" s="185">
        <f t="shared" si="15"/>
        <v>148.91271347248576</v>
      </c>
      <c r="F85" s="184">
        <f t="shared" si="17"/>
        <v>-1.1468739796879502E-2</v>
      </c>
    </row>
    <row r="86" spans="2:23">
      <c r="B86" s="242">
        <f t="shared" si="16"/>
        <v>2025</v>
      </c>
      <c r="C86" s="242">
        <v>5</v>
      </c>
      <c r="D86" s="461" t="s">
        <v>81</v>
      </c>
      <c r="E86" s="185">
        <f t="shared" si="15"/>
        <v>167.76470588235298</v>
      </c>
      <c r="F86" s="184">
        <f t="shared" si="17"/>
        <v>6.9655099989498342E-2</v>
      </c>
    </row>
    <row r="87" spans="2:23">
      <c r="B87" s="242">
        <f t="shared" si="16"/>
        <v>2025</v>
      </c>
      <c r="C87" s="242">
        <v>6</v>
      </c>
      <c r="D87" s="461" t="s">
        <v>82</v>
      </c>
      <c r="E87" s="185">
        <f t="shared" si="15"/>
        <v>162.14285714285717</v>
      </c>
      <c r="F87" s="184">
        <f t="shared" si="17"/>
        <v>0.21056669728779473</v>
      </c>
    </row>
    <row r="88" spans="2:23">
      <c r="B88" s="242">
        <f t="shared" si="16"/>
        <v>2025</v>
      </c>
      <c r="C88" s="242">
        <v>7</v>
      </c>
      <c r="D88" s="461" t="s">
        <v>83</v>
      </c>
      <c r="E88" s="185">
        <f t="shared" si="15"/>
        <v>176.29616724738671</v>
      </c>
      <c r="F88" s="184">
        <f t="shared" si="17"/>
        <v>0.28846133981018585</v>
      </c>
    </row>
    <row r="89" spans="2:23">
      <c r="B89" s="242">
        <f t="shared" si="16"/>
        <v>2025</v>
      </c>
      <c r="C89" s="242">
        <v>8</v>
      </c>
      <c r="D89" s="461" t="s">
        <v>881</v>
      </c>
      <c r="E89" s="185">
        <f t="shared" si="15"/>
        <v>172.78546540567439</v>
      </c>
      <c r="F89" s="184">
        <f t="shared" si="17"/>
        <v>0.25321779400497008</v>
      </c>
    </row>
    <row r="90" spans="2:23">
      <c r="B90" s="242">
        <f t="shared" si="16"/>
        <v>2025</v>
      </c>
      <c r="C90" s="242">
        <v>9</v>
      </c>
      <c r="D90" s="461" t="s">
        <v>85</v>
      </c>
      <c r="E90" s="185">
        <f t="shared" si="15"/>
        <v>150.61224489795913</v>
      </c>
      <c r="F90" s="184">
        <f t="shared" si="17"/>
        <v>-2.3637633466409579E-2</v>
      </c>
    </row>
    <row r="91" spans="2:23">
      <c r="B91" s="242">
        <f t="shared" si="16"/>
        <v>2025</v>
      </c>
      <c r="C91" s="242">
        <v>10</v>
      </c>
      <c r="D91" s="461" t="s">
        <v>86</v>
      </c>
      <c r="E91" s="185">
        <f t="shared" si="15"/>
        <v>164.68050668543279</v>
      </c>
      <c r="F91" s="184">
        <f t="shared" si="17"/>
        <v>0.2081587152783223</v>
      </c>
    </row>
    <row r="92" spans="2:23">
      <c r="B92" s="242">
        <f t="shared" si="16"/>
        <v>2025</v>
      </c>
      <c r="C92" s="242">
        <v>11</v>
      </c>
      <c r="D92" s="461" t="s">
        <v>87</v>
      </c>
      <c r="E92" s="185">
        <f t="shared" si="15"/>
        <v>174.98275862068965</v>
      </c>
      <c r="F92" s="184">
        <f t="shared" si="17"/>
        <v>0.37360587556848823</v>
      </c>
      <c r="P92" s="180" t="s">
        <v>64</v>
      </c>
      <c r="Q92" t="s">
        <v>79</v>
      </c>
      <c r="V92" s="180" t="s">
        <v>64</v>
      </c>
      <c r="W92" t="s">
        <v>885</v>
      </c>
    </row>
    <row r="93" spans="2:23">
      <c r="B93" s="242">
        <f t="shared" si="16"/>
        <v>2025</v>
      </c>
      <c r="C93" s="242">
        <v>12</v>
      </c>
      <c r="D93" s="461" t="s">
        <v>882</v>
      </c>
      <c r="E93" s="185">
        <f t="shared" si="15"/>
        <v>154.83333333333334</v>
      </c>
      <c r="F93" s="184">
        <f t="shared" si="17"/>
        <v>1.1294217652202581E-2</v>
      </c>
      <c r="P93" s="89">
        <v>2001</v>
      </c>
      <c r="Q93" s="241">
        <v>2423</v>
      </c>
      <c r="V93" s="89">
        <v>1</v>
      </c>
      <c r="W93" s="241">
        <v>383.35384615384618</v>
      </c>
    </row>
    <row r="94" spans="2:23">
      <c r="P94" s="181">
        <v>1</v>
      </c>
      <c r="Q94" s="241">
        <v>382</v>
      </c>
      <c r="V94" s="89">
        <v>2</v>
      </c>
      <c r="W94" s="241">
        <v>329.08</v>
      </c>
    </row>
    <row r="95" spans="2:23">
      <c r="P95" s="181">
        <v>2</v>
      </c>
      <c r="Q95" s="241">
        <v>322</v>
      </c>
      <c r="V95" s="89">
        <v>3</v>
      </c>
      <c r="W95" s="241">
        <v>284.72000000000003</v>
      </c>
    </row>
    <row r="96" spans="2:23">
      <c r="P96" s="181">
        <v>3</v>
      </c>
      <c r="Q96" s="241">
        <v>259</v>
      </c>
      <c r="V96" s="89">
        <v>4</v>
      </c>
      <c r="W96" s="241">
        <v>196.68</v>
      </c>
    </row>
    <row r="97" spans="16:23">
      <c r="P97" s="181">
        <v>4</v>
      </c>
      <c r="Q97" s="241">
        <v>246</v>
      </c>
      <c r="V97" s="89">
        <v>5</v>
      </c>
      <c r="W97" s="241">
        <v>116.56</v>
      </c>
    </row>
    <row r="98" spans="16:23">
      <c r="P98" s="181">
        <v>5</v>
      </c>
      <c r="Q98" s="241">
        <v>106</v>
      </c>
      <c r="V98" s="89">
        <v>6</v>
      </c>
      <c r="W98" s="241">
        <v>46.56</v>
      </c>
    </row>
    <row r="99" spans="16:23">
      <c r="P99" s="181">
        <v>6</v>
      </c>
      <c r="Q99" s="241">
        <v>70</v>
      </c>
      <c r="V99" s="89">
        <v>7</v>
      </c>
      <c r="W99" s="241">
        <v>27.88</v>
      </c>
    </row>
    <row r="100" spans="16:23">
      <c r="P100" s="181">
        <v>7</v>
      </c>
      <c r="Q100" s="241">
        <v>33</v>
      </c>
      <c r="V100" s="89">
        <v>8</v>
      </c>
      <c r="W100" s="241">
        <v>33.200000000000003</v>
      </c>
    </row>
    <row r="101" spans="16:23">
      <c r="P101" s="181">
        <v>8</v>
      </c>
      <c r="Q101" s="241">
        <v>30</v>
      </c>
      <c r="V101" s="89">
        <v>9</v>
      </c>
      <c r="W101" s="241">
        <v>73.28</v>
      </c>
    </row>
    <row r="102" spans="16:23">
      <c r="P102" s="181">
        <v>9</v>
      </c>
      <c r="Q102" s="241">
        <v>115</v>
      </c>
      <c r="V102" s="89">
        <v>10</v>
      </c>
      <c r="W102" s="241">
        <v>147.16</v>
      </c>
    </row>
    <row r="103" spans="16:23">
      <c r="P103" s="181">
        <v>10</v>
      </c>
      <c r="Q103" s="241">
        <v>87</v>
      </c>
      <c r="V103" s="89">
        <v>11</v>
      </c>
      <c r="W103" s="241">
        <v>269.83999999999997</v>
      </c>
    </row>
    <row r="104" spans="16:23">
      <c r="P104" s="181">
        <v>11</v>
      </c>
      <c r="Q104" s="241">
        <v>330</v>
      </c>
      <c r="V104" s="89">
        <v>12</v>
      </c>
      <c r="W104" s="241">
        <v>367.8</v>
      </c>
    </row>
    <row r="105" spans="16:23">
      <c r="P105" s="181">
        <v>12</v>
      </c>
      <c r="Q105" s="241">
        <v>443</v>
      </c>
      <c r="V105" s="89" t="s">
        <v>77</v>
      </c>
      <c r="W105" s="241"/>
    </row>
    <row r="106" spans="16:23">
      <c r="P106" s="89">
        <v>2002</v>
      </c>
      <c r="Q106" s="241">
        <v>2195</v>
      </c>
      <c r="V106" s="89" t="s">
        <v>89</v>
      </c>
      <c r="W106" s="241">
        <v>190.31960132890364</v>
      </c>
    </row>
    <row r="107" spans="16:23">
      <c r="P107" s="181">
        <v>1</v>
      </c>
      <c r="Q107" s="241">
        <v>342</v>
      </c>
    </row>
    <row r="108" spans="16:23">
      <c r="P108" s="181">
        <v>2</v>
      </c>
      <c r="Q108" s="241">
        <v>262</v>
      </c>
    </row>
    <row r="109" spans="16:23">
      <c r="P109" s="181">
        <v>3</v>
      </c>
      <c r="Q109" s="241">
        <v>281</v>
      </c>
    </row>
    <row r="110" spans="16:23">
      <c r="P110" s="181">
        <v>4</v>
      </c>
      <c r="Q110" s="241">
        <v>202</v>
      </c>
    </row>
    <row r="111" spans="16:23">
      <c r="P111" s="181">
        <v>5</v>
      </c>
      <c r="Q111" s="241">
        <v>147</v>
      </c>
    </row>
    <row r="112" spans="16:23">
      <c r="P112" s="181">
        <v>6</v>
      </c>
      <c r="Q112" s="241">
        <v>59</v>
      </c>
    </row>
    <row r="113" spans="16:17">
      <c r="P113" s="181">
        <v>7</v>
      </c>
      <c r="Q113" s="241">
        <v>50</v>
      </c>
    </row>
    <row r="114" spans="16:17">
      <c r="P114" s="181">
        <v>8</v>
      </c>
      <c r="Q114" s="241">
        <v>39</v>
      </c>
    </row>
    <row r="115" spans="16:17">
      <c r="P115" s="181">
        <v>9</v>
      </c>
      <c r="Q115" s="241">
        <v>92</v>
      </c>
    </row>
    <row r="116" spans="16:17">
      <c r="P116" s="181">
        <v>10</v>
      </c>
      <c r="Q116" s="241">
        <v>158</v>
      </c>
    </row>
    <row r="117" spans="16:17">
      <c r="P117" s="181">
        <v>11</v>
      </c>
      <c r="Q117" s="241">
        <v>249</v>
      </c>
    </row>
    <row r="118" spans="16:17">
      <c r="P118" s="181">
        <v>12</v>
      </c>
      <c r="Q118" s="241">
        <v>314</v>
      </c>
    </row>
    <row r="119" spans="16:17">
      <c r="P119" s="89">
        <v>2003</v>
      </c>
      <c r="Q119" s="241">
        <v>2384</v>
      </c>
    </row>
    <row r="120" spans="16:17">
      <c r="P120" s="181">
        <v>1</v>
      </c>
      <c r="Q120" s="241">
        <v>451</v>
      </c>
    </row>
    <row r="121" spans="16:17">
      <c r="P121" s="181">
        <v>2</v>
      </c>
      <c r="Q121" s="241">
        <v>368</v>
      </c>
    </row>
    <row r="122" spans="16:17">
      <c r="P122" s="181">
        <v>3</v>
      </c>
      <c r="Q122" s="241">
        <v>234</v>
      </c>
    </row>
    <row r="123" spans="16:17">
      <c r="P123" s="181">
        <v>4</v>
      </c>
      <c r="Q123" s="241">
        <v>198</v>
      </c>
    </row>
    <row r="124" spans="16:17">
      <c r="P124" s="181">
        <v>5</v>
      </c>
      <c r="Q124" s="241">
        <v>127</v>
      </c>
    </row>
    <row r="125" spans="16:17">
      <c r="P125" s="181">
        <v>6</v>
      </c>
      <c r="Q125" s="241">
        <v>18</v>
      </c>
    </row>
    <row r="126" spans="16:17">
      <c r="P126" s="181">
        <v>7</v>
      </c>
      <c r="Q126" s="241">
        <v>22</v>
      </c>
    </row>
    <row r="127" spans="16:17">
      <c r="P127" s="181">
        <v>8</v>
      </c>
      <c r="Q127" s="241">
        <v>17</v>
      </c>
    </row>
    <row r="128" spans="16:17">
      <c r="P128" s="181">
        <v>9</v>
      </c>
      <c r="Q128" s="241">
        <v>78</v>
      </c>
    </row>
    <row r="129" spans="16:17">
      <c r="P129" s="181">
        <v>10</v>
      </c>
      <c r="Q129" s="241">
        <v>234</v>
      </c>
    </row>
    <row r="130" spans="16:17">
      <c r="P130" s="181">
        <v>11</v>
      </c>
      <c r="Q130" s="241">
        <v>257</v>
      </c>
    </row>
    <row r="131" spans="16:17">
      <c r="P131" s="181">
        <v>12</v>
      </c>
      <c r="Q131" s="241">
        <v>380</v>
      </c>
    </row>
    <row r="132" spans="16:17">
      <c r="P132" s="89">
        <v>2004</v>
      </c>
      <c r="Q132" s="241">
        <v>2472</v>
      </c>
    </row>
    <row r="133" spans="16:17">
      <c r="P133" s="181">
        <v>1</v>
      </c>
      <c r="Q133" s="241">
        <v>372</v>
      </c>
    </row>
    <row r="134" spans="16:17">
      <c r="P134" s="181">
        <v>2</v>
      </c>
      <c r="Q134" s="241">
        <v>346</v>
      </c>
    </row>
    <row r="135" spans="16:17">
      <c r="P135" s="181">
        <v>3</v>
      </c>
      <c r="Q135" s="241">
        <v>335</v>
      </c>
    </row>
    <row r="136" spans="16:17">
      <c r="P136" s="181">
        <v>4</v>
      </c>
      <c r="Q136" s="241">
        <v>210</v>
      </c>
    </row>
    <row r="137" spans="16:17">
      <c r="P137" s="181">
        <v>5</v>
      </c>
      <c r="Q137" s="241">
        <v>141</v>
      </c>
    </row>
    <row r="138" spans="16:17">
      <c r="P138" s="181">
        <v>6</v>
      </c>
      <c r="Q138" s="241">
        <v>53</v>
      </c>
    </row>
    <row r="139" spans="16:17">
      <c r="P139" s="181">
        <v>7</v>
      </c>
      <c r="Q139" s="241">
        <v>41</v>
      </c>
    </row>
    <row r="140" spans="16:17">
      <c r="P140" s="181">
        <v>8</v>
      </c>
      <c r="Q140" s="241">
        <v>25</v>
      </c>
    </row>
    <row r="141" spans="16:17">
      <c r="P141" s="181">
        <v>9</v>
      </c>
      <c r="Q141" s="241">
        <v>71</v>
      </c>
    </row>
    <row r="142" spans="16:17">
      <c r="P142" s="181">
        <v>10</v>
      </c>
      <c r="Q142" s="241">
        <v>156</v>
      </c>
    </row>
    <row r="143" spans="16:17">
      <c r="P143" s="181">
        <v>11</v>
      </c>
      <c r="Q143" s="241">
        <v>298</v>
      </c>
    </row>
    <row r="144" spans="16:17">
      <c r="P144" s="181">
        <v>12</v>
      </c>
      <c r="Q144" s="241">
        <v>424</v>
      </c>
    </row>
    <row r="145" spans="16:17">
      <c r="P145" s="89">
        <v>2005</v>
      </c>
      <c r="Q145" s="241">
        <v>2428</v>
      </c>
    </row>
    <row r="146" spans="16:17">
      <c r="P146" s="181">
        <v>1</v>
      </c>
      <c r="Q146" s="241">
        <v>363</v>
      </c>
    </row>
    <row r="147" spans="16:17">
      <c r="P147" s="181">
        <v>2</v>
      </c>
      <c r="Q147" s="241">
        <v>386</v>
      </c>
    </row>
    <row r="148" spans="16:17">
      <c r="P148" s="181">
        <v>3</v>
      </c>
      <c r="Q148" s="241">
        <v>312</v>
      </c>
    </row>
    <row r="149" spans="16:17">
      <c r="P149" s="181">
        <v>4</v>
      </c>
      <c r="Q149" s="241">
        <v>206</v>
      </c>
    </row>
    <row r="150" spans="16:17">
      <c r="P150" s="181">
        <v>5</v>
      </c>
      <c r="Q150" s="241">
        <v>129</v>
      </c>
    </row>
    <row r="151" spans="16:17">
      <c r="P151" s="181">
        <v>6</v>
      </c>
      <c r="Q151" s="241">
        <v>47</v>
      </c>
    </row>
    <row r="152" spans="16:17">
      <c r="P152" s="181">
        <v>7</v>
      </c>
      <c r="Q152" s="241">
        <v>23</v>
      </c>
    </row>
    <row r="153" spans="16:17">
      <c r="P153" s="181">
        <v>8</v>
      </c>
      <c r="Q153" s="241">
        <v>52</v>
      </c>
    </row>
    <row r="154" spans="16:17">
      <c r="P154" s="181">
        <v>9</v>
      </c>
      <c r="Q154" s="241">
        <v>69</v>
      </c>
    </row>
    <row r="155" spans="16:17">
      <c r="P155" s="181">
        <v>10</v>
      </c>
      <c r="Q155" s="241">
        <v>74</v>
      </c>
    </row>
    <row r="156" spans="16:17">
      <c r="P156" s="181">
        <v>11</v>
      </c>
      <c r="Q156" s="241">
        <v>327</v>
      </c>
    </row>
    <row r="157" spans="16:17">
      <c r="P157" s="181">
        <v>12</v>
      </c>
      <c r="Q157" s="241">
        <v>440</v>
      </c>
    </row>
    <row r="158" spans="16:17">
      <c r="P158" s="89">
        <v>2006</v>
      </c>
      <c r="Q158" s="241">
        <v>2355</v>
      </c>
    </row>
    <row r="159" spans="16:17">
      <c r="P159" s="181">
        <v>1</v>
      </c>
      <c r="Q159" s="241">
        <v>432</v>
      </c>
    </row>
    <row r="160" spans="16:17">
      <c r="P160" s="181">
        <v>2</v>
      </c>
      <c r="Q160" s="241">
        <v>396</v>
      </c>
    </row>
    <row r="161" spans="16:17">
      <c r="P161" s="181">
        <v>3</v>
      </c>
      <c r="Q161" s="241">
        <v>331</v>
      </c>
    </row>
    <row r="162" spans="16:17">
      <c r="P162" s="181">
        <v>4</v>
      </c>
      <c r="Q162" s="241">
        <v>217</v>
      </c>
    </row>
    <row r="163" spans="16:17">
      <c r="P163" s="181">
        <v>5</v>
      </c>
      <c r="Q163" s="241">
        <v>114</v>
      </c>
    </row>
    <row r="164" spans="16:17">
      <c r="P164" s="181">
        <v>6</v>
      </c>
      <c r="Q164" s="241">
        <v>42</v>
      </c>
    </row>
    <row r="165" spans="16:17">
      <c r="P165" s="181">
        <v>7</v>
      </c>
      <c r="Q165" s="241">
        <v>5</v>
      </c>
    </row>
    <row r="166" spans="16:17">
      <c r="P166" s="181">
        <v>8</v>
      </c>
      <c r="Q166" s="241">
        <v>51</v>
      </c>
    </row>
    <row r="167" spans="16:17">
      <c r="P167" s="181">
        <v>9</v>
      </c>
      <c r="Q167" s="241">
        <v>33</v>
      </c>
    </row>
    <row r="168" spans="16:17">
      <c r="P168" s="181">
        <v>10</v>
      </c>
      <c r="Q168" s="241">
        <v>95</v>
      </c>
    </row>
    <row r="169" spans="16:17">
      <c r="P169" s="181">
        <v>11</v>
      </c>
      <c r="Q169" s="241">
        <v>252</v>
      </c>
    </row>
    <row r="170" spans="16:17">
      <c r="P170" s="181">
        <v>12</v>
      </c>
      <c r="Q170" s="241">
        <v>387</v>
      </c>
    </row>
    <row r="171" spans="16:17">
      <c r="P171" s="89">
        <v>2007</v>
      </c>
      <c r="Q171" s="241">
        <v>2261</v>
      </c>
    </row>
    <row r="172" spans="16:17">
      <c r="P172" s="181">
        <v>1</v>
      </c>
      <c r="Q172" s="241">
        <v>320</v>
      </c>
    </row>
    <row r="173" spans="16:17">
      <c r="P173" s="181">
        <v>2</v>
      </c>
      <c r="Q173" s="241">
        <v>263</v>
      </c>
    </row>
    <row r="174" spans="16:17">
      <c r="P174" s="181">
        <v>3</v>
      </c>
      <c r="Q174" s="241">
        <v>309</v>
      </c>
    </row>
    <row r="175" spans="16:17">
      <c r="P175" s="181">
        <v>4</v>
      </c>
      <c r="Q175" s="241">
        <v>123</v>
      </c>
    </row>
    <row r="176" spans="16:17">
      <c r="P176" s="181">
        <v>5</v>
      </c>
      <c r="Q176" s="241">
        <v>94</v>
      </c>
    </row>
    <row r="177" spans="16:17">
      <c r="P177" s="181">
        <v>6</v>
      </c>
      <c r="Q177" s="241">
        <v>47</v>
      </c>
    </row>
    <row r="178" spans="16:17">
      <c r="P178" s="181">
        <v>7</v>
      </c>
      <c r="Q178" s="241">
        <v>42</v>
      </c>
    </row>
    <row r="179" spans="16:17">
      <c r="P179" s="181">
        <v>8</v>
      </c>
      <c r="Q179" s="241">
        <v>47</v>
      </c>
    </row>
    <row r="180" spans="16:17">
      <c r="P180" s="181">
        <v>9</v>
      </c>
      <c r="Q180" s="241">
        <v>109</v>
      </c>
    </row>
    <row r="181" spans="16:17">
      <c r="P181" s="181">
        <v>10</v>
      </c>
      <c r="Q181" s="241">
        <v>188</v>
      </c>
    </row>
    <row r="182" spans="16:17">
      <c r="P182" s="181">
        <v>11</v>
      </c>
      <c r="Q182" s="241">
        <v>316</v>
      </c>
    </row>
    <row r="183" spans="16:17">
      <c r="P183" s="181">
        <v>12</v>
      </c>
      <c r="Q183" s="241">
        <v>403</v>
      </c>
    </row>
    <row r="184" spans="16:17">
      <c r="P184" s="89">
        <v>2008</v>
      </c>
      <c r="Q184" s="241">
        <v>2436</v>
      </c>
    </row>
    <row r="185" spans="16:17">
      <c r="P185" s="181">
        <v>1</v>
      </c>
      <c r="Q185" s="241">
        <v>337</v>
      </c>
    </row>
    <row r="186" spans="16:17">
      <c r="P186" s="181">
        <v>2</v>
      </c>
      <c r="Q186" s="241">
        <v>302</v>
      </c>
    </row>
    <row r="187" spans="16:17">
      <c r="P187" s="181">
        <v>3</v>
      </c>
      <c r="Q187" s="241">
        <v>305</v>
      </c>
    </row>
    <row r="188" spans="16:17">
      <c r="P188" s="181">
        <v>4</v>
      </c>
      <c r="Q188" s="241">
        <v>239</v>
      </c>
    </row>
    <row r="189" spans="16:17">
      <c r="P189" s="181">
        <v>5</v>
      </c>
      <c r="Q189" s="241">
        <v>84</v>
      </c>
    </row>
    <row r="190" spans="16:17">
      <c r="P190" s="181">
        <v>6</v>
      </c>
      <c r="Q190" s="241">
        <v>57</v>
      </c>
    </row>
    <row r="191" spans="16:17">
      <c r="P191" s="181">
        <v>7</v>
      </c>
      <c r="Q191" s="241">
        <v>40</v>
      </c>
    </row>
    <row r="192" spans="16:17">
      <c r="P192" s="181">
        <v>8</v>
      </c>
      <c r="Q192" s="241">
        <v>41</v>
      </c>
    </row>
    <row r="193" spans="16:17">
      <c r="P193" s="181">
        <v>9</v>
      </c>
      <c r="Q193" s="241">
        <v>107</v>
      </c>
    </row>
    <row r="194" spans="16:17">
      <c r="P194" s="181">
        <v>10</v>
      </c>
      <c r="Q194" s="241">
        <v>211</v>
      </c>
    </row>
    <row r="195" spans="16:17">
      <c r="P195" s="181">
        <v>11</v>
      </c>
      <c r="Q195" s="241">
        <v>284</v>
      </c>
    </row>
    <row r="196" spans="16:17">
      <c r="P196" s="181">
        <v>12</v>
      </c>
      <c r="Q196" s="241">
        <v>429</v>
      </c>
    </row>
    <row r="197" spans="16:17">
      <c r="P197" s="89">
        <v>2009</v>
      </c>
      <c r="Q197" s="241">
        <v>2448</v>
      </c>
    </row>
    <row r="198" spans="16:17">
      <c r="P198" s="181">
        <v>1</v>
      </c>
      <c r="Q198" s="241">
        <v>492</v>
      </c>
    </row>
    <row r="199" spans="16:17">
      <c r="P199" s="181">
        <v>2</v>
      </c>
      <c r="Q199" s="241">
        <v>371</v>
      </c>
    </row>
    <row r="200" spans="16:17">
      <c r="P200" s="181">
        <v>3</v>
      </c>
      <c r="Q200" s="241">
        <v>310</v>
      </c>
    </row>
    <row r="201" spans="16:17">
      <c r="P201" s="181">
        <v>4</v>
      </c>
      <c r="Q201" s="241">
        <v>184</v>
      </c>
    </row>
    <row r="202" spans="16:17">
      <c r="P202" s="181">
        <v>5</v>
      </c>
      <c r="Q202" s="241">
        <v>106</v>
      </c>
    </row>
    <row r="203" spans="16:17">
      <c r="P203" s="181">
        <v>6</v>
      </c>
      <c r="Q203" s="241">
        <v>59</v>
      </c>
    </row>
    <row r="204" spans="16:17">
      <c r="P204" s="181">
        <v>7</v>
      </c>
      <c r="Q204" s="241">
        <v>35</v>
      </c>
    </row>
    <row r="205" spans="16:17">
      <c r="P205" s="181">
        <v>8</v>
      </c>
      <c r="Q205" s="241">
        <v>27</v>
      </c>
    </row>
    <row r="206" spans="16:17">
      <c r="P206" s="181">
        <v>9</v>
      </c>
      <c r="Q206" s="241">
        <v>64</v>
      </c>
    </row>
    <row r="207" spans="16:17">
      <c r="P207" s="181">
        <v>10</v>
      </c>
      <c r="Q207" s="241">
        <v>164</v>
      </c>
    </row>
    <row r="208" spans="16:17">
      <c r="P208" s="181">
        <v>11</v>
      </c>
      <c r="Q208" s="241">
        <v>222</v>
      </c>
    </row>
    <row r="209" spans="16:17">
      <c r="P209" s="181">
        <v>12</v>
      </c>
      <c r="Q209" s="241">
        <v>414</v>
      </c>
    </row>
    <row r="210" spans="16:17">
      <c r="P210" s="89">
        <v>2010</v>
      </c>
      <c r="Q210" s="241">
        <v>2751</v>
      </c>
    </row>
    <row r="211" spans="16:17">
      <c r="P211" s="181">
        <v>1</v>
      </c>
      <c r="Q211" s="241">
        <v>501</v>
      </c>
    </row>
    <row r="212" spans="16:17">
      <c r="P212" s="181">
        <v>2</v>
      </c>
      <c r="Q212" s="241">
        <v>370</v>
      </c>
    </row>
    <row r="213" spans="16:17">
      <c r="P213" s="181">
        <v>3</v>
      </c>
      <c r="Q213" s="241">
        <v>312</v>
      </c>
    </row>
    <row r="214" spans="16:17">
      <c r="P214" s="181">
        <v>4</v>
      </c>
      <c r="Q214" s="241">
        <v>199</v>
      </c>
    </row>
    <row r="215" spans="16:17">
      <c r="P215" s="181">
        <v>5</v>
      </c>
      <c r="Q215" s="241">
        <v>155</v>
      </c>
    </row>
    <row r="216" spans="16:17">
      <c r="P216" s="181">
        <v>6</v>
      </c>
      <c r="Q216" s="241">
        <v>46</v>
      </c>
    </row>
    <row r="217" spans="16:17">
      <c r="P217" s="181">
        <v>7</v>
      </c>
      <c r="Q217" s="241">
        <v>22</v>
      </c>
    </row>
    <row r="218" spans="16:17">
      <c r="P218" s="181">
        <v>8</v>
      </c>
      <c r="Q218" s="241">
        <v>41</v>
      </c>
    </row>
    <row r="219" spans="16:17">
      <c r="P219" s="181">
        <v>9</v>
      </c>
      <c r="Q219" s="241">
        <v>95</v>
      </c>
    </row>
    <row r="220" spans="16:17">
      <c r="P220" s="181">
        <v>10</v>
      </c>
      <c r="Q220" s="241">
        <v>190</v>
      </c>
    </row>
    <row r="221" spans="16:17">
      <c r="P221" s="181">
        <v>11</v>
      </c>
      <c r="Q221" s="241">
        <v>320</v>
      </c>
    </row>
    <row r="222" spans="16:17">
      <c r="P222" s="181">
        <v>12</v>
      </c>
      <c r="Q222" s="241">
        <v>500</v>
      </c>
    </row>
    <row r="223" spans="16:17">
      <c r="P223" s="89">
        <v>2011</v>
      </c>
      <c r="Q223" s="241">
        <v>2034</v>
      </c>
    </row>
    <row r="224" spans="16:17">
      <c r="P224" s="181">
        <v>1</v>
      </c>
      <c r="Q224" s="241">
        <v>392</v>
      </c>
    </row>
    <row r="225" spans="16:17">
      <c r="P225" s="181">
        <v>2</v>
      </c>
      <c r="Q225" s="241">
        <v>298</v>
      </c>
    </row>
    <row r="226" spans="16:17">
      <c r="P226" s="181">
        <v>3</v>
      </c>
      <c r="Q226" s="241">
        <v>265</v>
      </c>
    </row>
    <row r="227" spans="16:17">
      <c r="P227" s="181">
        <v>4</v>
      </c>
      <c r="Q227" s="241">
        <v>136</v>
      </c>
    </row>
    <row r="228" spans="16:17">
      <c r="P228" s="181">
        <v>5</v>
      </c>
      <c r="Q228" s="241">
        <v>92</v>
      </c>
    </row>
    <row r="229" spans="16:17">
      <c r="P229" s="181">
        <v>6</v>
      </c>
      <c r="Q229" s="241">
        <v>56</v>
      </c>
    </row>
    <row r="230" spans="16:17">
      <c r="P230" s="181">
        <v>7</v>
      </c>
      <c r="Q230" s="241">
        <v>51</v>
      </c>
    </row>
    <row r="231" spans="16:17">
      <c r="P231" s="181">
        <v>8</v>
      </c>
      <c r="Q231" s="241">
        <v>35</v>
      </c>
    </row>
    <row r="232" spans="16:17">
      <c r="P232" s="181">
        <v>9</v>
      </c>
      <c r="Q232" s="241">
        <v>53</v>
      </c>
    </row>
    <row r="233" spans="16:17">
      <c r="P233" s="181">
        <v>10</v>
      </c>
      <c r="Q233" s="241">
        <v>145</v>
      </c>
    </row>
    <row r="234" spans="16:17">
      <c r="P234" s="181">
        <v>11</v>
      </c>
      <c r="Q234" s="241">
        <v>204</v>
      </c>
    </row>
    <row r="235" spans="16:17">
      <c r="P235" s="181">
        <v>12</v>
      </c>
      <c r="Q235" s="241">
        <v>307</v>
      </c>
    </row>
    <row r="236" spans="16:17">
      <c r="P236" s="89">
        <v>2012</v>
      </c>
      <c r="Q236" s="241">
        <v>2459</v>
      </c>
    </row>
    <row r="237" spans="16:17">
      <c r="P237" s="181">
        <v>1</v>
      </c>
      <c r="Q237" s="241">
        <v>347</v>
      </c>
    </row>
    <row r="238" spans="16:17">
      <c r="P238" s="181">
        <v>2</v>
      </c>
      <c r="Q238" s="241">
        <v>469</v>
      </c>
    </row>
    <row r="239" spans="16:17">
      <c r="P239" s="181">
        <v>3</v>
      </c>
      <c r="Q239" s="241">
        <v>247</v>
      </c>
    </row>
    <row r="240" spans="16:17">
      <c r="P240" s="181">
        <v>4</v>
      </c>
      <c r="Q240" s="241">
        <v>253</v>
      </c>
    </row>
    <row r="241" spans="16:17">
      <c r="P241" s="181">
        <v>5</v>
      </c>
      <c r="Q241" s="241">
        <v>114</v>
      </c>
    </row>
    <row r="242" spans="16:17">
      <c r="P242" s="181">
        <v>6</v>
      </c>
      <c r="Q242" s="241">
        <v>59</v>
      </c>
    </row>
    <row r="243" spans="16:17">
      <c r="P243" s="181">
        <v>7</v>
      </c>
      <c r="Q243" s="241">
        <v>49</v>
      </c>
    </row>
    <row r="244" spans="16:17">
      <c r="P244" s="181">
        <v>8</v>
      </c>
      <c r="Q244" s="241">
        <v>28</v>
      </c>
    </row>
    <row r="245" spans="16:17">
      <c r="P245" s="181">
        <v>9</v>
      </c>
      <c r="Q245" s="241">
        <v>102</v>
      </c>
    </row>
    <row r="246" spans="16:17">
      <c r="P246" s="181">
        <v>10</v>
      </c>
      <c r="Q246" s="241">
        <v>161</v>
      </c>
    </row>
    <row r="247" spans="16:17">
      <c r="P247" s="181">
        <v>11</v>
      </c>
      <c r="Q247" s="241">
        <v>297</v>
      </c>
    </row>
    <row r="248" spans="16:17">
      <c r="P248" s="181">
        <v>12</v>
      </c>
      <c r="Q248" s="241">
        <v>333</v>
      </c>
    </row>
    <row r="249" spans="16:17">
      <c r="P249" s="89">
        <v>2013</v>
      </c>
      <c r="Q249" s="241">
        <v>2576</v>
      </c>
    </row>
    <row r="250" spans="16:17">
      <c r="P250" s="181">
        <v>1</v>
      </c>
      <c r="Q250" s="241">
        <v>409</v>
      </c>
    </row>
    <row r="251" spans="16:17">
      <c r="P251" s="181">
        <v>2</v>
      </c>
      <c r="Q251" s="241">
        <v>388</v>
      </c>
    </row>
    <row r="252" spans="16:17">
      <c r="P252" s="181">
        <v>3</v>
      </c>
      <c r="Q252" s="241">
        <v>359</v>
      </c>
    </row>
    <row r="253" spans="16:17">
      <c r="P253" s="181">
        <v>4</v>
      </c>
      <c r="Q253" s="241">
        <v>247</v>
      </c>
    </row>
    <row r="254" spans="16:17">
      <c r="P254" s="181">
        <v>5</v>
      </c>
      <c r="Q254" s="241">
        <v>175</v>
      </c>
    </row>
    <row r="255" spans="16:17">
      <c r="P255" s="181">
        <v>6</v>
      </c>
      <c r="Q255" s="241">
        <v>68</v>
      </c>
    </row>
    <row r="256" spans="16:17">
      <c r="P256" s="181">
        <v>7</v>
      </c>
      <c r="Q256" s="241">
        <v>13</v>
      </c>
    </row>
    <row r="257" spans="16:17">
      <c r="P257" s="181">
        <v>8</v>
      </c>
      <c r="Q257" s="241">
        <v>38</v>
      </c>
    </row>
    <row r="258" spans="16:17">
      <c r="P258" s="181">
        <v>9</v>
      </c>
      <c r="Q258" s="241">
        <v>69</v>
      </c>
    </row>
    <row r="259" spans="16:17">
      <c r="P259" s="181">
        <v>10</v>
      </c>
      <c r="Q259" s="241">
        <v>122</v>
      </c>
    </row>
    <row r="260" spans="16:17">
      <c r="P260" s="181">
        <v>11</v>
      </c>
      <c r="Q260" s="241">
        <v>308</v>
      </c>
    </row>
    <row r="261" spans="16:17">
      <c r="P261" s="181">
        <v>12</v>
      </c>
      <c r="Q261" s="241">
        <v>380</v>
      </c>
    </row>
    <row r="262" spans="16:17">
      <c r="P262" s="89">
        <v>2014</v>
      </c>
      <c r="Q262" s="241">
        <v>2064</v>
      </c>
    </row>
    <row r="263" spans="16:17">
      <c r="P263" s="181">
        <v>1</v>
      </c>
      <c r="Q263" s="241">
        <v>320</v>
      </c>
    </row>
    <row r="264" spans="16:17">
      <c r="P264" s="181">
        <v>2</v>
      </c>
      <c r="Q264" s="241">
        <v>280</v>
      </c>
    </row>
    <row r="265" spans="16:17">
      <c r="P265" s="181">
        <v>3</v>
      </c>
      <c r="Q265" s="241">
        <v>264</v>
      </c>
    </row>
    <row r="266" spans="16:17">
      <c r="P266" s="181">
        <v>4</v>
      </c>
      <c r="Q266" s="241">
        <v>174</v>
      </c>
    </row>
    <row r="267" spans="16:17">
      <c r="P267" s="181">
        <v>5</v>
      </c>
      <c r="Q267" s="241">
        <v>133</v>
      </c>
    </row>
    <row r="268" spans="16:17">
      <c r="P268" s="181">
        <v>6</v>
      </c>
      <c r="Q268" s="241">
        <v>48</v>
      </c>
    </row>
    <row r="269" spans="16:17">
      <c r="P269" s="181">
        <v>7</v>
      </c>
      <c r="Q269" s="241">
        <v>22</v>
      </c>
    </row>
    <row r="270" spans="16:17">
      <c r="P270" s="181">
        <v>8</v>
      </c>
      <c r="Q270" s="241">
        <v>52</v>
      </c>
    </row>
    <row r="271" spans="16:17">
      <c r="P271" s="181">
        <v>9</v>
      </c>
      <c r="Q271" s="241">
        <v>54</v>
      </c>
    </row>
    <row r="272" spans="16:17">
      <c r="P272" s="181">
        <v>10</v>
      </c>
      <c r="Q272" s="241">
        <v>124</v>
      </c>
    </row>
    <row r="273" spans="16:17">
      <c r="P273" s="181">
        <v>11</v>
      </c>
      <c r="Q273" s="241">
        <v>219</v>
      </c>
    </row>
    <row r="274" spans="16:17">
      <c r="P274" s="181">
        <v>12</v>
      </c>
      <c r="Q274" s="241">
        <v>374</v>
      </c>
    </row>
    <row r="275" spans="16:17">
      <c r="P275" s="89">
        <v>2015</v>
      </c>
      <c r="Q275" s="241">
        <v>2183</v>
      </c>
    </row>
    <row r="276" spans="16:17">
      <c r="P276" s="181">
        <v>1</v>
      </c>
      <c r="Q276" s="241">
        <v>391</v>
      </c>
    </row>
    <row r="277" spans="16:17">
      <c r="P277" s="181">
        <v>2</v>
      </c>
      <c r="Q277" s="241">
        <v>366</v>
      </c>
    </row>
    <row r="278" spans="16:17">
      <c r="P278" s="181">
        <v>3</v>
      </c>
      <c r="Q278" s="241">
        <v>300</v>
      </c>
    </row>
    <row r="279" spans="16:17">
      <c r="P279" s="181">
        <v>4</v>
      </c>
      <c r="Q279" s="241">
        <v>166</v>
      </c>
    </row>
    <row r="280" spans="16:17">
      <c r="P280" s="181">
        <v>5</v>
      </c>
      <c r="Q280" s="241">
        <v>120</v>
      </c>
    </row>
    <row r="281" spans="16:17">
      <c r="P281" s="181">
        <v>6</v>
      </c>
      <c r="Q281" s="241">
        <v>52</v>
      </c>
    </row>
    <row r="282" spans="16:17">
      <c r="P282" s="181">
        <v>7</v>
      </c>
      <c r="Q282" s="241">
        <v>29</v>
      </c>
    </row>
    <row r="283" spans="16:17">
      <c r="P283" s="181">
        <v>8</v>
      </c>
      <c r="Q283" s="241">
        <v>32</v>
      </c>
    </row>
    <row r="284" spans="16:17">
      <c r="P284" s="181">
        <v>9</v>
      </c>
      <c r="Q284" s="241">
        <v>97</v>
      </c>
    </row>
    <row r="285" spans="16:17">
      <c r="P285" s="181">
        <v>10</v>
      </c>
      <c r="Q285" s="241">
        <v>181</v>
      </c>
    </row>
    <row r="286" spans="16:17">
      <c r="P286" s="181">
        <v>11</v>
      </c>
      <c r="Q286" s="241">
        <v>191</v>
      </c>
    </row>
    <row r="287" spans="16:17">
      <c r="P287" s="181">
        <v>12</v>
      </c>
      <c r="Q287" s="241">
        <v>258</v>
      </c>
    </row>
    <row r="288" spans="16:17">
      <c r="P288" s="89">
        <v>2016</v>
      </c>
      <c r="Q288" s="241">
        <v>2421</v>
      </c>
    </row>
    <row r="289" spans="16:17">
      <c r="P289" s="181">
        <v>1</v>
      </c>
      <c r="Q289" s="241">
        <v>348</v>
      </c>
    </row>
    <row r="290" spans="16:17">
      <c r="P290" s="181">
        <v>2</v>
      </c>
      <c r="Q290" s="241">
        <v>319</v>
      </c>
    </row>
    <row r="291" spans="16:17">
      <c r="P291" s="181">
        <v>3</v>
      </c>
      <c r="Q291" s="241">
        <v>328</v>
      </c>
    </row>
    <row r="292" spans="16:17">
      <c r="P292" s="181">
        <v>4</v>
      </c>
      <c r="Q292" s="241">
        <v>252</v>
      </c>
    </row>
    <row r="293" spans="16:17">
      <c r="P293" s="181">
        <v>5</v>
      </c>
      <c r="Q293" s="241">
        <v>126</v>
      </c>
    </row>
    <row r="294" spans="16:17">
      <c r="P294" s="181">
        <v>6</v>
      </c>
      <c r="Q294" s="241">
        <v>48</v>
      </c>
    </row>
    <row r="295" spans="16:17">
      <c r="P295" s="181">
        <v>7</v>
      </c>
      <c r="Q295" s="241">
        <v>32</v>
      </c>
    </row>
    <row r="296" spans="16:17">
      <c r="P296" s="181">
        <v>8</v>
      </c>
      <c r="Q296" s="241">
        <v>34</v>
      </c>
    </row>
    <row r="297" spans="16:17">
      <c r="P297" s="181">
        <v>9</v>
      </c>
      <c r="Q297" s="241">
        <v>43</v>
      </c>
    </row>
    <row r="298" spans="16:17">
      <c r="P298" s="181">
        <v>10</v>
      </c>
      <c r="Q298" s="241">
        <v>202</v>
      </c>
    </row>
    <row r="299" spans="16:17">
      <c r="P299" s="181">
        <v>11</v>
      </c>
      <c r="Q299" s="241">
        <v>289</v>
      </c>
    </row>
    <row r="300" spans="16:17">
      <c r="P300" s="181">
        <v>12</v>
      </c>
      <c r="Q300" s="241">
        <v>400</v>
      </c>
    </row>
    <row r="301" spans="16:17">
      <c r="P301" s="89">
        <v>2017</v>
      </c>
      <c r="Q301" s="241">
        <v>2238</v>
      </c>
    </row>
    <row r="302" spans="16:17">
      <c r="P302" s="181">
        <v>1</v>
      </c>
      <c r="Q302" s="241">
        <v>455</v>
      </c>
    </row>
    <row r="303" spans="16:17">
      <c r="P303" s="181">
        <v>2</v>
      </c>
      <c r="Q303" s="241">
        <v>288</v>
      </c>
    </row>
    <row r="304" spans="16:17">
      <c r="P304" s="181">
        <v>3</v>
      </c>
      <c r="Q304" s="241">
        <v>224</v>
      </c>
    </row>
    <row r="305" spans="16:17">
      <c r="P305" s="181">
        <v>4</v>
      </c>
      <c r="Q305" s="241">
        <v>227</v>
      </c>
    </row>
    <row r="306" spans="16:17">
      <c r="P306" s="181">
        <v>5</v>
      </c>
      <c r="Q306" s="241">
        <v>98</v>
      </c>
    </row>
    <row r="307" spans="16:17">
      <c r="P307" s="181">
        <v>6</v>
      </c>
      <c r="Q307" s="241">
        <v>30</v>
      </c>
    </row>
    <row r="308" spans="16:17">
      <c r="P308" s="181">
        <v>7</v>
      </c>
      <c r="Q308" s="241">
        <v>23</v>
      </c>
    </row>
    <row r="309" spans="16:17">
      <c r="P309" s="181">
        <v>8</v>
      </c>
      <c r="Q309" s="241">
        <v>32</v>
      </c>
    </row>
    <row r="310" spans="16:17">
      <c r="P310" s="181">
        <v>9</v>
      </c>
      <c r="Q310" s="241">
        <v>82</v>
      </c>
    </row>
    <row r="311" spans="16:17">
      <c r="P311" s="181">
        <v>10</v>
      </c>
      <c r="Q311" s="241">
        <v>126</v>
      </c>
    </row>
    <row r="312" spans="16:17">
      <c r="P312" s="181">
        <v>11</v>
      </c>
      <c r="Q312" s="241">
        <v>288</v>
      </c>
    </row>
    <row r="313" spans="16:17">
      <c r="P313" s="181">
        <v>12</v>
      </c>
      <c r="Q313" s="241">
        <v>365</v>
      </c>
    </row>
    <row r="314" spans="16:17">
      <c r="P314" s="89">
        <v>2018</v>
      </c>
      <c r="Q314" s="241">
        <v>2147</v>
      </c>
    </row>
    <row r="315" spans="16:17">
      <c r="P315" s="181">
        <v>1</v>
      </c>
      <c r="Q315" s="241">
        <v>298</v>
      </c>
    </row>
    <row r="316" spans="16:17">
      <c r="P316" s="181">
        <v>2</v>
      </c>
      <c r="Q316" s="241">
        <v>414</v>
      </c>
    </row>
    <row r="317" spans="16:17">
      <c r="P317" s="181">
        <v>3</v>
      </c>
      <c r="Q317" s="241">
        <v>305</v>
      </c>
    </row>
    <row r="318" spans="16:17">
      <c r="P318" s="181">
        <v>4</v>
      </c>
      <c r="Q318" s="241">
        <v>152</v>
      </c>
    </row>
    <row r="319" spans="16:17">
      <c r="P319" s="181">
        <v>5</v>
      </c>
      <c r="Q319" s="241">
        <v>96</v>
      </c>
    </row>
    <row r="320" spans="16:17">
      <c r="P320" s="181">
        <v>6</v>
      </c>
      <c r="Q320" s="241">
        <v>25</v>
      </c>
    </row>
    <row r="321" spans="16:17">
      <c r="P321" s="181">
        <v>7</v>
      </c>
      <c r="Q321" s="241">
        <v>6</v>
      </c>
    </row>
    <row r="322" spans="16:17">
      <c r="P322" s="181">
        <v>8</v>
      </c>
      <c r="Q322" s="241">
        <v>26</v>
      </c>
    </row>
    <row r="323" spans="16:17">
      <c r="P323" s="181">
        <v>9</v>
      </c>
      <c r="Q323" s="241">
        <v>73</v>
      </c>
    </row>
    <row r="324" spans="16:17">
      <c r="P324" s="181">
        <v>10</v>
      </c>
      <c r="Q324" s="241">
        <v>157</v>
      </c>
    </row>
    <row r="325" spans="16:17">
      <c r="P325" s="181">
        <v>11</v>
      </c>
      <c r="Q325" s="241">
        <v>277</v>
      </c>
    </row>
    <row r="326" spans="16:17">
      <c r="P326" s="181">
        <v>12</v>
      </c>
      <c r="Q326" s="241">
        <v>318</v>
      </c>
    </row>
    <row r="327" spans="16:17">
      <c r="P327" s="89">
        <v>2019</v>
      </c>
      <c r="Q327" s="241">
        <v>2213</v>
      </c>
    </row>
    <row r="328" spans="16:17">
      <c r="P328" s="181">
        <v>1</v>
      </c>
      <c r="Q328" s="241">
        <v>402</v>
      </c>
    </row>
    <row r="329" spans="16:17">
      <c r="P329" s="181">
        <v>2</v>
      </c>
      <c r="Q329" s="241">
        <v>297</v>
      </c>
    </row>
    <row r="330" spans="16:17">
      <c r="P330" s="181">
        <v>3</v>
      </c>
      <c r="Q330" s="241">
        <v>260</v>
      </c>
    </row>
    <row r="331" spans="16:17">
      <c r="P331" s="181">
        <v>4</v>
      </c>
      <c r="Q331" s="241">
        <v>201</v>
      </c>
    </row>
    <row r="332" spans="16:17">
      <c r="P332" s="181">
        <v>5</v>
      </c>
      <c r="Q332" s="241">
        <v>146</v>
      </c>
    </row>
    <row r="333" spans="16:17">
      <c r="P333" s="181">
        <v>6</v>
      </c>
      <c r="Q333" s="241">
        <v>54</v>
      </c>
    </row>
    <row r="334" spans="16:17">
      <c r="P334" s="181">
        <v>7</v>
      </c>
      <c r="Q334" s="241">
        <v>16</v>
      </c>
    </row>
    <row r="335" spans="16:17">
      <c r="P335" s="181">
        <v>8</v>
      </c>
      <c r="Q335" s="241">
        <v>30</v>
      </c>
    </row>
    <row r="336" spans="16:17">
      <c r="P336" s="181">
        <v>9</v>
      </c>
      <c r="Q336" s="241">
        <v>65</v>
      </c>
    </row>
    <row r="337" spans="16:17">
      <c r="P337" s="181">
        <v>10</v>
      </c>
      <c r="Q337" s="241">
        <v>128</v>
      </c>
    </row>
    <row r="338" spans="16:17">
      <c r="P338" s="181">
        <v>11</v>
      </c>
      <c r="Q338" s="241">
        <v>292</v>
      </c>
    </row>
    <row r="339" spans="16:17">
      <c r="P339" s="181">
        <v>12</v>
      </c>
      <c r="Q339" s="241">
        <v>322</v>
      </c>
    </row>
    <row r="340" spans="16:17">
      <c r="P340" s="89">
        <v>2020</v>
      </c>
      <c r="Q340" s="241">
        <v>1971</v>
      </c>
    </row>
    <row r="341" spans="16:17">
      <c r="P341" s="181">
        <v>1</v>
      </c>
      <c r="Q341" s="241">
        <v>331</v>
      </c>
    </row>
    <row r="342" spans="16:17">
      <c r="P342" s="181">
        <v>2</v>
      </c>
      <c r="Q342" s="241">
        <v>251</v>
      </c>
    </row>
    <row r="343" spans="16:17">
      <c r="P343" s="181">
        <v>3</v>
      </c>
      <c r="Q343" s="241">
        <v>272</v>
      </c>
    </row>
    <row r="344" spans="16:17">
      <c r="P344" s="181">
        <v>4</v>
      </c>
      <c r="Q344" s="241">
        <v>126</v>
      </c>
    </row>
    <row r="345" spans="16:17">
      <c r="P345" s="181">
        <v>5</v>
      </c>
      <c r="Q345" s="241">
        <v>92</v>
      </c>
    </row>
    <row r="346" spans="16:17">
      <c r="P346" s="181">
        <v>6</v>
      </c>
      <c r="Q346" s="241">
        <v>55</v>
      </c>
    </row>
    <row r="347" spans="16:17">
      <c r="P347" s="181">
        <v>7</v>
      </c>
      <c r="Q347" s="241">
        <v>32</v>
      </c>
    </row>
    <row r="348" spans="16:17">
      <c r="P348" s="181">
        <v>8</v>
      </c>
      <c r="Q348" s="241">
        <v>28</v>
      </c>
    </row>
    <row r="349" spans="16:17">
      <c r="P349" s="181">
        <v>9</v>
      </c>
      <c r="Q349" s="241">
        <v>56</v>
      </c>
    </row>
    <row r="350" spans="16:17">
      <c r="P350" s="181">
        <v>10</v>
      </c>
      <c r="Q350" s="241">
        <v>158</v>
      </c>
    </row>
    <row r="351" spans="16:17">
      <c r="P351" s="181">
        <v>11</v>
      </c>
      <c r="Q351" s="241">
        <v>237</v>
      </c>
    </row>
    <row r="352" spans="16:17">
      <c r="P352" s="181">
        <v>12</v>
      </c>
      <c r="Q352" s="241">
        <v>333</v>
      </c>
    </row>
    <row r="353" spans="16:17">
      <c r="P353" s="89">
        <v>2021</v>
      </c>
      <c r="Q353" s="241">
        <v>2380</v>
      </c>
    </row>
    <row r="354" spans="16:17">
      <c r="P354" s="181">
        <v>1</v>
      </c>
      <c r="Q354" s="241">
        <v>406</v>
      </c>
    </row>
    <row r="355" spans="16:17">
      <c r="P355" s="181">
        <v>2</v>
      </c>
      <c r="Q355" s="241">
        <v>299</v>
      </c>
    </row>
    <row r="356" spans="16:17">
      <c r="P356" s="181">
        <v>3</v>
      </c>
      <c r="Q356" s="241">
        <v>303</v>
      </c>
    </row>
    <row r="357" spans="16:17">
      <c r="P357" s="181">
        <v>4</v>
      </c>
      <c r="Q357" s="241">
        <v>242</v>
      </c>
    </row>
    <row r="358" spans="16:17">
      <c r="P358" s="181">
        <v>5</v>
      </c>
      <c r="Q358" s="241">
        <v>159</v>
      </c>
    </row>
    <row r="359" spans="16:17">
      <c r="P359" s="181">
        <v>6</v>
      </c>
      <c r="Q359" s="241">
        <v>33</v>
      </c>
    </row>
    <row r="360" spans="16:17">
      <c r="P360" s="181">
        <v>7</v>
      </c>
      <c r="Q360" s="241">
        <v>22</v>
      </c>
    </row>
    <row r="361" spans="16:17">
      <c r="P361" s="181">
        <v>8</v>
      </c>
      <c r="Q361" s="241">
        <v>36</v>
      </c>
    </row>
    <row r="362" spans="16:17">
      <c r="P362" s="181">
        <v>9</v>
      </c>
      <c r="Q362" s="241">
        <v>48</v>
      </c>
    </row>
    <row r="363" spans="16:17">
      <c r="P363" s="181">
        <v>10</v>
      </c>
      <c r="Q363" s="241">
        <v>170</v>
      </c>
    </row>
    <row r="364" spans="16:17">
      <c r="P364" s="181">
        <v>11</v>
      </c>
      <c r="Q364" s="241">
        <v>326</v>
      </c>
    </row>
    <row r="365" spans="16:17">
      <c r="P365" s="181">
        <v>12</v>
      </c>
      <c r="Q365" s="241">
        <v>336</v>
      </c>
    </row>
    <row r="366" spans="16:17">
      <c r="P366" s="89">
        <v>2022</v>
      </c>
      <c r="Q366" s="241">
        <v>2014</v>
      </c>
    </row>
    <row r="367" spans="16:17">
      <c r="P367" s="181">
        <v>1</v>
      </c>
      <c r="Q367" s="241">
        <v>396</v>
      </c>
    </row>
    <row r="368" spans="16:17">
      <c r="P368" s="181">
        <v>2</v>
      </c>
      <c r="Q368" s="241">
        <v>285</v>
      </c>
    </row>
    <row r="369" spans="16:17">
      <c r="P369" s="181">
        <v>3</v>
      </c>
      <c r="Q369" s="241">
        <v>239</v>
      </c>
    </row>
    <row r="370" spans="16:17">
      <c r="P370" s="181">
        <v>4</v>
      </c>
      <c r="Q370" s="241">
        <v>192</v>
      </c>
    </row>
    <row r="371" spans="16:17">
      <c r="P371" s="181">
        <v>5</v>
      </c>
      <c r="Q371" s="241">
        <v>80</v>
      </c>
    </row>
    <row r="372" spans="16:17">
      <c r="P372" s="181">
        <v>6</v>
      </c>
      <c r="Q372" s="241">
        <v>37</v>
      </c>
    </row>
    <row r="373" spans="16:17">
      <c r="P373" s="181">
        <v>7</v>
      </c>
      <c r="Q373" s="241">
        <v>19</v>
      </c>
    </row>
    <row r="374" spans="16:17">
      <c r="P374" s="181">
        <v>8</v>
      </c>
      <c r="Q374" s="241">
        <v>11</v>
      </c>
    </row>
    <row r="375" spans="16:17">
      <c r="P375" s="181">
        <v>9</v>
      </c>
      <c r="Q375" s="241">
        <v>75</v>
      </c>
    </row>
    <row r="376" spans="16:17">
      <c r="P376" s="181">
        <v>10</v>
      </c>
      <c r="Q376" s="241">
        <v>73</v>
      </c>
    </row>
    <row r="377" spans="16:17">
      <c r="P377" s="181">
        <v>11</v>
      </c>
      <c r="Q377" s="241">
        <v>227</v>
      </c>
    </row>
    <row r="378" spans="16:17">
      <c r="P378" s="181">
        <v>12</v>
      </c>
      <c r="Q378" s="241">
        <v>380</v>
      </c>
    </row>
    <row r="379" spans="16:17">
      <c r="P379" s="89">
        <v>2023</v>
      </c>
      <c r="Q379" s="241">
        <v>1959</v>
      </c>
    </row>
    <row r="380" spans="16:17">
      <c r="P380" s="181">
        <v>1</v>
      </c>
      <c r="Q380" s="241">
        <v>355</v>
      </c>
    </row>
    <row r="381" spans="16:17">
      <c r="P381" s="181">
        <v>2</v>
      </c>
      <c r="Q381" s="241">
        <v>314</v>
      </c>
    </row>
    <row r="382" spans="16:17">
      <c r="P382" s="181">
        <v>3</v>
      </c>
      <c r="Q382" s="241">
        <v>251</v>
      </c>
    </row>
    <row r="383" spans="16:17">
      <c r="P383" s="181">
        <v>4</v>
      </c>
      <c r="Q383" s="241">
        <v>197</v>
      </c>
    </row>
    <row r="384" spans="16:17">
      <c r="P384" s="181">
        <v>5</v>
      </c>
      <c r="Q384" s="241">
        <v>87</v>
      </c>
    </row>
    <row r="385" spans="16:17">
      <c r="P385" s="181">
        <v>6</v>
      </c>
      <c r="Q385" s="241">
        <v>17</v>
      </c>
    </row>
    <row r="386" spans="16:17">
      <c r="P386" s="181">
        <v>7</v>
      </c>
      <c r="Q386" s="241">
        <v>24</v>
      </c>
    </row>
    <row r="387" spans="16:17">
      <c r="P387" s="181">
        <v>8</v>
      </c>
      <c r="Q387" s="241">
        <v>28</v>
      </c>
    </row>
    <row r="388" spans="16:17">
      <c r="P388" s="181">
        <v>9</v>
      </c>
      <c r="Q388" s="241">
        <v>31</v>
      </c>
    </row>
    <row r="389" spans="16:17">
      <c r="P389" s="181">
        <v>10</v>
      </c>
      <c r="Q389" s="241">
        <v>116</v>
      </c>
    </row>
    <row r="390" spans="16:17">
      <c r="P390" s="181">
        <v>11</v>
      </c>
      <c r="Q390" s="241">
        <v>239</v>
      </c>
    </row>
    <row r="391" spans="16:17">
      <c r="P391" s="181">
        <v>12</v>
      </c>
      <c r="Q391" s="241">
        <v>300</v>
      </c>
    </row>
    <row r="392" spans="16:17">
      <c r="P392" s="89">
        <v>2024</v>
      </c>
      <c r="Q392" s="241">
        <v>2090</v>
      </c>
    </row>
    <row r="393" spans="16:17">
      <c r="P393" s="181">
        <v>1</v>
      </c>
      <c r="Q393" s="241">
        <v>380</v>
      </c>
    </row>
    <row r="394" spans="16:17">
      <c r="P394" s="181">
        <v>2</v>
      </c>
      <c r="Q394" s="241">
        <v>244</v>
      </c>
    </row>
    <row r="395" spans="16:17">
      <c r="P395" s="181">
        <v>3</v>
      </c>
      <c r="Q395" s="241">
        <v>253</v>
      </c>
    </row>
    <row r="396" spans="16:17">
      <c r="P396" s="181">
        <v>4</v>
      </c>
      <c r="Q396" s="241">
        <v>186</v>
      </c>
    </row>
    <row r="397" spans="16:17">
      <c r="P397" s="181">
        <v>5</v>
      </c>
      <c r="Q397" s="241">
        <v>102</v>
      </c>
    </row>
    <row r="398" spans="16:17">
      <c r="P398" s="181">
        <v>6</v>
      </c>
      <c r="Q398" s="241">
        <v>60</v>
      </c>
    </row>
    <row r="399" spans="16:17">
      <c r="P399" s="181">
        <v>7</v>
      </c>
      <c r="Q399" s="241">
        <v>28</v>
      </c>
    </row>
    <row r="400" spans="16:17">
      <c r="P400" s="181">
        <v>8</v>
      </c>
      <c r="Q400" s="241">
        <v>28</v>
      </c>
    </row>
    <row r="401" spans="16:17">
      <c r="P401" s="181">
        <v>9</v>
      </c>
      <c r="Q401" s="241">
        <v>78</v>
      </c>
    </row>
    <row r="402" spans="16:17">
      <c r="P402" s="181">
        <v>10</v>
      </c>
      <c r="Q402" s="241">
        <v>119</v>
      </c>
    </row>
    <row r="403" spans="16:17">
      <c r="P403" s="181">
        <v>11</v>
      </c>
      <c r="Q403" s="241">
        <v>266</v>
      </c>
    </row>
    <row r="404" spans="16:17">
      <c r="P404" s="181">
        <v>12</v>
      </c>
      <c r="Q404" s="241">
        <v>346</v>
      </c>
    </row>
    <row r="405" spans="16:17">
      <c r="P405" s="89">
        <v>2025</v>
      </c>
      <c r="Q405" s="241">
        <v>2046</v>
      </c>
    </row>
    <row r="406" spans="16:17">
      <c r="P406" s="181">
        <v>1</v>
      </c>
      <c r="Q406" s="241">
        <v>407</v>
      </c>
    </row>
    <row r="407" spans="16:17">
      <c r="P407" s="181">
        <v>2</v>
      </c>
      <c r="Q407" s="241">
        <v>329</v>
      </c>
    </row>
    <row r="408" spans="16:17">
      <c r="P408" s="181">
        <v>3</v>
      </c>
      <c r="Q408" s="241">
        <v>260</v>
      </c>
    </row>
    <row r="409" spans="16:17">
      <c r="P409" s="181">
        <v>4</v>
      </c>
      <c r="Q409" s="241">
        <v>142</v>
      </c>
    </row>
    <row r="410" spans="16:17">
      <c r="P410" s="181">
        <v>5</v>
      </c>
      <c r="Q410" s="241">
        <v>91</v>
      </c>
    </row>
    <row r="411" spans="16:17">
      <c r="P411" s="181">
        <v>6</v>
      </c>
      <c r="Q411" s="241">
        <v>24</v>
      </c>
    </row>
    <row r="412" spans="16:17">
      <c r="P412" s="181">
        <v>7</v>
      </c>
      <c r="Q412" s="241">
        <v>18</v>
      </c>
    </row>
    <row r="413" spans="16:17">
      <c r="P413" s="181">
        <v>8</v>
      </c>
      <c r="Q413" s="241">
        <v>22</v>
      </c>
    </row>
    <row r="414" spans="16:17">
      <c r="P414" s="181">
        <v>9</v>
      </c>
      <c r="Q414" s="241">
        <v>73</v>
      </c>
    </row>
    <row r="415" spans="16:17">
      <c r="P415" s="181">
        <v>10</v>
      </c>
      <c r="Q415" s="241">
        <v>140</v>
      </c>
    </row>
    <row r="416" spans="16:17">
      <c r="P416" s="181">
        <v>11</v>
      </c>
      <c r="Q416" s="241">
        <v>231</v>
      </c>
    </row>
    <row r="417" spans="16:17">
      <c r="P417" s="181">
        <v>12</v>
      </c>
      <c r="Q417" s="241">
        <v>309</v>
      </c>
    </row>
    <row r="418" spans="16:17">
      <c r="P418" s="89" t="s">
        <v>77</v>
      </c>
      <c r="Q418" s="241"/>
    </row>
    <row r="419" spans="16:17">
      <c r="P419" s="181" t="s">
        <v>77</v>
      </c>
      <c r="Q419" s="241"/>
    </row>
    <row r="420" spans="16:17">
      <c r="P420" s="89">
        <v>2026</v>
      </c>
      <c r="Q420" s="241">
        <v>338.2</v>
      </c>
    </row>
    <row r="421" spans="16:17">
      <c r="P421" s="181">
        <v>1</v>
      </c>
      <c r="Q421" s="241">
        <v>338.2</v>
      </c>
    </row>
    <row r="422" spans="16:17">
      <c r="P422" s="89" t="s">
        <v>89</v>
      </c>
      <c r="Q422" s="241">
        <v>57286.2</v>
      </c>
    </row>
  </sheetData>
  <pageMargins left="0.7" right="0.7" top="0.75" bottom="0.75" header="0.3" footer="0.3"/>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8">
    <tabColor rgb="FFFF0000"/>
  </sheetPr>
  <dimension ref="A1:N41"/>
  <sheetViews>
    <sheetView workbookViewId="0"/>
  </sheetViews>
  <sheetFormatPr baseColWidth="10" defaultColWidth="0" defaultRowHeight="15" customHeight="1" zeroHeight="1"/>
  <cols>
    <col min="1" max="11" width="11.453125" style="38" customWidth="1"/>
    <col min="12" max="16384" width="11.453125" hidden="1"/>
  </cols>
  <sheetData>
    <row r="1" spans="2:5" ht="14.5"/>
    <row r="2" spans="2:5" ht="14.5">
      <c r="B2" s="107" t="s">
        <v>0</v>
      </c>
      <c r="C2" s="560">
        <f>Site!C2</f>
        <v>0</v>
      </c>
      <c r="D2" s="560"/>
      <c r="E2" s="560"/>
    </row>
    <row r="3" spans="2:5" ht="14.5"/>
    <row r="4" spans="2:5" ht="14.5"/>
    <row r="5" spans="2:5" ht="14.5"/>
    <row r="6" spans="2:5" ht="14.5"/>
    <row r="7" spans="2:5" ht="14.5"/>
    <row r="8" spans="2:5" ht="14.5"/>
    <row r="9" spans="2:5" ht="14.5"/>
    <row r="10" spans="2:5" ht="14.5"/>
    <row r="11" spans="2:5" ht="14.5"/>
    <row r="12" spans="2:5" ht="14.5"/>
    <row r="13" spans="2:5" ht="14.5"/>
    <row r="14" spans="2:5" ht="14.5"/>
    <row r="15" spans="2:5" ht="14.5"/>
    <row r="16" spans="2:5" ht="14.5"/>
    <row r="17" spans="9:14" ht="14.5"/>
    <row r="18" spans="9:14" ht="14.5"/>
    <row r="19" spans="9:14" ht="14.5"/>
    <row r="20" spans="9:14" ht="14.5"/>
    <row r="21" spans="9:14" ht="14.5"/>
    <row r="22" spans="9:14" ht="14.5"/>
    <row r="23" spans="9:14" ht="14.5"/>
    <row r="24" spans="9:14" ht="14.5"/>
    <row r="25" spans="9:14" ht="14.5"/>
    <row r="26" spans="9:14" ht="14.5">
      <c r="I26" s="561" t="s">
        <v>90</v>
      </c>
      <c r="J26" s="561"/>
      <c r="K26" s="561"/>
      <c r="L26" s="561"/>
      <c r="M26" s="561"/>
      <c r="N26" s="561"/>
    </row>
    <row r="27" spans="9:14" ht="14.5">
      <c r="I27" s="561"/>
      <c r="J27" s="561"/>
      <c r="K27" s="561"/>
      <c r="L27" s="561"/>
      <c r="M27" s="561"/>
      <c r="N27" s="561"/>
    </row>
    <row r="28" spans="9:14" ht="14.5">
      <c r="I28" s="561"/>
      <c r="J28" s="561"/>
      <c r="K28" s="561"/>
      <c r="L28" s="561"/>
      <c r="M28" s="561"/>
      <c r="N28" s="561"/>
    </row>
    <row r="29" spans="9:14" ht="14.5">
      <c r="I29" s="561"/>
      <c r="J29" s="561"/>
      <c r="K29" s="561"/>
      <c r="L29" s="561"/>
      <c r="M29" s="561"/>
      <c r="N29" s="561"/>
    </row>
    <row r="30" spans="9:14" ht="14.5">
      <c r="I30" s="561"/>
      <c r="J30" s="561"/>
      <c r="K30" s="561"/>
      <c r="L30" s="561"/>
      <c r="M30" s="561"/>
      <c r="N30" s="561"/>
    </row>
    <row r="31" spans="9:14" ht="14.5">
      <c r="I31" s="561"/>
      <c r="J31" s="561"/>
      <c r="K31" s="561"/>
      <c r="L31" s="561"/>
      <c r="M31" s="561"/>
      <c r="N31" s="561"/>
    </row>
    <row r="32" spans="9:14" ht="14.5">
      <c r="I32" s="561"/>
      <c r="J32" s="561"/>
      <c r="K32" s="561"/>
      <c r="L32" s="561"/>
      <c r="M32" s="561"/>
      <c r="N32" s="561"/>
    </row>
    <row r="33" spans="9:14" ht="14.5">
      <c r="I33" s="561"/>
      <c r="J33" s="561"/>
      <c r="K33" s="561"/>
      <c r="L33" s="561"/>
      <c r="M33" s="561"/>
      <c r="N33" s="561"/>
    </row>
    <row r="34" spans="9:14" ht="15" hidden="1" customHeight="1">
      <c r="I34" s="561"/>
      <c r="J34" s="561"/>
      <c r="K34" s="561"/>
      <c r="L34" s="561"/>
      <c r="M34" s="561"/>
      <c r="N34" s="561"/>
    </row>
    <row r="35" spans="9:14" ht="15" hidden="1" customHeight="1">
      <c r="I35" s="561"/>
      <c r="J35" s="561"/>
      <c r="K35" s="561"/>
      <c r="L35" s="561"/>
      <c r="M35" s="561"/>
      <c r="N35" s="561"/>
    </row>
    <row r="36" spans="9:14" ht="15" hidden="1" customHeight="1">
      <c r="I36" s="561"/>
      <c r="J36" s="561"/>
      <c r="K36" s="561"/>
      <c r="L36" s="561"/>
      <c r="M36" s="561"/>
      <c r="N36" s="561"/>
    </row>
    <row r="37" spans="9:14" ht="15" hidden="1" customHeight="1">
      <c r="I37" s="561"/>
      <c r="J37" s="561"/>
      <c r="K37" s="561"/>
      <c r="L37" s="561"/>
      <c r="M37" s="561"/>
      <c r="N37" s="561"/>
    </row>
    <row r="38" spans="9:14" ht="15" hidden="1" customHeight="1">
      <c r="I38" s="561"/>
      <c r="J38" s="561"/>
      <c r="K38" s="561"/>
      <c r="L38" s="561"/>
      <c r="M38" s="561"/>
      <c r="N38" s="561"/>
    </row>
    <row r="39" spans="9:14" ht="15" hidden="1" customHeight="1">
      <c r="I39" s="561"/>
      <c r="J39" s="561"/>
      <c r="K39" s="561"/>
      <c r="L39" s="561"/>
      <c r="M39" s="561"/>
      <c r="N39" s="561"/>
    </row>
    <row r="40" spans="9:14" ht="15" hidden="1" customHeight="1">
      <c r="I40" s="561"/>
      <c r="J40" s="561"/>
      <c r="K40" s="561"/>
      <c r="L40" s="561"/>
      <c r="M40" s="561"/>
      <c r="N40" s="561"/>
    </row>
    <row r="41" spans="9:14" ht="15" hidden="1" customHeight="1">
      <c r="I41" s="561"/>
      <c r="J41" s="561"/>
      <c r="K41" s="561"/>
      <c r="L41" s="561"/>
      <c r="M41" s="561"/>
      <c r="N41" s="561"/>
    </row>
  </sheetData>
  <protectedRanges>
    <protectedRange sqref="C2:E2" name="Plage1"/>
  </protectedRanges>
  <mergeCells count="2">
    <mergeCell ref="I26:N41"/>
    <mergeCell ref="C2:E2"/>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9">
    <tabColor rgb="FF7030A0"/>
  </sheetPr>
  <dimension ref="A1:K33"/>
  <sheetViews>
    <sheetView zoomScale="115" zoomScaleNormal="115" workbookViewId="0">
      <selection activeCell="H32" sqref="H32"/>
    </sheetView>
  </sheetViews>
  <sheetFormatPr baseColWidth="10" defaultColWidth="0" defaultRowHeight="14.5" zeroHeight="1"/>
  <cols>
    <col min="1" max="11" width="11.453125" customWidth="1"/>
    <col min="12" max="16384" width="11.453125" hidden="1"/>
  </cols>
  <sheetData>
    <row r="1" spans="1:11">
      <c r="A1" s="38"/>
      <c r="B1" s="565"/>
      <c r="C1" s="565"/>
      <c r="D1" s="565"/>
      <c r="E1" s="565"/>
      <c r="F1" s="565"/>
      <c r="G1" s="565"/>
      <c r="H1" s="38"/>
      <c r="I1" s="38"/>
      <c r="J1" s="38"/>
      <c r="K1" s="38"/>
    </row>
    <row r="2" spans="1:11">
      <c r="A2" s="38"/>
      <c r="B2" s="565"/>
      <c r="C2" s="565"/>
      <c r="D2" s="565"/>
      <c r="E2" s="565"/>
      <c r="F2" s="565"/>
      <c r="G2" s="565"/>
      <c r="H2" s="38"/>
      <c r="I2" s="38"/>
      <c r="J2" s="38"/>
      <c r="K2" s="38"/>
    </row>
    <row r="3" spans="1:11">
      <c r="A3" s="38"/>
      <c r="B3" s="107" t="s">
        <v>0</v>
      </c>
      <c r="C3" s="560">
        <f>Site!C2</f>
        <v>0</v>
      </c>
      <c r="D3" s="560"/>
      <c r="E3" s="560"/>
      <c r="F3" s="38"/>
      <c r="G3" s="38"/>
      <c r="H3" s="38"/>
      <c r="I3" s="38"/>
      <c r="J3" s="38"/>
      <c r="K3" s="38"/>
    </row>
    <row r="4" spans="1:11">
      <c r="A4" s="38"/>
      <c r="B4" s="107" t="s">
        <v>53</v>
      </c>
      <c r="C4" s="38" t="str">
        <f>Controle_des_données!A40</f>
        <v>TTC</v>
      </c>
      <c r="D4" s="38"/>
      <c r="E4" s="38"/>
      <c r="F4" s="38"/>
      <c r="G4" s="38"/>
      <c r="H4" s="38"/>
      <c r="I4" s="38"/>
      <c r="J4" s="38"/>
      <c r="K4" s="38"/>
    </row>
    <row r="5" spans="1:11">
      <c r="A5" s="38"/>
      <c r="B5" s="38"/>
      <c r="C5" s="38"/>
      <c r="D5" s="38"/>
      <c r="E5" s="38"/>
      <c r="F5" s="38"/>
      <c r="G5" s="38"/>
      <c r="H5" s="38"/>
      <c r="I5" s="38"/>
      <c r="J5" s="38"/>
      <c r="K5" s="38"/>
    </row>
    <row r="6" spans="1:11">
      <c r="A6" s="38"/>
      <c r="B6" s="38"/>
      <c r="C6" s="38"/>
      <c r="D6" s="38"/>
      <c r="E6" s="38"/>
      <c r="F6" s="38"/>
      <c r="G6" s="38"/>
      <c r="H6" s="38"/>
      <c r="I6" s="38"/>
      <c r="J6" s="38"/>
      <c r="K6" s="38"/>
    </row>
    <row r="7" spans="1:11">
      <c r="A7" s="38"/>
      <c r="B7" s="38"/>
      <c r="C7" s="38"/>
      <c r="D7" s="38"/>
      <c r="E7" s="38"/>
      <c r="F7" s="38"/>
      <c r="G7" s="38"/>
      <c r="H7" s="38"/>
      <c r="I7" s="38"/>
      <c r="J7" s="38"/>
      <c r="K7" s="38"/>
    </row>
    <row r="8" spans="1:11">
      <c r="A8" s="38"/>
      <c r="B8" s="38"/>
      <c r="C8" s="38"/>
      <c r="D8" s="38"/>
      <c r="E8" s="38"/>
      <c r="F8" s="38"/>
      <c r="G8" s="38"/>
      <c r="H8" s="38"/>
      <c r="I8" s="38"/>
      <c r="J8" s="38"/>
      <c r="K8" s="38"/>
    </row>
    <row r="9" spans="1:11">
      <c r="A9" s="38"/>
      <c r="B9" s="38"/>
      <c r="C9" s="38"/>
      <c r="D9" s="38"/>
      <c r="E9" s="38"/>
      <c r="F9" s="38"/>
      <c r="G9" s="38"/>
      <c r="H9" s="38"/>
      <c r="I9" s="38"/>
      <c r="J9" s="38"/>
      <c r="K9" s="38"/>
    </row>
    <row r="10" spans="1:11">
      <c r="A10" s="38"/>
      <c r="B10" s="38"/>
      <c r="C10" s="38"/>
      <c r="D10" s="38"/>
      <c r="E10" s="38"/>
      <c r="F10" s="38"/>
      <c r="G10" s="38"/>
      <c r="H10" s="38"/>
      <c r="I10" s="38"/>
      <c r="J10" s="38"/>
      <c r="K10" s="38"/>
    </row>
    <row r="11" spans="1:11">
      <c r="A11" s="38"/>
      <c r="B11" s="38"/>
      <c r="C11" s="38"/>
      <c r="D11" s="38"/>
      <c r="E11" s="38"/>
      <c r="F11" s="38"/>
      <c r="G11" s="38"/>
      <c r="H11" s="38"/>
      <c r="I11" s="38"/>
      <c r="J11" s="38"/>
      <c r="K11" s="38"/>
    </row>
    <row r="12" spans="1:11">
      <c r="A12" s="38"/>
      <c r="B12" s="38"/>
      <c r="C12" s="38"/>
      <c r="D12" s="38"/>
      <c r="E12" s="38"/>
      <c r="F12" s="38"/>
      <c r="G12" s="38"/>
      <c r="H12" s="38"/>
      <c r="I12" s="38"/>
      <c r="J12" s="38"/>
      <c r="K12" s="38"/>
    </row>
    <row r="13" spans="1:11">
      <c r="A13" s="38"/>
      <c r="B13" s="38"/>
      <c r="C13" s="38"/>
      <c r="D13" s="38"/>
      <c r="E13" s="38"/>
      <c r="F13" s="38"/>
      <c r="G13" s="38"/>
      <c r="H13" s="38"/>
      <c r="I13" s="38"/>
      <c r="J13" s="38"/>
      <c r="K13" s="38"/>
    </row>
    <row r="14" spans="1:11">
      <c r="A14" s="38"/>
      <c r="B14" s="38"/>
      <c r="C14" s="38"/>
      <c r="D14" s="38"/>
      <c r="E14" s="38"/>
      <c r="F14" s="38"/>
      <c r="G14" s="38"/>
      <c r="H14" s="38"/>
      <c r="I14" s="38"/>
      <c r="J14" s="38"/>
      <c r="K14" s="38"/>
    </row>
    <row r="15" spans="1:11">
      <c r="A15" s="38"/>
      <c r="B15" s="38"/>
      <c r="C15" s="38"/>
      <c r="D15" s="38"/>
      <c r="E15" s="38"/>
      <c r="F15" s="38"/>
      <c r="G15" s="38"/>
      <c r="H15" s="38"/>
      <c r="I15" s="38"/>
      <c r="J15" s="38"/>
      <c r="K15" s="38"/>
    </row>
    <row r="16" spans="1:11">
      <c r="A16" s="38"/>
      <c r="B16" s="38"/>
      <c r="C16" s="38"/>
      <c r="D16" s="38"/>
      <c r="E16" s="38"/>
      <c r="F16" s="38"/>
      <c r="G16" s="38"/>
      <c r="H16" s="38"/>
      <c r="I16" s="38"/>
      <c r="J16" s="38"/>
      <c r="K16" s="38"/>
    </row>
    <row r="17" spans="1:11">
      <c r="A17" s="38"/>
      <c r="B17" s="38"/>
      <c r="C17" s="38"/>
      <c r="D17" s="38"/>
      <c r="E17" s="38"/>
      <c r="F17" s="38"/>
      <c r="G17" s="38"/>
      <c r="H17" s="38"/>
      <c r="I17" s="38"/>
      <c r="J17" s="38"/>
      <c r="K17" s="38"/>
    </row>
    <row r="18" spans="1:11">
      <c r="A18" s="38"/>
      <c r="B18" s="38"/>
      <c r="C18" s="38"/>
      <c r="D18" s="38"/>
      <c r="E18" s="38"/>
      <c r="F18" s="38"/>
      <c r="G18" s="38"/>
      <c r="H18" s="38"/>
      <c r="I18" s="38"/>
      <c r="J18" s="38"/>
      <c r="K18" s="38"/>
    </row>
    <row r="19" spans="1:11">
      <c r="A19" s="38"/>
      <c r="B19" s="38"/>
      <c r="C19" s="38"/>
      <c r="D19" s="38"/>
      <c r="E19" s="38"/>
      <c r="F19" s="38"/>
      <c r="G19" s="38"/>
      <c r="H19" s="38"/>
      <c r="I19" s="38"/>
      <c r="J19" s="38"/>
      <c r="K19" s="38"/>
    </row>
    <row r="20" spans="1:11">
      <c r="A20" s="38"/>
      <c r="B20" s="38"/>
      <c r="C20" s="38"/>
      <c r="D20" s="38"/>
      <c r="E20" s="38"/>
      <c r="F20" s="38"/>
      <c r="G20" s="38"/>
      <c r="H20" s="38"/>
      <c r="I20" s="38"/>
      <c r="J20" s="38"/>
      <c r="K20" s="38"/>
    </row>
    <row r="21" spans="1:11">
      <c r="A21" s="38"/>
      <c r="B21" s="38"/>
      <c r="C21" s="38"/>
      <c r="D21" s="38"/>
      <c r="E21" s="38"/>
      <c r="F21" s="38"/>
      <c r="G21" s="38"/>
      <c r="H21" s="38"/>
      <c r="I21" s="38"/>
      <c r="J21" s="38"/>
      <c r="K21" s="38"/>
    </row>
    <row r="22" spans="1:11">
      <c r="A22" s="38"/>
      <c r="B22" s="38"/>
      <c r="C22" s="38"/>
      <c r="D22" s="38"/>
      <c r="E22" s="38"/>
      <c r="F22" s="38"/>
      <c r="G22" s="38"/>
      <c r="H22" s="38"/>
      <c r="I22" s="38"/>
      <c r="J22" s="38"/>
      <c r="K22" s="38"/>
    </row>
    <row r="23" spans="1:11">
      <c r="A23" s="38"/>
      <c r="B23" s="38"/>
      <c r="C23" s="38"/>
      <c r="D23" s="38"/>
      <c r="E23" s="38"/>
      <c r="F23" s="38"/>
      <c r="G23" s="38"/>
      <c r="H23" s="38"/>
      <c r="I23" s="38"/>
      <c r="J23" s="38"/>
      <c r="K23" s="38"/>
    </row>
    <row r="24" spans="1:11">
      <c r="A24" s="38"/>
      <c r="B24" s="38"/>
      <c r="C24" s="38"/>
      <c r="D24" s="38"/>
      <c r="E24" s="38"/>
      <c r="F24" s="38"/>
      <c r="G24" s="38"/>
      <c r="H24" s="38"/>
      <c r="I24" s="38"/>
      <c r="J24" s="38"/>
      <c r="K24" s="38"/>
    </row>
    <row r="25" spans="1:11">
      <c r="A25" s="38"/>
      <c r="B25" s="38"/>
      <c r="C25" s="38"/>
      <c r="D25" s="38"/>
      <c r="E25" s="38"/>
      <c r="F25" s="38"/>
      <c r="G25" s="38"/>
      <c r="H25" s="38"/>
      <c r="I25" s="38"/>
      <c r="J25" s="38"/>
      <c r="K25" s="38"/>
    </row>
    <row r="26" spans="1:11">
      <c r="A26" s="38"/>
      <c r="B26" s="38"/>
      <c r="C26" s="38"/>
      <c r="D26" s="38"/>
      <c r="E26" s="38"/>
      <c r="F26" s="38"/>
      <c r="G26" s="38"/>
      <c r="H26" s="38"/>
      <c r="I26" s="38"/>
      <c r="J26" s="38"/>
      <c r="K26" s="38"/>
    </row>
    <row r="27" spans="1:11">
      <c r="A27" s="38"/>
      <c r="B27" s="38"/>
      <c r="C27" s="38"/>
      <c r="D27" s="38"/>
      <c r="E27" s="38"/>
      <c r="F27" s="38"/>
      <c r="G27" s="38"/>
      <c r="H27" s="38"/>
      <c r="I27" s="38"/>
      <c r="J27" s="38"/>
      <c r="K27" s="38"/>
    </row>
    <row r="28" spans="1:11">
      <c r="A28" s="38"/>
      <c r="B28" s="38"/>
      <c r="C28" s="38"/>
      <c r="D28" s="38"/>
      <c r="E28" s="38"/>
      <c r="F28" s="38"/>
      <c r="G28" s="38"/>
      <c r="H28" s="38"/>
      <c r="I28" s="38"/>
      <c r="J28" s="38"/>
      <c r="K28" s="38"/>
    </row>
    <row r="29" spans="1:11">
      <c r="A29" s="38"/>
      <c r="B29" s="38"/>
      <c r="C29" s="38"/>
      <c r="D29" s="38"/>
      <c r="E29" s="38"/>
      <c r="F29" s="38"/>
      <c r="G29" s="38"/>
      <c r="H29" s="38"/>
      <c r="I29" s="38"/>
      <c r="J29" s="38"/>
      <c r="K29" s="38"/>
    </row>
    <row r="30" spans="1:11">
      <c r="A30" s="38"/>
      <c r="B30" s="38"/>
      <c r="C30" s="38"/>
      <c r="D30" s="38"/>
      <c r="E30" s="38"/>
      <c r="F30" s="38"/>
      <c r="G30" s="38"/>
      <c r="H30" s="38"/>
      <c r="I30" s="38"/>
      <c r="J30" s="38"/>
      <c r="K30" s="38"/>
    </row>
    <row r="31" spans="1:11">
      <c r="A31" s="38"/>
      <c r="B31" s="38"/>
      <c r="C31" s="38"/>
      <c r="D31" s="38"/>
      <c r="E31" s="38"/>
      <c r="F31" s="38"/>
      <c r="G31" s="38"/>
      <c r="H31" s="38"/>
      <c r="I31" s="38"/>
      <c r="J31" s="38"/>
      <c r="K31" s="38"/>
    </row>
    <row r="32" spans="1:11">
      <c r="A32" s="38"/>
      <c r="B32" s="38"/>
      <c r="C32" s="38"/>
      <c r="D32" s="38"/>
      <c r="E32" s="38"/>
      <c r="F32" s="38"/>
      <c r="G32" s="38"/>
      <c r="H32" s="38"/>
      <c r="I32" s="38"/>
      <c r="J32" s="38"/>
      <c r="K32" s="38"/>
    </row>
    <row r="33" spans="1:11">
      <c r="A33" s="79" t="s">
        <v>91</v>
      </c>
      <c r="B33" s="38"/>
      <c r="C33" s="38"/>
      <c r="D33" s="38"/>
      <c r="E33" s="38"/>
      <c r="F33" s="38"/>
      <c r="G33" s="38"/>
      <c r="H33" s="38"/>
      <c r="I33" s="38"/>
      <c r="J33" s="38"/>
      <c r="K33" s="38"/>
    </row>
  </sheetData>
  <sheetProtection pivotTables="0"/>
  <protectedRanges>
    <protectedRange sqref="C3:E3" name="Plage1"/>
  </protectedRanges>
  <mergeCells count="2">
    <mergeCell ref="B1:G2"/>
    <mergeCell ref="C3:E3"/>
  </mergeCells>
  <pageMargins left="0.7" right="0.7" top="0.75" bottom="0.75" header="0.3" footer="0.3"/>
  <pageSetup paperSize="9" orientation="landscape" r:id="rId1"/>
  <drawing r:id="rId2"/>
  <extLst>
    <ext xmlns:x15="http://schemas.microsoft.com/office/spreadsheetml/2010/11/main" uri="{7E03D99C-DC04-49d9-9315-930204A7B6E9}">
      <x15:timelineRefs>
        <x15:timelineRef r:id="rId3"/>
      </x15:timelineRef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0">
    <tabColor theme="9"/>
  </sheetPr>
  <dimension ref="A1:K1"/>
  <sheetViews>
    <sheetView topLeftCell="A1048576" workbookViewId="0"/>
  </sheetViews>
  <sheetFormatPr baseColWidth="10" defaultColWidth="0" defaultRowHeight="14.5" zeroHeight="1"/>
  <cols>
    <col min="1" max="11" width="11.453125" style="38" customWidth="1"/>
    <col min="12" max="16384" width="11.453125" hidden="1"/>
  </cols>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5">
    <tabColor rgb="FFFFC000"/>
  </sheetPr>
  <dimension ref="A1:N41"/>
  <sheetViews>
    <sheetView workbookViewId="0">
      <selection activeCell="D7" sqref="D7"/>
    </sheetView>
  </sheetViews>
  <sheetFormatPr baseColWidth="10" defaultColWidth="0" defaultRowHeight="15" customHeight="1" zeroHeight="1"/>
  <cols>
    <col min="1" max="11" width="11.453125" style="38" customWidth="1"/>
    <col min="12" max="16384" width="11.453125" hidden="1"/>
  </cols>
  <sheetData>
    <row r="1" spans="2:5" ht="14.5"/>
    <row r="2" spans="2:5" ht="14.5">
      <c r="B2" s="107" t="s">
        <v>0</v>
      </c>
      <c r="C2" s="560">
        <f>Site!C2</f>
        <v>0</v>
      </c>
      <c r="D2" s="560"/>
      <c r="E2" s="560"/>
    </row>
    <row r="3" spans="2:5" ht="14.5"/>
    <row r="4" spans="2:5" ht="14.5"/>
    <row r="5" spans="2:5" ht="14.5"/>
    <row r="6" spans="2:5" ht="14.5"/>
    <row r="7" spans="2:5" ht="14.5"/>
    <row r="8" spans="2:5" ht="14.5"/>
    <row r="9" spans="2:5" ht="14.5"/>
    <row r="10" spans="2:5" ht="14.5"/>
    <row r="11" spans="2:5" ht="14.5"/>
    <row r="12" spans="2:5" ht="14.5"/>
    <row r="13" spans="2:5" ht="14.5"/>
    <row r="14" spans="2:5" ht="14.5"/>
    <row r="15" spans="2:5" ht="14.5"/>
    <row r="16" spans="2:5" ht="14.5"/>
    <row r="17" spans="9:14" ht="14.5"/>
    <row r="18" spans="9:14" ht="14.5"/>
    <row r="19" spans="9:14" ht="14.5"/>
    <row r="20" spans="9:14" ht="14.5">
      <c r="I20" s="119" t="s">
        <v>100</v>
      </c>
    </row>
    <row r="21" spans="9:14" ht="14.5">
      <c r="I21" s="109"/>
    </row>
    <row r="22" spans="9:14" ht="14.5">
      <c r="I22" s="109"/>
    </row>
    <row r="23" spans="9:14" ht="14.5">
      <c r="I23" s="109"/>
    </row>
    <row r="24" spans="9:14" ht="14.5">
      <c r="I24" s="109"/>
    </row>
    <row r="25" spans="9:14" ht="14.5">
      <c r="I25" s="109"/>
    </row>
    <row r="26" spans="9:14" ht="14.5">
      <c r="I26" s="109"/>
      <c r="K26" s="118"/>
      <c r="L26" s="118"/>
      <c r="M26" s="118"/>
      <c r="N26" s="118"/>
    </row>
    <row r="27" spans="9:14" ht="14.5">
      <c r="K27" s="118"/>
      <c r="L27" s="118"/>
      <c r="M27" s="118"/>
      <c r="N27" s="118"/>
    </row>
    <row r="28" spans="9:14" ht="14.5">
      <c r="I28" s="118"/>
      <c r="J28" s="118"/>
      <c r="K28" s="118"/>
      <c r="L28" s="118"/>
      <c r="M28" s="118"/>
      <c r="N28" s="118"/>
    </row>
    <row r="29" spans="9:14" ht="14.5">
      <c r="I29" s="118"/>
      <c r="J29" s="118"/>
      <c r="K29" s="118"/>
      <c r="L29" s="118"/>
      <c r="M29" s="118"/>
      <c r="N29" s="118"/>
    </row>
    <row r="30" spans="9:14" ht="14.5">
      <c r="I30" s="118"/>
      <c r="J30" s="118"/>
      <c r="K30" s="118"/>
      <c r="L30" s="118"/>
      <c r="M30" s="118"/>
      <c r="N30" s="118"/>
    </row>
    <row r="31" spans="9:14" ht="14.5">
      <c r="I31" s="118"/>
      <c r="J31" s="118"/>
      <c r="K31" s="118"/>
      <c r="L31" s="118"/>
      <c r="M31" s="118"/>
      <c r="N31" s="118"/>
    </row>
    <row r="32" spans="9:14" ht="14.5">
      <c r="I32" s="118"/>
      <c r="J32" s="118"/>
      <c r="K32" s="118"/>
      <c r="L32" s="118"/>
      <c r="M32" s="118"/>
      <c r="N32" s="118"/>
    </row>
    <row r="33" spans="9:14" ht="14.5">
      <c r="I33" s="118"/>
      <c r="J33" s="118"/>
      <c r="K33" s="118"/>
      <c r="L33" s="118"/>
      <c r="M33" s="118"/>
      <c r="N33" s="118"/>
    </row>
    <row r="34" spans="9:14" ht="15" hidden="1" customHeight="1">
      <c r="I34" s="118"/>
      <c r="J34" s="118"/>
      <c r="K34" s="118"/>
      <c r="L34" s="118"/>
      <c r="M34" s="118"/>
      <c r="N34" s="118"/>
    </row>
    <row r="35" spans="9:14" ht="15" hidden="1" customHeight="1">
      <c r="I35" s="118"/>
      <c r="J35" s="118"/>
      <c r="K35" s="118"/>
      <c r="L35" s="118"/>
      <c r="M35" s="118"/>
      <c r="N35" s="118"/>
    </row>
    <row r="36" spans="9:14" ht="15" hidden="1" customHeight="1">
      <c r="I36" s="118"/>
      <c r="J36" s="118"/>
      <c r="K36" s="118"/>
      <c r="L36" s="118"/>
      <c r="M36" s="118"/>
      <c r="N36" s="118"/>
    </row>
    <row r="37" spans="9:14" ht="15" hidden="1" customHeight="1">
      <c r="I37" s="118"/>
      <c r="J37" s="118"/>
      <c r="K37" s="118"/>
      <c r="L37" s="118"/>
      <c r="M37" s="118"/>
      <c r="N37" s="118"/>
    </row>
    <row r="38" spans="9:14" ht="15" hidden="1" customHeight="1">
      <c r="I38" s="118"/>
      <c r="J38" s="118"/>
      <c r="K38" s="118"/>
      <c r="L38" s="118"/>
      <c r="M38" s="118"/>
      <c r="N38" s="118"/>
    </row>
    <row r="39" spans="9:14" ht="15" hidden="1" customHeight="1">
      <c r="I39" s="118"/>
      <c r="J39" s="118"/>
      <c r="K39" s="118"/>
      <c r="L39" s="118"/>
      <c r="M39" s="118"/>
      <c r="N39" s="118"/>
    </row>
    <row r="40" spans="9:14" ht="15" hidden="1" customHeight="1">
      <c r="I40" s="118"/>
      <c r="J40" s="118"/>
      <c r="K40" s="118"/>
      <c r="L40" s="118"/>
      <c r="M40" s="118"/>
      <c r="N40" s="118"/>
    </row>
    <row r="41" spans="9:14" ht="15" hidden="1" customHeight="1">
      <c r="I41" s="118"/>
      <c r="J41" s="118"/>
      <c r="K41" s="118"/>
      <c r="L41" s="118"/>
      <c r="M41" s="118"/>
      <c r="N41" s="118"/>
    </row>
  </sheetData>
  <sheetProtection pivotTables="0"/>
  <protectedRanges>
    <protectedRange sqref="C2:E2" name="Plage1"/>
  </protectedRanges>
  <mergeCells count="1">
    <mergeCell ref="C2:E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3"/>
  <dimension ref="A1:Q247"/>
  <sheetViews>
    <sheetView workbookViewId="0"/>
  </sheetViews>
  <sheetFormatPr baseColWidth="10" defaultColWidth="11.453125" defaultRowHeight="14.5"/>
  <cols>
    <col min="1" max="1" width="105.54296875" style="295" bestFit="1" customWidth="1"/>
    <col min="2" max="16384" width="11.453125" style="295"/>
  </cols>
  <sheetData>
    <row r="1" spans="1:17" ht="27" thickTop="1" thickBot="1">
      <c r="B1" s="348" t="s">
        <v>252</v>
      </c>
      <c r="C1" s="523" t="s">
        <v>695</v>
      </c>
      <c r="D1" s="524"/>
      <c r="E1" s="524"/>
      <c r="F1" s="524"/>
      <c r="G1" s="524"/>
      <c r="H1" s="524"/>
      <c r="I1" s="524"/>
      <c r="J1" s="524"/>
      <c r="K1" s="524"/>
      <c r="L1" s="524"/>
      <c r="M1" s="524"/>
      <c r="N1" s="524"/>
      <c r="O1" s="525"/>
    </row>
    <row r="2" spans="1:17" ht="26.5" thickBot="1">
      <c r="B2" s="349" t="s">
        <v>696</v>
      </c>
      <c r="C2" s="91" t="s">
        <v>147</v>
      </c>
      <c r="D2" s="91" t="s">
        <v>164</v>
      </c>
      <c r="E2" s="91" t="s">
        <v>176</v>
      </c>
      <c r="F2" s="91" t="s">
        <v>182</v>
      </c>
      <c r="G2" s="91" t="s">
        <v>187</v>
      </c>
      <c r="H2" s="91" t="s">
        <v>192</v>
      </c>
      <c r="I2" s="91" t="s">
        <v>195</v>
      </c>
      <c r="J2" s="91" t="s">
        <v>197</v>
      </c>
      <c r="K2" s="91" t="s">
        <v>697</v>
      </c>
      <c r="L2" s="91" t="s">
        <v>698</v>
      </c>
      <c r="M2" s="91" t="s">
        <v>699</v>
      </c>
      <c r="N2" s="91" t="s">
        <v>700</v>
      </c>
      <c r="O2" s="91" t="s">
        <v>701</v>
      </c>
      <c r="P2" s="91"/>
      <c r="Q2" s="91"/>
    </row>
    <row r="3" spans="1:17" ht="26">
      <c r="A3" s="32" t="s">
        <v>591</v>
      </c>
      <c r="B3" s="350" t="s">
        <v>148</v>
      </c>
      <c r="C3" s="351">
        <v>57</v>
      </c>
      <c r="D3" s="351">
        <v>66</v>
      </c>
      <c r="E3" s="351">
        <v>62</v>
      </c>
      <c r="F3" s="351">
        <v>57</v>
      </c>
      <c r="G3" s="351">
        <v>50</v>
      </c>
      <c r="H3" s="351">
        <v>56</v>
      </c>
      <c r="I3" s="351">
        <v>63</v>
      </c>
      <c r="J3" s="351">
        <v>40</v>
      </c>
      <c r="K3" s="352" t="s">
        <v>702</v>
      </c>
      <c r="L3" s="352" t="s">
        <v>702</v>
      </c>
      <c r="M3" s="352" t="s">
        <v>702</v>
      </c>
      <c r="N3" s="352" t="s">
        <v>702</v>
      </c>
      <c r="O3" s="353" t="s">
        <v>703</v>
      </c>
    </row>
    <row r="4" spans="1:17" ht="26">
      <c r="A4" s="32" t="s">
        <v>591</v>
      </c>
      <c r="B4" s="354" t="s">
        <v>165</v>
      </c>
      <c r="C4" s="355">
        <v>68</v>
      </c>
      <c r="D4" s="355">
        <v>77</v>
      </c>
      <c r="E4" s="355">
        <v>71</v>
      </c>
      <c r="F4" s="356"/>
      <c r="G4" s="355">
        <v>61</v>
      </c>
      <c r="H4" s="355">
        <v>64</v>
      </c>
      <c r="I4" s="355">
        <v>66</v>
      </c>
      <c r="J4" s="355">
        <v>44</v>
      </c>
      <c r="K4" s="357" t="s">
        <v>702</v>
      </c>
      <c r="L4" s="357" t="s">
        <v>702</v>
      </c>
      <c r="M4" s="357" t="s">
        <v>702</v>
      </c>
      <c r="N4" s="358"/>
      <c r="O4" s="359" t="s">
        <v>702</v>
      </c>
    </row>
    <row r="5" spans="1:17" ht="26">
      <c r="A5" s="32" t="s">
        <v>591</v>
      </c>
      <c r="B5" s="354" t="s">
        <v>177</v>
      </c>
      <c r="C5" s="358"/>
      <c r="D5" s="355">
        <v>90</v>
      </c>
      <c r="E5" s="355">
        <v>81</v>
      </c>
      <c r="F5" s="356"/>
      <c r="G5" s="356"/>
      <c r="H5" s="355">
        <v>75</v>
      </c>
      <c r="I5" s="355">
        <v>68</v>
      </c>
      <c r="J5" s="355">
        <v>54</v>
      </c>
      <c r="K5" s="358"/>
      <c r="L5" s="358"/>
      <c r="M5" s="357" t="s">
        <v>702</v>
      </c>
      <c r="N5" s="358"/>
      <c r="O5" s="359" t="s">
        <v>702</v>
      </c>
    </row>
    <row r="6" spans="1:17" ht="26">
      <c r="A6" s="32" t="s">
        <v>591</v>
      </c>
      <c r="B6" s="354" t="s">
        <v>183</v>
      </c>
      <c r="C6" s="358"/>
      <c r="D6" s="355">
        <v>125</v>
      </c>
      <c r="E6" s="355">
        <v>115</v>
      </c>
      <c r="F6" s="356"/>
      <c r="G6" s="356"/>
      <c r="H6" s="355">
        <v>109</v>
      </c>
      <c r="I6" s="355">
        <v>99</v>
      </c>
      <c r="J6" s="355">
        <v>84</v>
      </c>
      <c r="K6" s="358"/>
      <c r="L6" s="358"/>
      <c r="M6" s="358"/>
      <c r="N6" s="358"/>
      <c r="O6" s="359" t="s">
        <v>702</v>
      </c>
    </row>
    <row r="7" spans="1:17" ht="26">
      <c r="A7" s="32" t="s">
        <v>591</v>
      </c>
      <c r="B7" s="354" t="s">
        <v>188</v>
      </c>
      <c r="C7" s="358"/>
      <c r="D7" s="356"/>
      <c r="E7" s="355">
        <v>133</v>
      </c>
      <c r="F7" s="356"/>
      <c r="G7" s="356"/>
      <c r="H7" s="355">
        <v>117</v>
      </c>
      <c r="I7" s="355">
        <v>107</v>
      </c>
      <c r="J7" s="355">
        <v>92</v>
      </c>
      <c r="K7" s="358"/>
      <c r="L7" s="358"/>
      <c r="M7" s="358"/>
      <c r="N7" s="358"/>
      <c r="O7" s="360"/>
    </row>
    <row r="8" spans="1:17" ht="26">
      <c r="A8" s="32" t="s">
        <v>595</v>
      </c>
      <c r="B8" s="354" t="s">
        <v>148</v>
      </c>
      <c r="C8" s="361">
        <v>57</v>
      </c>
      <c r="D8" s="361">
        <v>66</v>
      </c>
      <c r="E8" s="361">
        <v>62</v>
      </c>
      <c r="F8" s="361">
        <v>57</v>
      </c>
      <c r="G8" s="361">
        <v>50</v>
      </c>
      <c r="H8" s="361">
        <v>56</v>
      </c>
      <c r="I8" s="361">
        <v>63</v>
      </c>
      <c r="J8" s="361">
        <v>40</v>
      </c>
      <c r="K8" s="362">
        <v>47</v>
      </c>
      <c r="L8" s="362">
        <v>54</v>
      </c>
      <c r="M8" s="362">
        <v>55</v>
      </c>
      <c r="N8" s="362">
        <v>27</v>
      </c>
      <c r="O8" s="363">
        <v>56</v>
      </c>
    </row>
    <row r="9" spans="1:17" ht="26">
      <c r="A9" s="32" t="s">
        <v>595</v>
      </c>
      <c r="B9" s="354" t="s">
        <v>165</v>
      </c>
      <c r="C9" s="361">
        <v>68</v>
      </c>
      <c r="D9" s="361">
        <v>77</v>
      </c>
      <c r="E9" s="361">
        <v>71</v>
      </c>
      <c r="F9" s="364"/>
      <c r="G9" s="361">
        <v>61</v>
      </c>
      <c r="H9" s="361">
        <v>64</v>
      </c>
      <c r="I9" s="361">
        <v>66</v>
      </c>
      <c r="J9" s="361">
        <v>44</v>
      </c>
      <c r="K9" s="362">
        <v>29</v>
      </c>
      <c r="L9" s="362">
        <v>37</v>
      </c>
      <c r="M9" s="362"/>
      <c r="N9" s="365"/>
      <c r="O9" s="363"/>
    </row>
    <row r="10" spans="1:17" ht="26">
      <c r="A10" s="32" t="s">
        <v>595</v>
      </c>
      <c r="B10" s="354" t="s">
        <v>177</v>
      </c>
      <c r="C10" s="365"/>
      <c r="D10" s="361">
        <v>90</v>
      </c>
      <c r="E10" s="361">
        <v>81</v>
      </c>
      <c r="F10" s="364"/>
      <c r="G10" s="364"/>
      <c r="H10" s="361">
        <v>75</v>
      </c>
      <c r="I10" s="361">
        <v>68</v>
      </c>
      <c r="J10" s="361">
        <v>54</v>
      </c>
      <c r="K10" s="365"/>
      <c r="L10" s="365"/>
      <c r="M10" s="362"/>
      <c r="N10" s="365">
        <v>28</v>
      </c>
      <c r="O10" s="363"/>
    </row>
    <row r="11" spans="1:17" ht="26">
      <c r="A11" s="32" t="s">
        <v>595</v>
      </c>
      <c r="B11" s="354" t="s">
        <v>183</v>
      </c>
      <c r="C11" s="365"/>
      <c r="D11" s="361">
        <v>125</v>
      </c>
      <c r="E11" s="361">
        <v>115</v>
      </c>
      <c r="F11" s="364"/>
      <c r="G11" s="364"/>
      <c r="H11" s="361">
        <v>109</v>
      </c>
      <c r="I11" s="361">
        <v>99</v>
      </c>
      <c r="J11" s="361">
        <v>84</v>
      </c>
      <c r="K11" s="365"/>
      <c r="L11" s="365"/>
      <c r="M11" s="365"/>
      <c r="N11" s="365">
        <v>49</v>
      </c>
      <c r="O11" s="363"/>
    </row>
    <row r="12" spans="1:17" ht="26">
      <c r="A12" s="32" t="s">
        <v>595</v>
      </c>
      <c r="B12" s="354" t="s">
        <v>188</v>
      </c>
      <c r="C12" s="365"/>
      <c r="D12" s="364"/>
      <c r="E12" s="361">
        <v>133</v>
      </c>
      <c r="F12" s="364"/>
      <c r="G12" s="364"/>
      <c r="H12" s="361">
        <v>117</v>
      </c>
      <c r="I12" s="361">
        <v>107</v>
      </c>
      <c r="J12" s="361">
        <v>92</v>
      </c>
      <c r="K12" s="365"/>
      <c r="L12" s="365"/>
      <c r="M12" s="365"/>
      <c r="N12" s="365"/>
      <c r="O12" s="363"/>
    </row>
    <row r="13" spans="1:17" ht="26">
      <c r="A13" s="32" t="s">
        <v>597</v>
      </c>
      <c r="B13" s="354" t="s">
        <v>148</v>
      </c>
      <c r="C13" s="361">
        <v>57</v>
      </c>
      <c r="D13" s="361">
        <v>66</v>
      </c>
      <c r="E13" s="361">
        <v>62</v>
      </c>
      <c r="F13" s="361">
        <v>57</v>
      </c>
      <c r="G13" s="361">
        <v>50</v>
      </c>
      <c r="H13" s="361">
        <v>56</v>
      </c>
      <c r="I13" s="361">
        <v>63</v>
      </c>
      <c r="J13" s="361">
        <v>40</v>
      </c>
      <c r="K13" s="362">
        <v>47</v>
      </c>
      <c r="L13" s="362">
        <v>54</v>
      </c>
      <c r="M13" s="362">
        <v>55</v>
      </c>
      <c r="N13" s="362">
        <v>27</v>
      </c>
      <c r="O13" s="363">
        <v>56</v>
      </c>
    </row>
    <row r="14" spans="1:17" ht="26">
      <c r="A14" s="32" t="s">
        <v>597</v>
      </c>
      <c r="B14" s="354" t="s">
        <v>165</v>
      </c>
      <c r="C14" s="361">
        <v>68</v>
      </c>
      <c r="D14" s="361">
        <v>77</v>
      </c>
      <c r="E14" s="361">
        <v>71</v>
      </c>
      <c r="F14" s="364"/>
      <c r="G14" s="361">
        <v>61</v>
      </c>
      <c r="H14" s="361">
        <v>64</v>
      </c>
      <c r="I14" s="361">
        <v>66</v>
      </c>
      <c r="J14" s="361">
        <v>44</v>
      </c>
      <c r="K14" s="362">
        <v>29</v>
      </c>
      <c r="L14" s="362">
        <v>37</v>
      </c>
      <c r="M14" s="362"/>
      <c r="N14" s="365"/>
      <c r="O14" s="363"/>
    </row>
    <row r="15" spans="1:17" ht="26">
      <c r="A15" s="32" t="s">
        <v>597</v>
      </c>
      <c r="B15" s="354" t="s">
        <v>177</v>
      </c>
      <c r="C15" s="365"/>
      <c r="D15" s="361">
        <v>90</v>
      </c>
      <c r="E15" s="361">
        <v>81</v>
      </c>
      <c r="F15" s="364"/>
      <c r="G15" s="364"/>
      <c r="H15" s="361">
        <v>75</v>
      </c>
      <c r="I15" s="361">
        <v>68</v>
      </c>
      <c r="J15" s="361">
        <v>54</v>
      </c>
      <c r="K15" s="365"/>
      <c r="L15" s="365"/>
      <c r="M15" s="362"/>
      <c r="N15" s="365">
        <v>28</v>
      </c>
      <c r="O15" s="363"/>
    </row>
    <row r="16" spans="1:17" ht="26">
      <c r="A16" s="32" t="s">
        <v>597</v>
      </c>
      <c r="B16" s="354" t="s">
        <v>183</v>
      </c>
      <c r="C16" s="365"/>
      <c r="D16" s="361">
        <v>125</v>
      </c>
      <c r="E16" s="361">
        <v>115</v>
      </c>
      <c r="F16" s="364"/>
      <c r="G16" s="364"/>
      <c r="H16" s="361">
        <v>109</v>
      </c>
      <c r="I16" s="361">
        <v>99</v>
      </c>
      <c r="J16" s="361">
        <v>84</v>
      </c>
      <c r="K16" s="365"/>
      <c r="L16" s="365"/>
      <c r="M16" s="365"/>
      <c r="N16" s="365">
        <v>49</v>
      </c>
      <c r="O16" s="363"/>
    </row>
    <row r="17" spans="1:15" ht="26">
      <c r="A17" s="32" t="s">
        <v>597</v>
      </c>
      <c r="B17" s="354" t="s">
        <v>188</v>
      </c>
      <c r="C17" s="365"/>
      <c r="D17" s="364"/>
      <c r="E17" s="361">
        <v>133</v>
      </c>
      <c r="F17" s="364"/>
      <c r="G17" s="364"/>
      <c r="H17" s="361">
        <v>117</v>
      </c>
      <c r="I17" s="361">
        <v>107</v>
      </c>
      <c r="J17" s="361">
        <v>92</v>
      </c>
      <c r="K17" s="365"/>
      <c r="L17" s="365"/>
      <c r="M17" s="365"/>
      <c r="N17" s="365"/>
      <c r="O17" s="363"/>
    </row>
    <row r="18" spans="1:15" ht="26">
      <c r="A18" s="32" t="s">
        <v>617</v>
      </c>
      <c r="B18" s="354" t="s">
        <v>148</v>
      </c>
      <c r="C18" s="366">
        <v>66</v>
      </c>
      <c r="D18" s="366">
        <v>71</v>
      </c>
      <c r="E18" s="366">
        <v>64</v>
      </c>
      <c r="F18" s="366">
        <v>60</v>
      </c>
      <c r="G18" s="366">
        <v>62</v>
      </c>
      <c r="H18" s="366">
        <v>54</v>
      </c>
      <c r="I18" s="366">
        <v>54</v>
      </c>
      <c r="J18" s="366">
        <v>46</v>
      </c>
      <c r="K18" s="357">
        <v>35</v>
      </c>
      <c r="L18" s="357">
        <v>39</v>
      </c>
      <c r="M18" s="357">
        <v>40</v>
      </c>
      <c r="N18" s="357">
        <v>24</v>
      </c>
      <c r="O18" s="359">
        <v>40</v>
      </c>
    </row>
    <row r="19" spans="1:15" ht="26">
      <c r="A19" s="32" t="s">
        <v>617</v>
      </c>
      <c r="B19" s="354" t="s">
        <v>165</v>
      </c>
      <c r="C19" s="366">
        <v>80</v>
      </c>
      <c r="D19" s="366">
        <v>86</v>
      </c>
      <c r="E19" s="366">
        <v>76</v>
      </c>
      <c r="F19" s="356"/>
      <c r="G19" s="366">
        <v>74</v>
      </c>
      <c r="H19" s="366">
        <v>66</v>
      </c>
      <c r="I19" s="366">
        <v>64</v>
      </c>
      <c r="J19" s="366">
        <v>54</v>
      </c>
      <c r="K19" s="357">
        <v>25</v>
      </c>
      <c r="L19" s="357">
        <v>29</v>
      </c>
      <c r="M19" s="357"/>
      <c r="N19" s="367"/>
      <c r="O19" s="359"/>
    </row>
    <row r="20" spans="1:15" ht="26">
      <c r="A20" s="32" t="s">
        <v>617</v>
      </c>
      <c r="B20" s="354" t="s">
        <v>177</v>
      </c>
      <c r="C20" s="358"/>
      <c r="D20" s="366">
        <v>102</v>
      </c>
      <c r="E20" s="366">
        <v>90</v>
      </c>
      <c r="F20" s="356"/>
      <c r="G20" s="356"/>
      <c r="H20" s="366">
        <v>79</v>
      </c>
      <c r="I20" s="366">
        <v>74</v>
      </c>
      <c r="J20" s="366">
        <v>65</v>
      </c>
      <c r="K20" s="367"/>
      <c r="L20" s="367"/>
      <c r="M20" s="357"/>
      <c r="N20" s="367">
        <v>41</v>
      </c>
      <c r="O20" s="359"/>
    </row>
    <row r="21" spans="1:15" ht="26">
      <c r="A21" s="32" t="s">
        <v>617</v>
      </c>
      <c r="B21" s="354" t="s">
        <v>183</v>
      </c>
      <c r="C21" s="358"/>
      <c r="D21" s="366">
        <v>112</v>
      </c>
      <c r="E21" s="366">
        <v>109</v>
      </c>
      <c r="F21" s="356"/>
      <c r="G21" s="356"/>
      <c r="H21" s="366">
        <v>96</v>
      </c>
      <c r="I21" s="366">
        <v>90</v>
      </c>
      <c r="J21" s="366">
        <v>80</v>
      </c>
      <c r="K21" s="367"/>
      <c r="L21" s="367"/>
      <c r="M21" s="367"/>
      <c r="N21" s="367">
        <v>78</v>
      </c>
      <c r="O21" s="359"/>
    </row>
    <row r="22" spans="1:15" ht="26">
      <c r="A22" s="32" t="s">
        <v>617</v>
      </c>
      <c r="B22" s="354" t="s">
        <v>188</v>
      </c>
      <c r="C22" s="358"/>
      <c r="D22" s="356"/>
      <c r="E22" s="366">
        <v>120</v>
      </c>
      <c r="F22" s="356"/>
      <c r="G22" s="356"/>
      <c r="H22" s="366">
        <v>108</v>
      </c>
      <c r="I22" s="366">
        <v>100</v>
      </c>
      <c r="J22" s="366">
        <v>90</v>
      </c>
      <c r="K22" s="367"/>
      <c r="L22" s="367"/>
      <c r="M22" s="367"/>
      <c r="N22" s="367"/>
      <c r="O22" s="359"/>
    </row>
    <row r="23" spans="1:15" ht="26">
      <c r="A23" s="32" t="s">
        <v>598</v>
      </c>
      <c r="B23" s="354" t="s">
        <v>148</v>
      </c>
      <c r="C23" s="355">
        <v>66</v>
      </c>
      <c r="D23" s="355">
        <v>71</v>
      </c>
      <c r="E23" s="355">
        <v>64</v>
      </c>
      <c r="F23" s="355">
        <v>60</v>
      </c>
      <c r="G23" s="355">
        <v>62</v>
      </c>
      <c r="H23" s="355">
        <v>54</v>
      </c>
      <c r="I23" s="355">
        <v>54</v>
      </c>
      <c r="J23" s="355">
        <v>46</v>
      </c>
      <c r="K23" s="357">
        <v>35</v>
      </c>
      <c r="L23" s="357">
        <v>39</v>
      </c>
      <c r="M23" s="357">
        <v>40</v>
      </c>
      <c r="N23" s="357">
        <v>24</v>
      </c>
      <c r="O23" s="359">
        <v>40</v>
      </c>
    </row>
    <row r="24" spans="1:15" ht="26">
      <c r="A24" s="32" t="s">
        <v>598</v>
      </c>
      <c r="B24" s="354" t="s">
        <v>165</v>
      </c>
      <c r="C24" s="355">
        <v>80</v>
      </c>
      <c r="D24" s="355">
        <v>86</v>
      </c>
      <c r="E24" s="355">
        <v>76</v>
      </c>
      <c r="F24" s="355"/>
      <c r="G24" s="355">
        <v>74</v>
      </c>
      <c r="H24" s="355">
        <v>66</v>
      </c>
      <c r="I24" s="355">
        <v>64</v>
      </c>
      <c r="J24" s="355">
        <v>54</v>
      </c>
      <c r="K24" s="357">
        <v>25</v>
      </c>
      <c r="L24" s="357">
        <v>29</v>
      </c>
      <c r="M24" s="357"/>
      <c r="N24" s="367"/>
      <c r="O24" s="359"/>
    </row>
    <row r="25" spans="1:15" ht="26">
      <c r="A25" s="32" t="s">
        <v>598</v>
      </c>
      <c r="B25" s="354" t="s">
        <v>177</v>
      </c>
      <c r="C25" s="367"/>
      <c r="D25" s="355">
        <v>102</v>
      </c>
      <c r="E25" s="355">
        <v>90</v>
      </c>
      <c r="F25" s="355"/>
      <c r="G25" s="355"/>
      <c r="H25" s="355">
        <v>79</v>
      </c>
      <c r="I25" s="355">
        <v>74</v>
      </c>
      <c r="J25" s="355">
        <v>65</v>
      </c>
      <c r="K25" s="367"/>
      <c r="L25" s="367"/>
      <c r="M25" s="357"/>
      <c r="N25" s="367">
        <v>41</v>
      </c>
      <c r="O25" s="359"/>
    </row>
    <row r="26" spans="1:15" ht="26">
      <c r="A26" s="32" t="s">
        <v>598</v>
      </c>
      <c r="B26" s="354" t="s">
        <v>183</v>
      </c>
      <c r="C26" s="367"/>
      <c r="D26" s="355">
        <v>112</v>
      </c>
      <c r="E26" s="355">
        <v>109</v>
      </c>
      <c r="F26" s="355"/>
      <c r="G26" s="355"/>
      <c r="H26" s="355">
        <v>96</v>
      </c>
      <c r="I26" s="355">
        <v>90</v>
      </c>
      <c r="J26" s="355">
        <v>80</v>
      </c>
      <c r="K26" s="367"/>
      <c r="L26" s="367"/>
      <c r="M26" s="367"/>
      <c r="N26" s="367">
        <v>78</v>
      </c>
      <c r="O26" s="359"/>
    </row>
    <row r="27" spans="1:15" ht="26">
      <c r="A27" s="32" t="s">
        <v>598</v>
      </c>
      <c r="B27" s="354" t="s">
        <v>188</v>
      </c>
      <c r="C27" s="367"/>
      <c r="D27" s="355"/>
      <c r="E27" s="355">
        <v>120</v>
      </c>
      <c r="F27" s="355"/>
      <c r="G27" s="355"/>
      <c r="H27" s="355">
        <v>108</v>
      </c>
      <c r="I27" s="355">
        <v>100</v>
      </c>
      <c r="J27" s="355">
        <v>90</v>
      </c>
      <c r="K27" s="367"/>
      <c r="L27" s="367"/>
      <c r="M27" s="367"/>
      <c r="N27" s="367"/>
      <c r="O27" s="359"/>
    </row>
    <row r="28" spans="1:15" ht="26">
      <c r="A28" s="32" t="s">
        <v>601</v>
      </c>
      <c r="B28" s="354" t="s">
        <v>148</v>
      </c>
      <c r="C28" s="355">
        <v>66</v>
      </c>
      <c r="D28" s="355">
        <v>71</v>
      </c>
      <c r="E28" s="355">
        <v>64</v>
      </c>
      <c r="F28" s="355">
        <v>60</v>
      </c>
      <c r="G28" s="355">
        <v>62</v>
      </c>
      <c r="H28" s="355">
        <v>54</v>
      </c>
      <c r="I28" s="355">
        <v>54</v>
      </c>
      <c r="J28" s="355">
        <v>46</v>
      </c>
      <c r="K28" s="357">
        <v>35</v>
      </c>
      <c r="L28" s="357">
        <v>39</v>
      </c>
      <c r="M28" s="357">
        <v>40</v>
      </c>
      <c r="N28" s="357">
        <v>24</v>
      </c>
      <c r="O28" s="359">
        <v>40</v>
      </c>
    </row>
    <row r="29" spans="1:15" ht="26">
      <c r="A29" s="32" t="s">
        <v>601</v>
      </c>
      <c r="B29" s="354" t="s">
        <v>165</v>
      </c>
      <c r="C29" s="355">
        <v>80</v>
      </c>
      <c r="D29" s="355">
        <v>86</v>
      </c>
      <c r="E29" s="355">
        <v>76</v>
      </c>
      <c r="F29" s="355"/>
      <c r="G29" s="355">
        <v>74</v>
      </c>
      <c r="H29" s="355">
        <v>66</v>
      </c>
      <c r="I29" s="355">
        <v>64</v>
      </c>
      <c r="J29" s="355">
        <v>54</v>
      </c>
      <c r="K29" s="357">
        <v>25</v>
      </c>
      <c r="L29" s="357">
        <v>29</v>
      </c>
      <c r="M29" s="357"/>
      <c r="N29" s="367"/>
      <c r="O29" s="359"/>
    </row>
    <row r="30" spans="1:15" ht="26">
      <c r="A30" s="32" t="s">
        <v>601</v>
      </c>
      <c r="B30" s="354" t="s">
        <v>177</v>
      </c>
      <c r="C30" s="367"/>
      <c r="D30" s="355">
        <v>102</v>
      </c>
      <c r="E30" s="355">
        <v>90</v>
      </c>
      <c r="F30" s="355"/>
      <c r="G30" s="355"/>
      <c r="H30" s="355">
        <v>79</v>
      </c>
      <c r="I30" s="355">
        <v>74</v>
      </c>
      <c r="J30" s="355">
        <v>65</v>
      </c>
      <c r="K30" s="367"/>
      <c r="L30" s="367"/>
      <c r="M30" s="357"/>
      <c r="N30" s="367">
        <v>41</v>
      </c>
      <c r="O30" s="359"/>
    </row>
    <row r="31" spans="1:15" ht="26">
      <c r="A31" s="32" t="s">
        <v>601</v>
      </c>
      <c r="B31" s="354" t="s">
        <v>183</v>
      </c>
      <c r="C31" s="367"/>
      <c r="D31" s="355">
        <v>112</v>
      </c>
      <c r="E31" s="355">
        <v>109</v>
      </c>
      <c r="F31" s="355"/>
      <c r="G31" s="355"/>
      <c r="H31" s="355">
        <v>96</v>
      </c>
      <c r="I31" s="355">
        <v>90</v>
      </c>
      <c r="J31" s="355">
        <v>80</v>
      </c>
      <c r="K31" s="367"/>
      <c r="L31" s="367"/>
      <c r="M31" s="367"/>
      <c r="N31" s="367">
        <v>78</v>
      </c>
      <c r="O31" s="359"/>
    </row>
    <row r="32" spans="1:15" ht="26">
      <c r="A32" s="32" t="s">
        <v>601</v>
      </c>
      <c r="B32" s="354" t="s">
        <v>188</v>
      </c>
      <c r="C32" s="367"/>
      <c r="D32" s="355"/>
      <c r="E32" s="355">
        <v>120</v>
      </c>
      <c r="F32" s="355"/>
      <c r="G32" s="355"/>
      <c r="H32" s="355">
        <v>108</v>
      </c>
      <c r="I32" s="355">
        <v>100</v>
      </c>
      <c r="J32" s="355">
        <v>90</v>
      </c>
      <c r="K32" s="367"/>
      <c r="L32" s="367"/>
      <c r="M32" s="367"/>
      <c r="N32" s="367"/>
      <c r="O32" s="359"/>
    </row>
    <row r="33" spans="1:15" ht="26">
      <c r="A33" s="32" t="s">
        <v>602</v>
      </c>
      <c r="B33" s="354" t="s">
        <v>148</v>
      </c>
      <c r="C33" s="355">
        <v>72</v>
      </c>
      <c r="D33" s="355">
        <v>78</v>
      </c>
      <c r="E33" s="355">
        <v>71</v>
      </c>
      <c r="F33" s="355">
        <v>66</v>
      </c>
      <c r="G33" s="355">
        <v>68</v>
      </c>
      <c r="H33" s="355">
        <v>63</v>
      </c>
      <c r="I33" s="355">
        <v>64</v>
      </c>
      <c r="J33" s="355">
        <v>59</v>
      </c>
      <c r="K33" s="357">
        <v>136</v>
      </c>
      <c r="L33" s="357">
        <v>156</v>
      </c>
      <c r="M33" s="357">
        <v>161</v>
      </c>
      <c r="N33" s="357">
        <v>75</v>
      </c>
      <c r="O33" s="359">
        <v>163</v>
      </c>
    </row>
    <row r="34" spans="1:15" ht="26">
      <c r="A34" s="32" t="s">
        <v>602</v>
      </c>
      <c r="B34" s="354" t="s">
        <v>165</v>
      </c>
      <c r="C34" s="355">
        <v>84</v>
      </c>
      <c r="D34" s="355">
        <v>91</v>
      </c>
      <c r="E34" s="355">
        <v>83</v>
      </c>
      <c r="F34" s="355"/>
      <c r="G34" s="355">
        <v>80</v>
      </c>
      <c r="H34" s="355">
        <v>73</v>
      </c>
      <c r="I34" s="355">
        <v>70</v>
      </c>
      <c r="J34" s="355">
        <v>63</v>
      </c>
      <c r="K34" s="357">
        <v>84</v>
      </c>
      <c r="L34" s="357">
        <v>105</v>
      </c>
      <c r="M34" s="357"/>
      <c r="N34" s="367"/>
      <c r="O34" s="359"/>
    </row>
    <row r="35" spans="1:15" ht="26">
      <c r="A35" s="32" t="s">
        <v>602</v>
      </c>
      <c r="B35" s="354" t="s">
        <v>177</v>
      </c>
      <c r="C35" s="355" t="s">
        <v>57</v>
      </c>
      <c r="D35" s="355">
        <v>105</v>
      </c>
      <c r="E35" s="355">
        <v>95</v>
      </c>
      <c r="F35" s="355"/>
      <c r="G35" s="355"/>
      <c r="H35" s="355">
        <v>84</v>
      </c>
      <c r="I35" s="355">
        <v>81</v>
      </c>
      <c r="J35" s="355">
        <v>71</v>
      </c>
      <c r="K35" s="367"/>
      <c r="L35" s="367"/>
      <c r="M35" s="357"/>
      <c r="N35" s="367">
        <v>53</v>
      </c>
      <c r="O35" s="359"/>
    </row>
    <row r="36" spans="1:15" ht="26">
      <c r="A36" s="32" t="s">
        <v>602</v>
      </c>
      <c r="B36" s="354" t="s">
        <v>183</v>
      </c>
      <c r="C36" s="367"/>
      <c r="D36" s="355">
        <v>125</v>
      </c>
      <c r="E36" s="355">
        <v>112</v>
      </c>
      <c r="F36" s="355" t="s">
        <v>704</v>
      </c>
      <c r="G36" s="355" t="s">
        <v>57</v>
      </c>
      <c r="H36" s="355">
        <v>101</v>
      </c>
      <c r="I36" s="355">
        <v>95</v>
      </c>
      <c r="J36" s="355">
        <v>85</v>
      </c>
      <c r="K36" s="367"/>
      <c r="L36" s="367"/>
      <c r="M36" s="367"/>
      <c r="N36" s="367">
        <v>81</v>
      </c>
      <c r="O36" s="359"/>
    </row>
    <row r="37" spans="1:15" ht="26">
      <c r="A37" s="32" t="s">
        <v>602</v>
      </c>
      <c r="B37" s="354" t="s">
        <v>188</v>
      </c>
      <c r="C37" s="367"/>
      <c r="D37" s="355"/>
      <c r="E37" s="355">
        <v>124</v>
      </c>
      <c r="F37" s="355" t="s">
        <v>57</v>
      </c>
      <c r="G37" s="355"/>
      <c r="H37" s="355">
        <v>111</v>
      </c>
      <c r="I37" s="355">
        <v>104</v>
      </c>
      <c r="J37" s="355">
        <v>94</v>
      </c>
      <c r="K37" s="368"/>
      <c r="L37" s="368"/>
      <c r="M37" s="368"/>
      <c r="N37" s="368"/>
      <c r="O37" s="369"/>
    </row>
    <row r="38" spans="1:15" ht="26">
      <c r="A38" s="32" t="s">
        <v>618</v>
      </c>
      <c r="B38" s="354" t="s">
        <v>148</v>
      </c>
      <c r="C38" s="355">
        <v>72</v>
      </c>
      <c r="D38" s="355">
        <v>78</v>
      </c>
      <c r="E38" s="355">
        <v>71</v>
      </c>
      <c r="F38" s="355">
        <v>66</v>
      </c>
      <c r="G38" s="355">
        <v>68</v>
      </c>
      <c r="H38" s="355">
        <v>63</v>
      </c>
      <c r="I38" s="355">
        <v>64</v>
      </c>
      <c r="J38" s="355">
        <v>59</v>
      </c>
      <c r="K38" s="357">
        <v>136</v>
      </c>
      <c r="L38" s="357">
        <v>156</v>
      </c>
      <c r="M38" s="357">
        <v>161</v>
      </c>
      <c r="N38" s="357">
        <v>75</v>
      </c>
      <c r="O38" s="359">
        <v>163</v>
      </c>
    </row>
    <row r="39" spans="1:15" ht="26">
      <c r="A39" s="32" t="s">
        <v>618</v>
      </c>
      <c r="B39" s="354" t="s">
        <v>165</v>
      </c>
      <c r="C39" s="355">
        <v>84</v>
      </c>
      <c r="D39" s="355">
        <v>91</v>
      </c>
      <c r="E39" s="355">
        <v>83</v>
      </c>
      <c r="F39" s="355"/>
      <c r="G39" s="355">
        <v>80</v>
      </c>
      <c r="H39" s="355">
        <v>73</v>
      </c>
      <c r="I39" s="355">
        <v>70</v>
      </c>
      <c r="J39" s="355">
        <v>63</v>
      </c>
      <c r="K39" s="357">
        <v>84</v>
      </c>
      <c r="L39" s="357">
        <v>105</v>
      </c>
      <c r="M39" s="357"/>
      <c r="N39" s="367"/>
      <c r="O39" s="359"/>
    </row>
    <row r="40" spans="1:15" ht="26">
      <c r="A40" s="32" t="s">
        <v>618</v>
      </c>
      <c r="B40" s="354" t="s">
        <v>177</v>
      </c>
      <c r="C40" s="355" t="s">
        <v>57</v>
      </c>
      <c r="D40" s="355">
        <v>105</v>
      </c>
      <c r="E40" s="355">
        <v>95</v>
      </c>
      <c r="F40" s="355"/>
      <c r="G40" s="355"/>
      <c r="H40" s="355">
        <v>84</v>
      </c>
      <c r="I40" s="355">
        <v>81</v>
      </c>
      <c r="J40" s="355">
        <v>71</v>
      </c>
      <c r="K40" s="367"/>
      <c r="L40" s="367"/>
      <c r="M40" s="357"/>
      <c r="N40" s="367">
        <v>53</v>
      </c>
      <c r="O40" s="359"/>
    </row>
    <row r="41" spans="1:15" ht="26">
      <c r="A41" s="32" t="s">
        <v>618</v>
      </c>
      <c r="B41" s="354" t="s">
        <v>183</v>
      </c>
      <c r="C41" s="367"/>
      <c r="D41" s="355">
        <v>125</v>
      </c>
      <c r="E41" s="355">
        <v>112</v>
      </c>
      <c r="F41" s="355" t="s">
        <v>704</v>
      </c>
      <c r="G41" s="355" t="s">
        <v>57</v>
      </c>
      <c r="H41" s="355">
        <v>101</v>
      </c>
      <c r="I41" s="355">
        <v>95</v>
      </c>
      <c r="J41" s="355">
        <v>85</v>
      </c>
      <c r="K41" s="367"/>
      <c r="L41" s="367"/>
      <c r="M41" s="367"/>
      <c r="N41" s="367">
        <v>81</v>
      </c>
      <c r="O41" s="359"/>
    </row>
    <row r="42" spans="1:15" ht="26">
      <c r="A42" s="32" t="s">
        <v>618</v>
      </c>
      <c r="B42" s="354" t="s">
        <v>188</v>
      </c>
      <c r="C42" s="367"/>
      <c r="D42" s="355"/>
      <c r="E42" s="355">
        <v>124</v>
      </c>
      <c r="F42" s="355" t="s">
        <v>57</v>
      </c>
      <c r="G42" s="355"/>
      <c r="H42" s="355">
        <v>111</v>
      </c>
      <c r="I42" s="355">
        <v>104</v>
      </c>
      <c r="J42" s="355">
        <v>94</v>
      </c>
      <c r="K42" s="368"/>
      <c r="L42" s="368"/>
      <c r="M42" s="368"/>
      <c r="N42" s="368"/>
      <c r="O42" s="369"/>
    </row>
    <row r="43" spans="1:15" ht="26">
      <c r="A43" s="32" t="s">
        <v>605</v>
      </c>
      <c r="B43" s="354" t="s">
        <v>148</v>
      </c>
      <c r="C43" s="366">
        <v>68</v>
      </c>
      <c r="D43" s="366">
        <v>76</v>
      </c>
      <c r="E43" s="366">
        <v>85</v>
      </c>
      <c r="F43" s="366">
        <v>64</v>
      </c>
      <c r="G43" s="366">
        <v>73</v>
      </c>
      <c r="H43" s="366">
        <v>92</v>
      </c>
      <c r="I43" s="366">
        <v>115</v>
      </c>
      <c r="J43" s="366">
        <v>117</v>
      </c>
      <c r="K43" s="357" t="s">
        <v>702</v>
      </c>
      <c r="L43" s="357" t="s">
        <v>702</v>
      </c>
      <c r="M43" s="357" t="s">
        <v>702</v>
      </c>
      <c r="N43" s="357" t="s">
        <v>702</v>
      </c>
      <c r="O43" s="359" t="s">
        <v>703</v>
      </c>
    </row>
    <row r="44" spans="1:15" ht="26">
      <c r="A44" s="32" t="s">
        <v>605</v>
      </c>
      <c r="B44" s="354" t="s">
        <v>165</v>
      </c>
      <c r="C44" s="366">
        <v>62</v>
      </c>
      <c r="D44" s="366">
        <v>69</v>
      </c>
      <c r="E44" s="366">
        <v>74</v>
      </c>
      <c r="F44" s="370"/>
      <c r="G44" s="366">
        <v>65</v>
      </c>
      <c r="H44" s="366">
        <v>75</v>
      </c>
      <c r="I44" s="366">
        <v>95</v>
      </c>
      <c r="J44" s="366">
        <v>93</v>
      </c>
      <c r="K44" s="357" t="s">
        <v>702</v>
      </c>
      <c r="L44" s="357" t="s">
        <v>702</v>
      </c>
      <c r="M44" s="357" t="s">
        <v>702</v>
      </c>
      <c r="N44" s="371"/>
      <c r="O44" s="359" t="s">
        <v>702</v>
      </c>
    </row>
    <row r="45" spans="1:15" ht="26">
      <c r="A45" s="32" t="s">
        <v>605</v>
      </c>
      <c r="B45" s="354" t="s">
        <v>177</v>
      </c>
      <c r="C45" s="371"/>
      <c r="D45" s="366">
        <v>67</v>
      </c>
      <c r="E45" s="366">
        <v>68</v>
      </c>
      <c r="F45" s="370"/>
      <c r="G45" s="370"/>
      <c r="H45" s="366">
        <v>66</v>
      </c>
      <c r="I45" s="366">
        <v>81</v>
      </c>
      <c r="J45" s="366">
        <v>75</v>
      </c>
      <c r="K45" s="371"/>
      <c r="L45" s="371"/>
      <c r="M45" s="357" t="s">
        <v>702</v>
      </c>
      <c r="N45" s="371"/>
      <c r="O45" s="359" t="s">
        <v>702</v>
      </c>
    </row>
    <row r="46" spans="1:15" ht="26">
      <c r="A46" s="32" t="s">
        <v>605</v>
      </c>
      <c r="B46" s="354" t="s">
        <v>183</v>
      </c>
      <c r="C46" s="371"/>
      <c r="D46" s="366">
        <v>71</v>
      </c>
      <c r="E46" s="366">
        <v>68</v>
      </c>
      <c r="F46" s="370"/>
      <c r="G46" s="370"/>
      <c r="H46" s="366">
        <v>64</v>
      </c>
      <c r="I46" s="366">
        <v>72</v>
      </c>
      <c r="J46" s="366">
        <v>64</v>
      </c>
      <c r="K46" s="371"/>
      <c r="L46" s="371"/>
      <c r="M46" s="371"/>
      <c r="N46" s="371"/>
      <c r="O46" s="359" t="s">
        <v>702</v>
      </c>
    </row>
    <row r="47" spans="1:15" ht="26">
      <c r="A47" s="32" t="s">
        <v>605</v>
      </c>
      <c r="B47" s="354" t="s">
        <v>188</v>
      </c>
      <c r="C47" s="371"/>
      <c r="D47" s="370"/>
      <c r="E47" s="366">
        <v>70</v>
      </c>
      <c r="F47" s="370"/>
      <c r="G47" s="370"/>
      <c r="H47" s="366">
        <v>66</v>
      </c>
      <c r="I47" s="366">
        <v>69</v>
      </c>
      <c r="J47" s="366">
        <v>62</v>
      </c>
      <c r="K47" s="371"/>
      <c r="L47" s="371"/>
      <c r="M47" s="371"/>
      <c r="N47" s="371"/>
      <c r="O47" s="372"/>
    </row>
    <row r="48" spans="1:15" ht="26">
      <c r="A48" s="32" t="s">
        <v>608</v>
      </c>
      <c r="B48" s="354" t="s">
        <v>148</v>
      </c>
      <c r="C48" s="366">
        <v>56</v>
      </c>
      <c r="D48" s="366">
        <v>61</v>
      </c>
      <c r="E48" s="366">
        <v>54</v>
      </c>
      <c r="F48" s="366">
        <v>51</v>
      </c>
      <c r="G48" s="366">
        <v>53</v>
      </c>
      <c r="H48" s="366">
        <v>47</v>
      </c>
      <c r="I48" s="366">
        <v>46</v>
      </c>
      <c r="J48" s="366">
        <v>39</v>
      </c>
      <c r="K48" s="357">
        <v>44</v>
      </c>
      <c r="L48" s="357">
        <v>49</v>
      </c>
      <c r="M48" s="357">
        <v>50</v>
      </c>
      <c r="N48" s="357">
        <v>30</v>
      </c>
      <c r="O48" s="359">
        <v>50</v>
      </c>
    </row>
    <row r="49" spans="1:15" ht="26">
      <c r="A49" s="32" t="s">
        <v>608</v>
      </c>
      <c r="B49" s="354" t="s">
        <v>165</v>
      </c>
      <c r="C49" s="366">
        <v>67</v>
      </c>
      <c r="D49" s="366">
        <v>73</v>
      </c>
      <c r="E49" s="366">
        <v>65</v>
      </c>
      <c r="F49" s="373"/>
      <c r="G49" s="366">
        <v>64</v>
      </c>
      <c r="H49" s="366">
        <v>56</v>
      </c>
      <c r="I49" s="366">
        <v>53</v>
      </c>
      <c r="J49" s="366">
        <v>47</v>
      </c>
      <c r="K49" s="357">
        <v>32</v>
      </c>
      <c r="L49" s="357">
        <v>37</v>
      </c>
      <c r="M49" s="357"/>
      <c r="N49" s="367"/>
      <c r="O49" s="359"/>
    </row>
    <row r="50" spans="1:15" ht="26">
      <c r="A50" s="32" t="s">
        <v>608</v>
      </c>
      <c r="B50" s="354" t="s">
        <v>177</v>
      </c>
      <c r="C50" s="368"/>
      <c r="D50" s="366">
        <v>84</v>
      </c>
      <c r="E50" s="366">
        <v>75</v>
      </c>
      <c r="F50" s="373"/>
      <c r="G50" s="373"/>
      <c r="H50" s="366">
        <v>68</v>
      </c>
      <c r="I50" s="366">
        <v>64</v>
      </c>
      <c r="J50" s="366">
        <v>55</v>
      </c>
      <c r="K50" s="367"/>
      <c r="L50" s="367"/>
      <c r="M50" s="357"/>
      <c r="N50" s="367">
        <v>41</v>
      </c>
      <c r="O50" s="359"/>
    </row>
    <row r="51" spans="1:15" ht="26">
      <c r="A51" s="32" t="s">
        <v>608</v>
      </c>
      <c r="B51" s="354" t="s">
        <v>183</v>
      </c>
      <c r="C51" s="368"/>
      <c r="D51" s="366">
        <v>101</v>
      </c>
      <c r="E51" s="366">
        <v>90</v>
      </c>
      <c r="F51" s="373"/>
      <c r="G51" s="373"/>
      <c r="H51" s="366">
        <v>80</v>
      </c>
      <c r="I51" s="366">
        <v>76</v>
      </c>
      <c r="J51" s="366">
        <v>68</v>
      </c>
      <c r="K51" s="367"/>
      <c r="L51" s="367"/>
      <c r="M51" s="367"/>
      <c r="N51" s="367">
        <v>70</v>
      </c>
      <c r="O51" s="359"/>
    </row>
    <row r="52" spans="1:15" ht="26">
      <c r="A52" s="32" t="s">
        <v>608</v>
      </c>
      <c r="B52" s="354" t="s">
        <v>188</v>
      </c>
      <c r="C52" s="368"/>
      <c r="D52" s="373"/>
      <c r="E52" s="366">
        <v>100</v>
      </c>
      <c r="F52" s="373"/>
      <c r="G52" s="373"/>
      <c r="H52" s="366">
        <v>90</v>
      </c>
      <c r="I52" s="366">
        <v>83</v>
      </c>
      <c r="J52" s="366">
        <v>75</v>
      </c>
      <c r="K52" s="368"/>
      <c r="L52" s="368"/>
      <c r="M52" s="368"/>
      <c r="N52" s="368"/>
      <c r="O52" s="369"/>
    </row>
    <row r="53" spans="1:15" ht="26">
      <c r="A53" s="32" t="s">
        <v>631</v>
      </c>
      <c r="B53" s="354" t="s">
        <v>148</v>
      </c>
      <c r="C53" s="364">
        <v>100</v>
      </c>
      <c r="D53" s="364">
        <v>110</v>
      </c>
      <c r="E53" s="364">
        <v>98</v>
      </c>
      <c r="F53" s="364">
        <v>92</v>
      </c>
      <c r="G53" s="364">
        <v>95</v>
      </c>
      <c r="H53" s="364">
        <v>85</v>
      </c>
      <c r="I53" s="364">
        <v>85</v>
      </c>
      <c r="J53" s="364">
        <v>74</v>
      </c>
      <c r="K53" s="362">
        <v>74</v>
      </c>
      <c r="L53" s="362">
        <v>85</v>
      </c>
      <c r="M53" s="362">
        <v>87</v>
      </c>
      <c r="N53" s="362">
        <v>43</v>
      </c>
      <c r="O53" s="363">
        <v>88</v>
      </c>
    </row>
    <row r="54" spans="1:15" ht="26">
      <c r="A54" s="32" t="s">
        <v>631</v>
      </c>
      <c r="B54" s="354" t="s">
        <v>165</v>
      </c>
      <c r="C54" s="364">
        <v>121</v>
      </c>
      <c r="D54" s="364">
        <v>131</v>
      </c>
      <c r="E54" s="364">
        <v>116</v>
      </c>
      <c r="F54" s="364"/>
      <c r="G54" s="364">
        <v>114</v>
      </c>
      <c r="H54" s="364">
        <v>102</v>
      </c>
      <c r="I54" s="364">
        <v>96</v>
      </c>
      <c r="J54" s="364">
        <v>84</v>
      </c>
      <c r="K54" s="362">
        <v>46</v>
      </c>
      <c r="L54" s="362">
        <v>58</v>
      </c>
      <c r="M54" s="362"/>
      <c r="N54" s="365"/>
      <c r="O54" s="363"/>
    </row>
    <row r="55" spans="1:15" ht="26">
      <c r="A55" s="32" t="s">
        <v>631</v>
      </c>
      <c r="B55" s="354" t="s">
        <v>177</v>
      </c>
      <c r="C55" s="365"/>
      <c r="D55" s="364">
        <v>154</v>
      </c>
      <c r="E55" s="364">
        <v>138</v>
      </c>
      <c r="F55" s="364"/>
      <c r="G55" s="364"/>
      <c r="H55" s="364">
        <v>120</v>
      </c>
      <c r="I55" s="364">
        <v>115</v>
      </c>
      <c r="J55" s="364">
        <v>99</v>
      </c>
      <c r="K55" s="365"/>
      <c r="L55" s="365"/>
      <c r="M55" s="362"/>
      <c r="N55" s="365">
        <v>49</v>
      </c>
      <c r="O55" s="363"/>
    </row>
    <row r="56" spans="1:15" ht="26">
      <c r="A56" s="32" t="s">
        <v>631</v>
      </c>
      <c r="B56" s="354" t="s">
        <v>183</v>
      </c>
      <c r="C56" s="365"/>
      <c r="D56" s="364">
        <v>181</v>
      </c>
      <c r="E56" s="364">
        <v>163</v>
      </c>
      <c r="F56" s="364"/>
      <c r="G56" s="364"/>
      <c r="H56" s="364">
        <v>146</v>
      </c>
      <c r="I56" s="364">
        <v>138</v>
      </c>
      <c r="J56" s="364">
        <v>122</v>
      </c>
      <c r="K56" s="365"/>
      <c r="L56" s="365"/>
      <c r="M56" s="365"/>
      <c r="N56" s="365">
        <v>90</v>
      </c>
      <c r="O56" s="363"/>
    </row>
    <row r="57" spans="1:15" ht="26">
      <c r="A57" s="32" t="s">
        <v>631</v>
      </c>
      <c r="B57" s="354" t="s">
        <v>188</v>
      </c>
      <c r="C57" s="365"/>
      <c r="D57" s="364"/>
      <c r="E57" s="364">
        <v>179</v>
      </c>
      <c r="F57" s="364"/>
      <c r="G57" s="364"/>
      <c r="H57" s="364">
        <v>161</v>
      </c>
      <c r="I57" s="364">
        <v>153</v>
      </c>
      <c r="J57" s="364">
        <v>137</v>
      </c>
      <c r="K57" s="365"/>
      <c r="L57" s="365"/>
      <c r="M57" s="365"/>
      <c r="N57" s="365"/>
      <c r="O57" s="363"/>
    </row>
    <row r="58" spans="1:15" ht="26">
      <c r="A58" s="32" t="s">
        <v>630</v>
      </c>
      <c r="B58" s="354" t="s">
        <v>148</v>
      </c>
      <c r="C58" s="364">
        <v>100</v>
      </c>
      <c r="D58" s="364">
        <v>110</v>
      </c>
      <c r="E58" s="364">
        <v>98</v>
      </c>
      <c r="F58" s="364">
        <v>92</v>
      </c>
      <c r="G58" s="364">
        <v>95</v>
      </c>
      <c r="H58" s="364">
        <v>85</v>
      </c>
      <c r="I58" s="364">
        <v>85</v>
      </c>
      <c r="J58" s="364">
        <v>74</v>
      </c>
      <c r="K58" s="362">
        <v>74</v>
      </c>
      <c r="L58" s="362">
        <v>85</v>
      </c>
      <c r="M58" s="362">
        <v>87</v>
      </c>
      <c r="N58" s="362">
        <v>43</v>
      </c>
      <c r="O58" s="363">
        <v>88</v>
      </c>
    </row>
    <row r="59" spans="1:15" ht="26">
      <c r="A59" s="32" t="s">
        <v>630</v>
      </c>
      <c r="B59" s="354" t="s">
        <v>165</v>
      </c>
      <c r="C59" s="364">
        <v>121</v>
      </c>
      <c r="D59" s="364">
        <v>131</v>
      </c>
      <c r="E59" s="364">
        <v>116</v>
      </c>
      <c r="F59" s="364"/>
      <c r="G59" s="364">
        <v>114</v>
      </c>
      <c r="H59" s="364">
        <v>102</v>
      </c>
      <c r="I59" s="364">
        <v>96</v>
      </c>
      <c r="J59" s="364">
        <v>84</v>
      </c>
      <c r="K59" s="362">
        <v>46</v>
      </c>
      <c r="L59" s="362">
        <v>58</v>
      </c>
      <c r="M59" s="362"/>
      <c r="N59" s="365"/>
      <c r="O59" s="363"/>
    </row>
    <row r="60" spans="1:15" ht="26">
      <c r="A60" s="32" t="s">
        <v>630</v>
      </c>
      <c r="B60" s="354" t="s">
        <v>177</v>
      </c>
      <c r="C60" s="365"/>
      <c r="D60" s="364">
        <v>154</v>
      </c>
      <c r="E60" s="364">
        <v>138</v>
      </c>
      <c r="F60" s="364"/>
      <c r="G60" s="364"/>
      <c r="H60" s="364">
        <v>120</v>
      </c>
      <c r="I60" s="364">
        <v>115</v>
      </c>
      <c r="J60" s="364">
        <v>99</v>
      </c>
      <c r="K60" s="365"/>
      <c r="L60" s="365"/>
      <c r="M60" s="362"/>
      <c r="N60" s="365">
        <v>49</v>
      </c>
      <c r="O60" s="363"/>
    </row>
    <row r="61" spans="1:15" ht="26">
      <c r="A61" s="32" t="s">
        <v>630</v>
      </c>
      <c r="B61" s="354" t="s">
        <v>183</v>
      </c>
      <c r="C61" s="365"/>
      <c r="D61" s="364">
        <v>181</v>
      </c>
      <c r="E61" s="364">
        <v>163</v>
      </c>
      <c r="F61" s="364"/>
      <c r="G61" s="364"/>
      <c r="H61" s="364">
        <v>146</v>
      </c>
      <c r="I61" s="364">
        <v>138</v>
      </c>
      <c r="J61" s="364">
        <v>122</v>
      </c>
      <c r="K61" s="365"/>
      <c r="L61" s="365"/>
      <c r="M61" s="365"/>
      <c r="N61" s="365">
        <v>90</v>
      </c>
      <c r="O61" s="363"/>
    </row>
    <row r="62" spans="1:15" ht="26">
      <c r="A62" s="32" t="s">
        <v>630</v>
      </c>
      <c r="B62" s="354" t="s">
        <v>188</v>
      </c>
      <c r="C62" s="365"/>
      <c r="D62" s="364"/>
      <c r="E62" s="364">
        <v>179</v>
      </c>
      <c r="F62" s="364"/>
      <c r="G62" s="364"/>
      <c r="H62" s="364">
        <v>161</v>
      </c>
      <c r="I62" s="364">
        <v>153</v>
      </c>
      <c r="J62" s="364">
        <v>137</v>
      </c>
      <c r="K62" s="365"/>
      <c r="L62" s="365"/>
      <c r="M62" s="365"/>
      <c r="N62" s="365"/>
      <c r="O62" s="363"/>
    </row>
    <row r="63" spans="1:15" ht="26">
      <c r="A63" s="32" t="s">
        <v>628</v>
      </c>
      <c r="B63" s="354" t="s">
        <v>148</v>
      </c>
      <c r="C63" s="361">
        <v>34</v>
      </c>
      <c r="D63" s="361">
        <v>37</v>
      </c>
      <c r="E63" s="361">
        <v>36</v>
      </c>
      <c r="F63" s="361">
        <v>32</v>
      </c>
      <c r="G63" s="361">
        <v>34</v>
      </c>
      <c r="H63" s="361">
        <v>35</v>
      </c>
      <c r="I63" s="361">
        <v>38</v>
      </c>
      <c r="J63" s="361">
        <v>36</v>
      </c>
      <c r="K63" s="362">
        <v>47</v>
      </c>
      <c r="L63" s="362">
        <v>54</v>
      </c>
      <c r="M63" s="362">
        <v>55</v>
      </c>
      <c r="N63" s="362">
        <v>27</v>
      </c>
      <c r="O63" s="363">
        <v>56</v>
      </c>
    </row>
    <row r="64" spans="1:15" ht="26">
      <c r="A64" s="32" t="s">
        <v>628</v>
      </c>
      <c r="B64" s="354" t="s">
        <v>165</v>
      </c>
      <c r="C64" s="361">
        <v>38</v>
      </c>
      <c r="D64" s="361">
        <v>41</v>
      </c>
      <c r="E64" s="361">
        <v>39</v>
      </c>
      <c r="F64" s="364"/>
      <c r="G64" s="361">
        <v>37</v>
      </c>
      <c r="H64" s="361">
        <v>36</v>
      </c>
      <c r="I64" s="361">
        <v>38</v>
      </c>
      <c r="J64" s="361">
        <v>35</v>
      </c>
      <c r="K64" s="362">
        <v>29</v>
      </c>
      <c r="L64" s="362">
        <v>37</v>
      </c>
      <c r="M64" s="362"/>
      <c r="N64" s="365"/>
      <c r="O64" s="363"/>
    </row>
    <row r="65" spans="1:15" ht="26">
      <c r="A65" s="32" t="s">
        <v>628</v>
      </c>
      <c r="B65" s="354" t="s">
        <v>177</v>
      </c>
      <c r="C65" s="365"/>
      <c r="D65" s="361">
        <v>46</v>
      </c>
      <c r="E65" s="361">
        <v>42</v>
      </c>
      <c r="F65" s="364"/>
      <c r="G65" s="364"/>
      <c r="H65" s="361">
        <v>38</v>
      </c>
      <c r="I65" s="361">
        <v>39</v>
      </c>
      <c r="J65" s="361">
        <v>35</v>
      </c>
      <c r="K65" s="365"/>
      <c r="L65" s="365"/>
      <c r="M65" s="362"/>
      <c r="N65" s="365">
        <v>28</v>
      </c>
      <c r="O65" s="363"/>
    </row>
    <row r="66" spans="1:15" ht="26">
      <c r="A66" s="32" t="s">
        <v>628</v>
      </c>
      <c r="B66" s="354" t="s">
        <v>183</v>
      </c>
      <c r="C66" s="365"/>
      <c r="D66" s="361">
        <v>53</v>
      </c>
      <c r="E66" s="361">
        <v>48</v>
      </c>
      <c r="F66" s="364"/>
      <c r="G66" s="364"/>
      <c r="H66" s="361">
        <v>43</v>
      </c>
      <c r="I66" s="361">
        <v>43</v>
      </c>
      <c r="J66" s="361">
        <v>38</v>
      </c>
      <c r="K66" s="365"/>
      <c r="L66" s="365"/>
      <c r="M66" s="365"/>
      <c r="N66" s="365">
        <v>49</v>
      </c>
      <c r="O66" s="363"/>
    </row>
    <row r="67" spans="1:15" ht="26">
      <c r="A67" s="32" t="s">
        <v>628</v>
      </c>
      <c r="B67" s="354" t="s">
        <v>188</v>
      </c>
      <c r="C67" s="365"/>
      <c r="D67" s="364"/>
      <c r="E67" s="361">
        <v>52</v>
      </c>
      <c r="F67" s="364"/>
      <c r="G67" s="364"/>
      <c r="H67" s="361">
        <v>47</v>
      </c>
      <c r="I67" s="361">
        <v>45</v>
      </c>
      <c r="J67" s="361">
        <v>41</v>
      </c>
      <c r="K67" s="365"/>
      <c r="L67" s="365"/>
      <c r="M67" s="365"/>
      <c r="N67" s="365"/>
      <c r="O67" s="363"/>
    </row>
    <row r="68" spans="1:15" ht="26">
      <c r="A68" s="32" t="s">
        <v>632</v>
      </c>
      <c r="B68" s="354" t="s">
        <v>148</v>
      </c>
      <c r="C68" s="361">
        <v>57</v>
      </c>
      <c r="D68" s="361">
        <v>66</v>
      </c>
      <c r="E68" s="361">
        <v>62</v>
      </c>
      <c r="F68" s="361">
        <v>57</v>
      </c>
      <c r="G68" s="361">
        <v>50</v>
      </c>
      <c r="H68" s="361">
        <v>56</v>
      </c>
      <c r="I68" s="361">
        <v>63</v>
      </c>
      <c r="J68" s="361">
        <v>40</v>
      </c>
      <c r="K68" s="362">
        <v>47</v>
      </c>
      <c r="L68" s="362">
        <v>54</v>
      </c>
      <c r="M68" s="362">
        <v>55</v>
      </c>
      <c r="N68" s="362">
        <v>27</v>
      </c>
      <c r="O68" s="363">
        <v>56</v>
      </c>
    </row>
    <row r="69" spans="1:15" ht="26">
      <c r="A69" s="32" t="s">
        <v>632</v>
      </c>
      <c r="B69" s="354" t="s">
        <v>165</v>
      </c>
      <c r="C69" s="361">
        <v>68</v>
      </c>
      <c r="D69" s="361">
        <v>77</v>
      </c>
      <c r="E69" s="361">
        <v>71</v>
      </c>
      <c r="F69" s="364"/>
      <c r="G69" s="361">
        <v>61</v>
      </c>
      <c r="H69" s="361">
        <v>64</v>
      </c>
      <c r="I69" s="361">
        <v>66</v>
      </c>
      <c r="J69" s="361">
        <v>44</v>
      </c>
      <c r="K69" s="362">
        <v>29</v>
      </c>
      <c r="L69" s="362">
        <v>37</v>
      </c>
      <c r="M69" s="362"/>
      <c r="N69" s="365"/>
      <c r="O69" s="363"/>
    </row>
    <row r="70" spans="1:15" ht="26">
      <c r="A70" s="32" t="s">
        <v>632</v>
      </c>
      <c r="B70" s="354" t="s">
        <v>177</v>
      </c>
      <c r="C70" s="365"/>
      <c r="D70" s="361">
        <v>90</v>
      </c>
      <c r="E70" s="361">
        <v>81</v>
      </c>
      <c r="F70" s="364"/>
      <c r="G70" s="364"/>
      <c r="H70" s="361">
        <v>75</v>
      </c>
      <c r="I70" s="361">
        <v>68</v>
      </c>
      <c r="J70" s="361">
        <v>54</v>
      </c>
      <c r="K70" s="365"/>
      <c r="L70" s="365"/>
      <c r="M70" s="362"/>
      <c r="N70" s="365">
        <v>28</v>
      </c>
      <c r="O70" s="363"/>
    </row>
    <row r="71" spans="1:15" ht="26">
      <c r="A71" s="32" t="s">
        <v>632</v>
      </c>
      <c r="B71" s="354" t="s">
        <v>183</v>
      </c>
      <c r="C71" s="365"/>
      <c r="D71" s="361">
        <v>125</v>
      </c>
      <c r="E71" s="361">
        <v>115</v>
      </c>
      <c r="F71" s="364"/>
      <c r="G71" s="364"/>
      <c r="H71" s="361">
        <v>109</v>
      </c>
      <c r="I71" s="361">
        <v>99</v>
      </c>
      <c r="J71" s="361">
        <v>84</v>
      </c>
      <c r="K71" s="365"/>
      <c r="L71" s="365"/>
      <c r="M71" s="365"/>
      <c r="N71" s="365">
        <v>49</v>
      </c>
      <c r="O71" s="363"/>
    </row>
    <row r="72" spans="1:15" ht="26">
      <c r="A72" s="32" t="s">
        <v>632</v>
      </c>
      <c r="B72" s="354" t="s">
        <v>188</v>
      </c>
      <c r="C72" s="365"/>
      <c r="D72" s="364"/>
      <c r="E72" s="361">
        <v>133</v>
      </c>
      <c r="F72" s="364"/>
      <c r="G72" s="364"/>
      <c r="H72" s="361">
        <v>117</v>
      </c>
      <c r="I72" s="361">
        <v>107</v>
      </c>
      <c r="J72" s="361">
        <v>92</v>
      </c>
      <c r="K72" s="365"/>
      <c r="L72" s="365"/>
      <c r="M72" s="365"/>
      <c r="N72" s="365"/>
      <c r="O72" s="363"/>
    </row>
    <row r="73" spans="1:15" ht="26">
      <c r="A73" s="32" t="s">
        <v>633</v>
      </c>
      <c r="B73" s="354" t="s">
        <v>148</v>
      </c>
      <c r="C73" s="361">
        <v>80</v>
      </c>
      <c r="D73" s="361">
        <v>87</v>
      </c>
      <c r="E73" s="361">
        <v>78</v>
      </c>
      <c r="F73" s="361">
        <v>73</v>
      </c>
      <c r="G73" s="361">
        <v>76</v>
      </c>
      <c r="H73" s="361">
        <v>68</v>
      </c>
      <c r="I73" s="361">
        <v>69</v>
      </c>
      <c r="J73" s="361">
        <v>60</v>
      </c>
      <c r="K73" s="362">
        <v>63</v>
      </c>
      <c r="L73" s="362">
        <v>73</v>
      </c>
      <c r="M73" s="362">
        <v>74</v>
      </c>
      <c r="N73" s="362">
        <v>37</v>
      </c>
      <c r="O73" s="363">
        <v>75</v>
      </c>
    </row>
    <row r="74" spans="1:15" ht="26">
      <c r="A74" s="32" t="s">
        <v>633</v>
      </c>
      <c r="B74" s="354" t="s">
        <v>165</v>
      </c>
      <c r="C74" s="361">
        <v>96</v>
      </c>
      <c r="D74" s="361">
        <v>104</v>
      </c>
      <c r="E74" s="361">
        <v>92</v>
      </c>
      <c r="F74" s="364"/>
      <c r="G74" s="361">
        <v>90</v>
      </c>
      <c r="H74" s="361">
        <v>81</v>
      </c>
      <c r="I74" s="361">
        <v>77</v>
      </c>
      <c r="J74" s="361">
        <v>68</v>
      </c>
      <c r="K74" s="362">
        <v>39</v>
      </c>
      <c r="L74" s="362">
        <v>50</v>
      </c>
      <c r="M74" s="362"/>
      <c r="N74" s="365"/>
      <c r="O74" s="363"/>
    </row>
    <row r="75" spans="1:15" ht="26">
      <c r="A75" s="32" t="s">
        <v>633</v>
      </c>
      <c r="B75" s="354" t="s">
        <v>177</v>
      </c>
      <c r="C75" s="365"/>
      <c r="D75" s="361">
        <v>121</v>
      </c>
      <c r="E75" s="361">
        <v>109</v>
      </c>
      <c r="F75" s="364"/>
      <c r="G75" s="364"/>
      <c r="H75" s="361">
        <v>95</v>
      </c>
      <c r="I75" s="361">
        <v>91</v>
      </c>
      <c r="J75" s="361">
        <v>79</v>
      </c>
      <c r="K75" s="365"/>
      <c r="L75" s="365"/>
      <c r="M75" s="362"/>
      <c r="N75" s="365">
        <v>41</v>
      </c>
      <c r="O75" s="363"/>
    </row>
    <row r="76" spans="1:15" ht="26">
      <c r="A76" s="32" t="s">
        <v>633</v>
      </c>
      <c r="B76" s="354" t="s">
        <v>183</v>
      </c>
      <c r="C76" s="365"/>
      <c r="D76" s="361">
        <v>143</v>
      </c>
      <c r="E76" s="361">
        <v>129</v>
      </c>
      <c r="F76" s="364"/>
      <c r="G76" s="364"/>
      <c r="H76" s="361">
        <v>115</v>
      </c>
      <c r="I76" s="361">
        <v>109</v>
      </c>
      <c r="J76" s="361">
        <v>97</v>
      </c>
      <c r="K76" s="365"/>
      <c r="L76" s="365"/>
      <c r="M76" s="365"/>
      <c r="N76" s="365">
        <v>74</v>
      </c>
      <c r="O76" s="363"/>
    </row>
    <row r="77" spans="1:15" ht="26">
      <c r="A77" s="32" t="s">
        <v>633</v>
      </c>
      <c r="B77" s="354" t="s">
        <v>188</v>
      </c>
      <c r="C77" s="365"/>
      <c r="D77" s="364"/>
      <c r="E77" s="361">
        <v>141</v>
      </c>
      <c r="F77" s="364"/>
      <c r="G77" s="364"/>
      <c r="H77" s="361">
        <v>127</v>
      </c>
      <c r="I77" s="361">
        <v>121</v>
      </c>
      <c r="J77" s="361">
        <v>108</v>
      </c>
      <c r="K77" s="365"/>
      <c r="L77" s="365"/>
      <c r="M77" s="365"/>
      <c r="N77" s="365"/>
      <c r="O77" s="363"/>
    </row>
    <row r="78" spans="1:15" ht="26">
      <c r="A78" s="32" t="s">
        <v>619</v>
      </c>
      <c r="B78" s="354" t="s">
        <v>148</v>
      </c>
      <c r="C78" s="361">
        <v>56</v>
      </c>
      <c r="D78" s="361">
        <v>61</v>
      </c>
      <c r="E78" s="361">
        <v>54</v>
      </c>
      <c r="F78" s="361">
        <v>51</v>
      </c>
      <c r="G78" s="361">
        <v>53</v>
      </c>
      <c r="H78" s="361">
        <v>47</v>
      </c>
      <c r="I78" s="361">
        <v>46</v>
      </c>
      <c r="J78" s="361">
        <v>39</v>
      </c>
      <c r="K78" s="362">
        <v>44</v>
      </c>
      <c r="L78" s="362">
        <v>49</v>
      </c>
      <c r="M78" s="362">
        <v>50</v>
      </c>
      <c r="N78" s="362">
        <v>30</v>
      </c>
      <c r="O78" s="363">
        <v>50</v>
      </c>
    </row>
    <row r="79" spans="1:15" ht="26">
      <c r="A79" s="32" t="s">
        <v>619</v>
      </c>
      <c r="B79" s="354" t="s">
        <v>165</v>
      </c>
      <c r="C79" s="361">
        <v>67</v>
      </c>
      <c r="D79" s="361">
        <v>73</v>
      </c>
      <c r="E79" s="361">
        <v>65</v>
      </c>
      <c r="F79" s="374"/>
      <c r="G79" s="361">
        <v>64</v>
      </c>
      <c r="H79" s="361">
        <v>56</v>
      </c>
      <c r="I79" s="361">
        <v>53</v>
      </c>
      <c r="J79" s="361">
        <v>47</v>
      </c>
      <c r="K79" s="362">
        <v>32</v>
      </c>
      <c r="L79" s="362">
        <v>37</v>
      </c>
      <c r="M79" s="362"/>
      <c r="N79" s="365"/>
      <c r="O79" s="363"/>
    </row>
    <row r="80" spans="1:15" ht="26">
      <c r="A80" s="32" t="s">
        <v>619</v>
      </c>
      <c r="B80" s="354" t="s">
        <v>177</v>
      </c>
      <c r="C80" s="375"/>
      <c r="D80" s="361">
        <v>84</v>
      </c>
      <c r="E80" s="361">
        <v>75</v>
      </c>
      <c r="F80" s="374"/>
      <c r="G80" s="374"/>
      <c r="H80" s="361">
        <v>68</v>
      </c>
      <c r="I80" s="361">
        <v>64</v>
      </c>
      <c r="J80" s="361">
        <v>55</v>
      </c>
      <c r="K80" s="365"/>
      <c r="L80" s="365"/>
      <c r="M80" s="362"/>
      <c r="N80" s="365">
        <v>41</v>
      </c>
      <c r="O80" s="363"/>
    </row>
    <row r="81" spans="1:15" ht="18.75" customHeight="1">
      <c r="A81" s="32" t="s">
        <v>619</v>
      </c>
      <c r="B81" s="354" t="s">
        <v>183</v>
      </c>
      <c r="C81" s="375"/>
      <c r="D81" s="361">
        <v>101</v>
      </c>
      <c r="E81" s="361">
        <v>90</v>
      </c>
      <c r="F81" s="374"/>
      <c r="G81" s="374"/>
      <c r="H81" s="361">
        <v>80</v>
      </c>
      <c r="I81" s="361">
        <v>76</v>
      </c>
      <c r="J81" s="361">
        <v>68</v>
      </c>
      <c r="K81" s="365"/>
      <c r="L81" s="365"/>
      <c r="M81" s="365"/>
      <c r="N81" s="365">
        <v>70</v>
      </c>
      <c r="O81" s="363"/>
    </row>
    <row r="82" spans="1:15" ht="26">
      <c r="A82" s="32" t="s">
        <v>619</v>
      </c>
      <c r="B82" s="354" t="s">
        <v>188</v>
      </c>
      <c r="C82" s="375"/>
      <c r="D82" s="374"/>
      <c r="E82" s="361">
        <v>100</v>
      </c>
      <c r="F82" s="374"/>
      <c r="G82" s="374"/>
      <c r="H82" s="361">
        <v>90</v>
      </c>
      <c r="I82" s="361">
        <v>83</v>
      </c>
      <c r="J82" s="361">
        <v>75</v>
      </c>
      <c r="K82" s="375"/>
      <c r="L82" s="375"/>
      <c r="M82" s="375"/>
      <c r="N82" s="375"/>
      <c r="O82" s="376"/>
    </row>
    <row r="83" spans="1:15" ht="26">
      <c r="A83" s="32" t="s">
        <v>622</v>
      </c>
      <c r="B83" s="354" t="s">
        <v>148</v>
      </c>
      <c r="C83" s="361">
        <v>68</v>
      </c>
      <c r="D83" s="361">
        <v>76</v>
      </c>
      <c r="E83" s="361">
        <v>86</v>
      </c>
      <c r="F83" s="361">
        <v>64</v>
      </c>
      <c r="G83" s="361">
        <v>74</v>
      </c>
      <c r="H83" s="361">
        <v>92</v>
      </c>
      <c r="I83" s="361">
        <v>115</v>
      </c>
      <c r="J83" s="361">
        <v>116</v>
      </c>
      <c r="K83" s="362" t="s">
        <v>702</v>
      </c>
      <c r="L83" s="362" t="s">
        <v>702</v>
      </c>
      <c r="M83" s="362" t="s">
        <v>702</v>
      </c>
      <c r="N83" s="362" t="s">
        <v>702</v>
      </c>
      <c r="O83" s="363" t="s">
        <v>703</v>
      </c>
    </row>
    <row r="84" spans="1:15" ht="26">
      <c r="A84" s="32" t="s">
        <v>622</v>
      </c>
      <c r="B84" s="354" t="s">
        <v>165</v>
      </c>
      <c r="C84" s="361">
        <v>65</v>
      </c>
      <c r="D84" s="361">
        <v>72</v>
      </c>
      <c r="E84" s="361">
        <v>74</v>
      </c>
      <c r="F84" s="374"/>
      <c r="G84" s="361">
        <v>66</v>
      </c>
      <c r="H84" s="361">
        <v>75</v>
      </c>
      <c r="I84" s="361">
        <v>95</v>
      </c>
      <c r="J84" s="361">
        <v>93</v>
      </c>
      <c r="K84" s="362" t="s">
        <v>702</v>
      </c>
      <c r="L84" s="362" t="s">
        <v>702</v>
      </c>
      <c r="M84" s="362" t="s">
        <v>702</v>
      </c>
      <c r="N84" s="365"/>
      <c r="O84" s="363" t="s">
        <v>702</v>
      </c>
    </row>
    <row r="85" spans="1:15" ht="26">
      <c r="A85" s="32" t="s">
        <v>622</v>
      </c>
      <c r="B85" s="354" t="s">
        <v>177</v>
      </c>
      <c r="C85" s="375"/>
      <c r="D85" s="361">
        <v>72</v>
      </c>
      <c r="E85" s="361">
        <v>72</v>
      </c>
      <c r="F85" s="374"/>
      <c r="G85" s="374"/>
      <c r="H85" s="361">
        <v>69</v>
      </c>
      <c r="I85" s="361">
        <v>81</v>
      </c>
      <c r="J85" s="361">
        <v>76</v>
      </c>
      <c r="K85" s="365"/>
      <c r="L85" s="365"/>
      <c r="M85" s="362" t="s">
        <v>702</v>
      </c>
      <c r="N85" s="365"/>
      <c r="O85" s="363" t="s">
        <v>702</v>
      </c>
    </row>
    <row r="86" spans="1:15" ht="26">
      <c r="A86" s="32" t="s">
        <v>622</v>
      </c>
      <c r="B86" s="354" t="s">
        <v>183</v>
      </c>
      <c r="C86" s="375"/>
      <c r="D86" s="361">
        <v>76</v>
      </c>
      <c r="E86" s="361">
        <v>73</v>
      </c>
      <c r="F86" s="374"/>
      <c r="G86" s="374"/>
      <c r="H86" s="361">
        <v>69</v>
      </c>
      <c r="I86" s="361">
        <v>75</v>
      </c>
      <c r="J86" s="361">
        <v>67</v>
      </c>
      <c r="K86" s="365"/>
      <c r="L86" s="365"/>
      <c r="M86" s="365"/>
      <c r="N86" s="365"/>
      <c r="O86" s="363" t="s">
        <v>702</v>
      </c>
    </row>
    <row r="87" spans="1:15" ht="26">
      <c r="A87" s="32" t="s">
        <v>622</v>
      </c>
      <c r="B87" s="354" t="s">
        <v>188</v>
      </c>
      <c r="C87" s="375"/>
      <c r="D87" s="374"/>
      <c r="E87" s="361">
        <v>75</v>
      </c>
      <c r="F87" s="374"/>
      <c r="G87" s="374"/>
      <c r="H87" s="361">
        <v>71</v>
      </c>
      <c r="I87" s="361">
        <v>73</v>
      </c>
      <c r="J87" s="361">
        <v>66</v>
      </c>
      <c r="K87" s="375"/>
      <c r="L87" s="375"/>
      <c r="M87" s="375"/>
      <c r="N87" s="375"/>
      <c r="O87" s="376"/>
    </row>
    <row r="88" spans="1:15" ht="26">
      <c r="A88" s="32" t="s">
        <v>634</v>
      </c>
      <c r="B88" s="377" t="s">
        <v>148</v>
      </c>
      <c r="C88" s="378">
        <v>45</v>
      </c>
      <c r="D88" s="378">
        <v>49</v>
      </c>
      <c r="E88" s="378">
        <v>45</v>
      </c>
      <c r="F88" s="378">
        <v>40</v>
      </c>
      <c r="G88" s="378">
        <v>42</v>
      </c>
      <c r="H88" s="378">
        <v>38</v>
      </c>
      <c r="I88" s="378">
        <v>39</v>
      </c>
      <c r="J88" s="378">
        <v>32</v>
      </c>
      <c r="K88" s="379" t="s">
        <v>702</v>
      </c>
      <c r="L88" s="379" t="s">
        <v>702</v>
      </c>
      <c r="M88" s="379" t="s">
        <v>702</v>
      </c>
      <c r="N88" s="379" t="s">
        <v>702</v>
      </c>
      <c r="O88" s="380" t="s">
        <v>703</v>
      </c>
    </row>
    <row r="89" spans="1:15" ht="26">
      <c r="A89" s="32" t="s">
        <v>634</v>
      </c>
      <c r="B89" s="354" t="s">
        <v>165</v>
      </c>
      <c r="C89" s="374">
        <v>55</v>
      </c>
      <c r="D89" s="374">
        <v>59</v>
      </c>
      <c r="E89" s="374">
        <v>53</v>
      </c>
      <c r="F89" s="374"/>
      <c r="G89" s="374">
        <v>51</v>
      </c>
      <c r="H89" s="381">
        <v>46</v>
      </c>
      <c r="I89" s="375">
        <v>45</v>
      </c>
      <c r="J89" s="374">
        <v>38</v>
      </c>
      <c r="K89" s="362" t="s">
        <v>702</v>
      </c>
      <c r="L89" s="362" t="s">
        <v>702</v>
      </c>
      <c r="M89" s="362" t="s">
        <v>702</v>
      </c>
      <c r="N89" s="365"/>
      <c r="O89" s="363" t="s">
        <v>702</v>
      </c>
    </row>
    <row r="90" spans="1:15" ht="26">
      <c r="A90" s="32" t="s">
        <v>634</v>
      </c>
      <c r="B90" s="354" t="s">
        <v>177</v>
      </c>
      <c r="C90" s="375"/>
      <c r="D90" s="374">
        <v>71</v>
      </c>
      <c r="E90" s="374">
        <v>63</v>
      </c>
      <c r="F90" s="374"/>
      <c r="G90" s="374"/>
      <c r="H90" s="374">
        <v>55</v>
      </c>
      <c r="I90" s="374">
        <v>54</v>
      </c>
      <c r="J90" s="374">
        <v>45</v>
      </c>
      <c r="K90" s="365"/>
      <c r="L90" s="365"/>
      <c r="M90" s="362" t="s">
        <v>702</v>
      </c>
      <c r="N90" s="365"/>
      <c r="O90" s="363" t="s">
        <v>702</v>
      </c>
    </row>
    <row r="91" spans="1:15" ht="26">
      <c r="A91" s="32" t="s">
        <v>634</v>
      </c>
      <c r="B91" s="354" t="s">
        <v>183</v>
      </c>
      <c r="C91" s="375"/>
      <c r="D91" s="374">
        <v>87</v>
      </c>
      <c r="E91" s="374">
        <v>78</v>
      </c>
      <c r="F91" s="374"/>
      <c r="G91" s="374"/>
      <c r="H91" s="374">
        <v>69</v>
      </c>
      <c r="I91" s="374">
        <v>65</v>
      </c>
      <c r="J91" s="374">
        <v>56</v>
      </c>
      <c r="K91" s="365"/>
      <c r="L91" s="365"/>
      <c r="M91" s="365"/>
      <c r="N91" s="365"/>
      <c r="O91" s="363" t="s">
        <v>702</v>
      </c>
    </row>
    <row r="92" spans="1:15" ht="26">
      <c r="A92" s="32" t="s">
        <v>634</v>
      </c>
      <c r="B92" s="354" t="s">
        <v>188</v>
      </c>
      <c r="C92" s="375"/>
      <c r="D92" s="374"/>
      <c r="E92" s="374">
        <v>88</v>
      </c>
      <c r="F92" s="374"/>
      <c r="G92" s="374"/>
      <c r="H92" s="374">
        <v>78</v>
      </c>
      <c r="I92" s="374">
        <v>74</v>
      </c>
      <c r="J92" s="374">
        <v>65</v>
      </c>
      <c r="K92" s="375"/>
      <c r="L92" s="375"/>
      <c r="M92" s="375"/>
      <c r="N92" s="375"/>
      <c r="O92" s="376"/>
    </row>
    <row r="93" spans="1:15" ht="26">
      <c r="A93" s="32" t="s">
        <v>625</v>
      </c>
      <c r="B93" s="354" t="s">
        <v>148</v>
      </c>
      <c r="C93" s="361">
        <v>34</v>
      </c>
      <c r="D93" s="361">
        <v>37</v>
      </c>
      <c r="E93" s="361">
        <v>36</v>
      </c>
      <c r="F93" s="361">
        <v>32</v>
      </c>
      <c r="G93" s="361">
        <v>34</v>
      </c>
      <c r="H93" s="361">
        <v>35</v>
      </c>
      <c r="I93" s="361">
        <v>38</v>
      </c>
      <c r="J93" s="361">
        <v>36</v>
      </c>
      <c r="K93" s="362" t="s">
        <v>702</v>
      </c>
      <c r="L93" s="362" t="s">
        <v>702</v>
      </c>
      <c r="M93" s="362" t="s">
        <v>702</v>
      </c>
      <c r="N93" s="362" t="s">
        <v>702</v>
      </c>
      <c r="O93" s="363" t="s">
        <v>703</v>
      </c>
    </row>
    <row r="94" spans="1:15" ht="26">
      <c r="A94" s="32" t="s">
        <v>625</v>
      </c>
      <c r="B94" s="354" t="s">
        <v>165</v>
      </c>
      <c r="C94" s="361">
        <v>38</v>
      </c>
      <c r="D94" s="361">
        <v>41</v>
      </c>
      <c r="E94" s="361">
        <v>39</v>
      </c>
      <c r="F94" s="364"/>
      <c r="G94" s="361">
        <v>37</v>
      </c>
      <c r="H94" s="361">
        <v>36</v>
      </c>
      <c r="I94" s="361">
        <v>38</v>
      </c>
      <c r="J94" s="361">
        <v>35</v>
      </c>
      <c r="K94" s="362" t="s">
        <v>702</v>
      </c>
      <c r="L94" s="362" t="s">
        <v>702</v>
      </c>
      <c r="M94" s="362" t="s">
        <v>702</v>
      </c>
      <c r="N94" s="365"/>
      <c r="O94" s="363" t="s">
        <v>702</v>
      </c>
    </row>
    <row r="95" spans="1:15" ht="26">
      <c r="A95" s="32" t="s">
        <v>625</v>
      </c>
      <c r="B95" s="354" t="s">
        <v>177</v>
      </c>
      <c r="C95" s="365"/>
      <c r="D95" s="361">
        <v>46</v>
      </c>
      <c r="E95" s="361">
        <v>42</v>
      </c>
      <c r="F95" s="364"/>
      <c r="G95" s="364"/>
      <c r="H95" s="361">
        <v>38</v>
      </c>
      <c r="I95" s="361">
        <v>39</v>
      </c>
      <c r="J95" s="361">
        <v>35</v>
      </c>
      <c r="K95" s="365"/>
      <c r="L95" s="365"/>
      <c r="M95" s="362" t="s">
        <v>702</v>
      </c>
      <c r="N95" s="365"/>
      <c r="O95" s="363" t="s">
        <v>702</v>
      </c>
    </row>
    <row r="96" spans="1:15" ht="26">
      <c r="A96" s="32" t="s">
        <v>625</v>
      </c>
      <c r="B96" s="354" t="s">
        <v>183</v>
      </c>
      <c r="C96" s="365"/>
      <c r="D96" s="361">
        <v>53</v>
      </c>
      <c r="E96" s="361">
        <v>48</v>
      </c>
      <c r="F96" s="364"/>
      <c r="G96" s="364"/>
      <c r="H96" s="361">
        <v>43</v>
      </c>
      <c r="I96" s="361">
        <v>43</v>
      </c>
      <c r="J96" s="361">
        <v>38</v>
      </c>
      <c r="K96" s="365"/>
      <c r="L96" s="365"/>
      <c r="M96" s="365"/>
      <c r="N96" s="365"/>
      <c r="O96" s="363" t="s">
        <v>702</v>
      </c>
    </row>
    <row r="97" spans="1:15" ht="26">
      <c r="A97" s="32" t="s">
        <v>625</v>
      </c>
      <c r="B97" s="354" t="s">
        <v>188</v>
      </c>
      <c r="C97" s="365"/>
      <c r="D97" s="364"/>
      <c r="E97" s="361">
        <v>52</v>
      </c>
      <c r="F97" s="364"/>
      <c r="G97" s="364"/>
      <c r="H97" s="361">
        <v>47</v>
      </c>
      <c r="I97" s="361">
        <v>45</v>
      </c>
      <c r="J97" s="361">
        <v>41</v>
      </c>
      <c r="K97" s="365"/>
      <c r="L97" s="365"/>
      <c r="M97" s="365"/>
      <c r="N97" s="365"/>
      <c r="O97" s="363"/>
    </row>
    <row r="98" spans="1:15" ht="26">
      <c r="A98" s="295" t="s">
        <v>637</v>
      </c>
      <c r="B98" s="354" t="s">
        <v>148</v>
      </c>
      <c r="C98" s="332">
        <v>96</v>
      </c>
      <c r="D98" s="332">
        <v>105</v>
      </c>
      <c r="E98" s="332">
        <v>94</v>
      </c>
      <c r="F98" s="332">
        <v>88</v>
      </c>
      <c r="G98" s="332">
        <v>91</v>
      </c>
      <c r="H98" s="332">
        <v>82</v>
      </c>
      <c r="I98" s="332">
        <v>82</v>
      </c>
      <c r="J98" s="332">
        <v>71</v>
      </c>
      <c r="K98" s="365">
        <v>74</v>
      </c>
      <c r="L98" s="365">
        <v>85</v>
      </c>
      <c r="M98" s="365">
        <v>87</v>
      </c>
      <c r="N98" s="365">
        <v>43</v>
      </c>
      <c r="O98" s="363">
        <v>88</v>
      </c>
    </row>
    <row r="99" spans="1:15" ht="26">
      <c r="A99" s="295" t="s">
        <v>637</v>
      </c>
      <c r="B99" s="354" t="s">
        <v>165</v>
      </c>
      <c r="C99" s="332">
        <v>117</v>
      </c>
      <c r="D99" s="332">
        <v>126</v>
      </c>
      <c r="E99" s="332">
        <v>111</v>
      </c>
      <c r="F99" s="365"/>
      <c r="G99" s="332">
        <v>109</v>
      </c>
      <c r="H99" s="332">
        <v>98</v>
      </c>
      <c r="I99" s="332">
        <v>93</v>
      </c>
      <c r="J99" s="332">
        <v>81</v>
      </c>
      <c r="K99" s="365">
        <v>46</v>
      </c>
      <c r="L99" s="365">
        <v>58</v>
      </c>
      <c r="M99" s="365"/>
      <c r="N99" s="365"/>
      <c r="O99" s="363"/>
    </row>
    <row r="100" spans="1:15" ht="26">
      <c r="A100" s="295" t="s">
        <v>637</v>
      </c>
      <c r="B100" s="354" t="s">
        <v>177</v>
      </c>
      <c r="C100" s="332"/>
      <c r="D100" s="332">
        <v>148</v>
      </c>
      <c r="E100" s="332">
        <v>133</v>
      </c>
      <c r="F100" s="332"/>
      <c r="G100" s="332"/>
      <c r="H100" s="332">
        <v>115</v>
      </c>
      <c r="I100" s="332">
        <v>110</v>
      </c>
      <c r="J100" s="332">
        <v>95</v>
      </c>
      <c r="K100" s="365"/>
      <c r="L100" s="365"/>
      <c r="M100" s="365"/>
      <c r="N100" s="365">
        <v>49</v>
      </c>
      <c r="O100" s="363"/>
    </row>
    <row r="101" spans="1:15" ht="26">
      <c r="A101" s="295" t="s">
        <v>637</v>
      </c>
      <c r="B101" s="354" t="s">
        <v>183</v>
      </c>
      <c r="C101" s="332"/>
      <c r="D101" s="332">
        <v>174</v>
      </c>
      <c r="E101" s="332">
        <v>157</v>
      </c>
      <c r="F101" s="332"/>
      <c r="G101" s="332"/>
      <c r="H101" s="332">
        <v>140</v>
      </c>
      <c r="I101" s="332">
        <v>132</v>
      </c>
      <c r="J101" s="332">
        <v>117</v>
      </c>
      <c r="K101" s="365"/>
      <c r="L101" s="365"/>
      <c r="M101" s="365"/>
      <c r="N101" s="365">
        <v>90</v>
      </c>
      <c r="O101" s="363"/>
    </row>
    <row r="102" spans="1:15" ht="26">
      <c r="A102" s="295" t="s">
        <v>637</v>
      </c>
      <c r="B102" s="354" t="s">
        <v>188</v>
      </c>
      <c r="C102" s="332"/>
      <c r="D102" s="332"/>
      <c r="E102" s="332">
        <v>172</v>
      </c>
      <c r="F102" s="332"/>
      <c r="G102" s="332"/>
      <c r="H102" s="332">
        <v>154</v>
      </c>
      <c r="I102" s="332">
        <v>147</v>
      </c>
      <c r="J102" s="332">
        <v>132</v>
      </c>
      <c r="K102" s="365"/>
      <c r="L102" s="365"/>
      <c r="M102" s="365"/>
      <c r="N102" s="365"/>
      <c r="O102" s="363"/>
    </row>
    <row r="103" spans="1:15" ht="26">
      <c r="A103" s="295" t="s">
        <v>641</v>
      </c>
      <c r="B103" s="354" t="s">
        <v>148</v>
      </c>
      <c r="C103" s="332">
        <v>100</v>
      </c>
      <c r="D103" s="332">
        <v>110</v>
      </c>
      <c r="E103" s="332">
        <v>98</v>
      </c>
      <c r="F103" s="332">
        <v>92</v>
      </c>
      <c r="G103" s="332">
        <v>95</v>
      </c>
      <c r="H103" s="332">
        <v>85</v>
      </c>
      <c r="I103" s="332">
        <v>85</v>
      </c>
      <c r="J103" s="332">
        <v>74</v>
      </c>
      <c r="K103" s="365">
        <v>74</v>
      </c>
      <c r="L103" s="365">
        <v>85</v>
      </c>
      <c r="M103" s="365">
        <v>87</v>
      </c>
      <c r="N103" s="365">
        <v>43</v>
      </c>
      <c r="O103" s="363">
        <v>88</v>
      </c>
    </row>
    <row r="104" spans="1:15" ht="26">
      <c r="A104" s="295" t="s">
        <v>641</v>
      </c>
      <c r="B104" s="354" t="s">
        <v>165</v>
      </c>
      <c r="C104" s="332">
        <v>121</v>
      </c>
      <c r="D104" s="332">
        <v>131</v>
      </c>
      <c r="E104" s="332">
        <v>116</v>
      </c>
      <c r="F104" s="332"/>
      <c r="G104" s="332">
        <v>114</v>
      </c>
      <c r="H104" s="332">
        <v>102</v>
      </c>
      <c r="I104" s="332">
        <v>96</v>
      </c>
      <c r="J104" s="332">
        <v>84</v>
      </c>
      <c r="K104" s="365">
        <v>46</v>
      </c>
      <c r="L104" s="365">
        <v>58</v>
      </c>
      <c r="M104" s="365"/>
      <c r="N104" s="365"/>
      <c r="O104" s="363"/>
    </row>
    <row r="105" spans="1:15" ht="26">
      <c r="A105" s="295" t="s">
        <v>641</v>
      </c>
      <c r="B105" s="354" t="s">
        <v>177</v>
      </c>
      <c r="C105" s="332"/>
      <c r="D105" s="332">
        <v>154</v>
      </c>
      <c r="E105" s="332">
        <v>138</v>
      </c>
      <c r="F105" s="332"/>
      <c r="G105" s="332"/>
      <c r="H105" s="332">
        <v>120</v>
      </c>
      <c r="I105" s="332">
        <v>115</v>
      </c>
      <c r="J105" s="332">
        <v>99</v>
      </c>
      <c r="K105" s="365"/>
      <c r="L105" s="365"/>
      <c r="M105" s="365"/>
      <c r="N105" s="365">
        <v>49</v>
      </c>
      <c r="O105" s="363"/>
    </row>
    <row r="106" spans="1:15" ht="26">
      <c r="A106" s="295" t="s">
        <v>641</v>
      </c>
      <c r="B106" s="354" t="s">
        <v>183</v>
      </c>
      <c r="C106" s="332"/>
      <c r="D106" s="332">
        <v>181</v>
      </c>
      <c r="E106" s="332">
        <v>163</v>
      </c>
      <c r="F106" s="332"/>
      <c r="G106" s="332"/>
      <c r="H106" s="332">
        <v>146</v>
      </c>
      <c r="I106" s="332">
        <v>138</v>
      </c>
      <c r="J106" s="332">
        <v>122</v>
      </c>
      <c r="K106" s="365"/>
      <c r="L106" s="365"/>
      <c r="M106" s="365"/>
      <c r="N106" s="365">
        <v>90</v>
      </c>
      <c r="O106" s="363"/>
    </row>
    <row r="107" spans="1:15" ht="26">
      <c r="A107" s="295" t="s">
        <v>641</v>
      </c>
      <c r="B107" s="354" t="s">
        <v>188</v>
      </c>
      <c r="C107" s="332"/>
      <c r="D107" s="332"/>
      <c r="E107" s="332">
        <v>179</v>
      </c>
      <c r="F107" s="332"/>
      <c r="G107" s="332"/>
      <c r="H107" s="332">
        <v>161</v>
      </c>
      <c r="I107" s="332">
        <v>153</v>
      </c>
      <c r="J107" s="332">
        <v>137</v>
      </c>
      <c r="K107" s="365"/>
      <c r="L107" s="365"/>
      <c r="M107" s="365"/>
      <c r="N107" s="365"/>
      <c r="O107" s="363"/>
    </row>
    <row r="108" spans="1:15" ht="26">
      <c r="A108" s="295" t="s">
        <v>644</v>
      </c>
      <c r="B108" s="354" t="s">
        <v>148</v>
      </c>
      <c r="C108" s="332">
        <v>104</v>
      </c>
      <c r="D108" s="332">
        <v>114</v>
      </c>
      <c r="E108" s="332">
        <v>102</v>
      </c>
      <c r="F108" s="332">
        <v>96</v>
      </c>
      <c r="G108" s="332">
        <v>99</v>
      </c>
      <c r="H108" s="332">
        <v>89</v>
      </c>
      <c r="I108" s="332">
        <v>89</v>
      </c>
      <c r="J108" s="332">
        <v>77</v>
      </c>
      <c r="K108" s="365">
        <v>74</v>
      </c>
      <c r="L108" s="365">
        <v>85</v>
      </c>
      <c r="M108" s="365">
        <v>87</v>
      </c>
      <c r="N108" s="365">
        <v>43</v>
      </c>
      <c r="O108" s="363">
        <v>88</v>
      </c>
    </row>
    <row r="109" spans="1:15" ht="26">
      <c r="A109" s="295" t="s">
        <v>644</v>
      </c>
      <c r="B109" s="354" t="s">
        <v>165</v>
      </c>
      <c r="C109" s="332">
        <v>126</v>
      </c>
      <c r="D109" s="332">
        <v>136</v>
      </c>
      <c r="E109" s="332">
        <v>121</v>
      </c>
      <c r="F109" s="332"/>
      <c r="G109" s="332">
        <v>118</v>
      </c>
      <c r="H109" s="332">
        <v>106</v>
      </c>
      <c r="I109" s="332">
        <v>100</v>
      </c>
      <c r="J109" s="332">
        <v>88</v>
      </c>
      <c r="K109" s="365">
        <v>46</v>
      </c>
      <c r="L109" s="365">
        <v>58</v>
      </c>
      <c r="M109" s="365"/>
      <c r="N109" s="365"/>
      <c r="O109" s="363"/>
    </row>
    <row r="110" spans="1:15" ht="26">
      <c r="A110" s="295" t="s">
        <v>644</v>
      </c>
      <c r="B110" s="354" t="s">
        <v>177</v>
      </c>
      <c r="C110" s="332"/>
      <c r="D110" s="332">
        <v>160</v>
      </c>
      <c r="E110" s="332">
        <v>144</v>
      </c>
      <c r="F110" s="332"/>
      <c r="G110" s="332"/>
      <c r="H110" s="332">
        <v>125</v>
      </c>
      <c r="I110" s="332">
        <v>119</v>
      </c>
      <c r="J110" s="332">
        <v>103</v>
      </c>
      <c r="K110" s="365"/>
      <c r="L110" s="365"/>
      <c r="M110" s="365"/>
      <c r="N110" s="365">
        <v>49</v>
      </c>
      <c r="O110" s="363"/>
    </row>
    <row r="111" spans="1:15" ht="26">
      <c r="A111" s="295" t="s">
        <v>644</v>
      </c>
      <c r="B111" s="354" t="s">
        <v>183</v>
      </c>
      <c r="C111" s="332"/>
      <c r="D111" s="332">
        <v>188</v>
      </c>
      <c r="E111" s="332">
        <v>170</v>
      </c>
      <c r="F111" s="332"/>
      <c r="G111" s="332"/>
      <c r="H111" s="332">
        <v>152</v>
      </c>
      <c r="I111" s="332">
        <v>143</v>
      </c>
      <c r="J111" s="332">
        <v>127</v>
      </c>
      <c r="K111" s="365"/>
      <c r="L111" s="365"/>
      <c r="M111" s="365"/>
      <c r="N111" s="365">
        <v>90</v>
      </c>
      <c r="O111" s="363"/>
    </row>
    <row r="112" spans="1:15" ht="26">
      <c r="A112" s="295" t="s">
        <v>644</v>
      </c>
      <c r="B112" s="354" t="s">
        <v>188</v>
      </c>
      <c r="C112" s="332"/>
      <c r="D112" s="332"/>
      <c r="E112" s="332">
        <v>186</v>
      </c>
      <c r="F112" s="332"/>
      <c r="G112" s="332"/>
      <c r="H112" s="332">
        <v>167</v>
      </c>
      <c r="I112" s="332">
        <v>159</v>
      </c>
      <c r="J112" s="332">
        <v>143</v>
      </c>
      <c r="K112" s="365"/>
      <c r="L112" s="365"/>
      <c r="M112" s="365"/>
      <c r="N112" s="365"/>
      <c r="O112" s="363"/>
    </row>
    <row r="113" spans="1:15" ht="26">
      <c r="A113" s="295" t="s">
        <v>647</v>
      </c>
      <c r="B113" s="354" t="s">
        <v>148</v>
      </c>
      <c r="C113" s="332">
        <v>0</v>
      </c>
      <c r="D113" s="332">
        <v>0</v>
      </c>
      <c r="E113" s="332">
        <v>0</v>
      </c>
      <c r="F113" s="332">
        <v>0</v>
      </c>
      <c r="G113" s="332">
        <v>0</v>
      </c>
      <c r="H113" s="332">
        <v>0</v>
      </c>
      <c r="I113" s="332">
        <v>0</v>
      </c>
      <c r="J113" s="332">
        <v>0</v>
      </c>
      <c r="K113" s="365"/>
      <c r="L113" s="365"/>
      <c r="M113" s="365"/>
      <c r="N113" s="365"/>
      <c r="O113" s="363"/>
    </row>
    <row r="114" spans="1:15" ht="26">
      <c r="A114" s="295" t="s">
        <v>647</v>
      </c>
      <c r="B114" s="354" t="s">
        <v>165</v>
      </c>
      <c r="C114" s="332"/>
      <c r="D114" s="332">
        <v>0</v>
      </c>
      <c r="E114" s="332">
        <v>0</v>
      </c>
      <c r="F114" s="332"/>
      <c r="G114" s="332">
        <v>0</v>
      </c>
      <c r="H114" s="332">
        <v>0</v>
      </c>
      <c r="I114" s="332">
        <v>0</v>
      </c>
      <c r="J114" s="332">
        <v>0</v>
      </c>
      <c r="K114" s="365"/>
      <c r="L114" s="365"/>
      <c r="M114" s="365"/>
      <c r="N114" s="365"/>
      <c r="O114" s="363"/>
    </row>
    <row r="115" spans="1:15" ht="26">
      <c r="A115" s="295" t="s">
        <v>647</v>
      </c>
      <c r="B115" s="354" t="s">
        <v>177</v>
      </c>
      <c r="C115" s="332"/>
      <c r="D115" s="332">
        <v>0</v>
      </c>
      <c r="E115" s="332">
        <v>0</v>
      </c>
      <c r="F115" s="332"/>
      <c r="G115" s="332"/>
      <c r="H115" s="332">
        <v>0</v>
      </c>
      <c r="I115" s="332">
        <v>0</v>
      </c>
      <c r="J115" s="332">
        <v>0</v>
      </c>
      <c r="K115" s="365"/>
      <c r="L115" s="365"/>
      <c r="M115" s="365"/>
      <c r="N115" s="365"/>
      <c r="O115" s="363"/>
    </row>
    <row r="116" spans="1:15" ht="26">
      <c r="A116" s="295" t="s">
        <v>647</v>
      </c>
      <c r="B116" s="354" t="s">
        <v>183</v>
      </c>
      <c r="C116" s="332"/>
      <c r="D116" s="332">
        <v>0</v>
      </c>
      <c r="E116" s="332">
        <v>0</v>
      </c>
      <c r="F116" s="332"/>
      <c r="G116" s="332"/>
      <c r="H116" s="332">
        <v>0</v>
      </c>
      <c r="I116" s="332">
        <v>0</v>
      </c>
      <c r="J116" s="332">
        <v>0</v>
      </c>
      <c r="K116" s="365"/>
      <c r="L116" s="365"/>
      <c r="M116" s="365"/>
      <c r="N116" s="365"/>
      <c r="O116" s="363"/>
    </row>
    <row r="117" spans="1:15" ht="26">
      <c r="A117" s="295" t="s">
        <v>647</v>
      </c>
      <c r="B117" s="354" t="s">
        <v>188</v>
      </c>
      <c r="C117" s="332"/>
      <c r="D117" s="332">
        <v>0</v>
      </c>
      <c r="E117" s="332">
        <v>0</v>
      </c>
      <c r="F117" s="332"/>
      <c r="G117" s="332"/>
      <c r="H117" s="332">
        <v>0</v>
      </c>
      <c r="I117" s="332">
        <v>0</v>
      </c>
      <c r="J117" s="332">
        <v>0</v>
      </c>
      <c r="K117" s="365"/>
      <c r="L117" s="365"/>
      <c r="M117" s="365"/>
      <c r="N117" s="365"/>
      <c r="O117" s="363"/>
    </row>
    <row r="118" spans="1:15" ht="26">
      <c r="A118" s="295" t="s">
        <v>648</v>
      </c>
      <c r="B118" s="354" t="s">
        <v>148</v>
      </c>
      <c r="C118" s="332">
        <v>318</v>
      </c>
      <c r="D118" s="332">
        <v>292</v>
      </c>
      <c r="E118" s="332">
        <v>332</v>
      </c>
      <c r="F118" s="332">
        <v>302</v>
      </c>
      <c r="G118" s="332">
        <v>308</v>
      </c>
      <c r="H118" s="332">
        <v>283</v>
      </c>
      <c r="I118" s="332">
        <v>323</v>
      </c>
      <c r="J118" s="332">
        <v>273</v>
      </c>
      <c r="K118" s="365" t="s">
        <v>702</v>
      </c>
      <c r="L118" s="365" t="s">
        <v>702</v>
      </c>
      <c r="M118" s="365" t="s">
        <v>702</v>
      </c>
      <c r="N118" s="365" t="s">
        <v>702</v>
      </c>
      <c r="O118" s="365" t="s">
        <v>702</v>
      </c>
    </row>
    <row r="119" spans="1:15" ht="26">
      <c r="A119" s="295" t="s">
        <v>648</v>
      </c>
      <c r="B119" s="354" t="s">
        <v>165</v>
      </c>
      <c r="C119" s="332">
        <v>375</v>
      </c>
      <c r="D119" s="332">
        <v>356</v>
      </c>
      <c r="E119" s="332">
        <v>364</v>
      </c>
      <c r="F119" s="332"/>
      <c r="G119" s="332">
        <v>366</v>
      </c>
      <c r="H119" s="332">
        <v>341</v>
      </c>
      <c r="I119" s="332">
        <v>387</v>
      </c>
      <c r="J119" s="332">
        <v>333</v>
      </c>
      <c r="K119" s="365" t="s">
        <v>702</v>
      </c>
      <c r="L119" s="365" t="s">
        <v>702</v>
      </c>
      <c r="M119" s="365" t="s">
        <v>702</v>
      </c>
      <c r="N119" s="365"/>
      <c r="O119" s="365" t="s">
        <v>702</v>
      </c>
    </row>
    <row r="120" spans="1:15" ht="26">
      <c r="A120" s="295" t="s">
        <v>648</v>
      </c>
      <c r="B120" s="354" t="s">
        <v>177</v>
      </c>
      <c r="C120" s="332"/>
      <c r="D120" s="332">
        <v>424</v>
      </c>
      <c r="E120" s="332">
        <v>429</v>
      </c>
      <c r="F120" s="332"/>
      <c r="G120" s="332"/>
      <c r="H120" s="332">
        <v>403</v>
      </c>
      <c r="I120" s="332">
        <v>453</v>
      </c>
      <c r="J120" s="332">
        <v>395</v>
      </c>
      <c r="K120" s="365"/>
      <c r="L120" s="365"/>
      <c r="M120" s="365" t="s">
        <v>702</v>
      </c>
      <c r="N120" s="365"/>
      <c r="O120" s="365" t="s">
        <v>702</v>
      </c>
    </row>
    <row r="121" spans="1:15" ht="26">
      <c r="A121" s="295" t="s">
        <v>648</v>
      </c>
      <c r="B121" s="354" t="s">
        <v>183</v>
      </c>
      <c r="C121" s="332"/>
      <c r="D121" s="332">
        <v>506</v>
      </c>
      <c r="E121" s="332">
        <v>505</v>
      </c>
      <c r="F121" s="332"/>
      <c r="G121" s="332"/>
      <c r="H121" s="332">
        <v>478</v>
      </c>
      <c r="I121" s="332">
        <v>527</v>
      </c>
      <c r="J121" s="332">
        <v>468</v>
      </c>
      <c r="K121" s="365"/>
      <c r="L121" s="365"/>
      <c r="M121" s="365"/>
      <c r="N121" s="365"/>
      <c r="O121" s="365" t="s">
        <v>702</v>
      </c>
    </row>
    <row r="122" spans="1:15" ht="26">
      <c r="A122" s="295" t="s">
        <v>648</v>
      </c>
      <c r="B122" s="354" t="s">
        <v>188</v>
      </c>
      <c r="C122" s="332"/>
      <c r="D122" s="332"/>
      <c r="E122" s="332">
        <v>556</v>
      </c>
      <c r="F122" s="332"/>
      <c r="G122" s="332"/>
      <c r="H122" s="332">
        <v>533</v>
      </c>
      <c r="I122" s="332">
        <v>578</v>
      </c>
      <c r="J122" s="332">
        <v>520</v>
      </c>
      <c r="K122" s="365"/>
      <c r="L122" s="365"/>
      <c r="M122" s="365"/>
      <c r="N122" s="365"/>
      <c r="O122" s="363"/>
    </row>
    <row r="123" spans="1:15" ht="26">
      <c r="A123" s="295" t="s">
        <v>652</v>
      </c>
      <c r="B123" s="354" t="s">
        <v>148</v>
      </c>
      <c r="C123" s="332">
        <v>47</v>
      </c>
      <c r="D123" s="332">
        <v>50</v>
      </c>
      <c r="E123" s="332">
        <v>45</v>
      </c>
      <c r="F123" s="332">
        <v>43</v>
      </c>
      <c r="G123" s="332">
        <v>44</v>
      </c>
      <c r="H123" s="332">
        <v>39</v>
      </c>
      <c r="I123" s="332">
        <v>38</v>
      </c>
      <c r="J123" s="332">
        <v>33</v>
      </c>
      <c r="K123" s="365" t="s">
        <v>702</v>
      </c>
      <c r="L123" s="365" t="s">
        <v>702</v>
      </c>
      <c r="M123" s="365" t="s">
        <v>702</v>
      </c>
      <c r="N123" s="365" t="s">
        <v>702</v>
      </c>
      <c r="O123" s="365" t="s">
        <v>702</v>
      </c>
    </row>
    <row r="124" spans="1:15" ht="26">
      <c r="A124" s="295" t="s">
        <v>652</v>
      </c>
      <c r="B124" s="354" t="s">
        <v>165</v>
      </c>
      <c r="C124" s="332">
        <v>56</v>
      </c>
      <c r="D124" s="332">
        <v>60</v>
      </c>
      <c r="E124" s="332">
        <v>54</v>
      </c>
      <c r="F124" s="332"/>
      <c r="G124" s="332">
        <v>53</v>
      </c>
      <c r="H124" s="332">
        <v>47</v>
      </c>
      <c r="I124" s="332">
        <v>44</v>
      </c>
      <c r="J124" s="332">
        <v>39</v>
      </c>
      <c r="K124" s="365" t="s">
        <v>702</v>
      </c>
      <c r="L124" s="365" t="s">
        <v>702</v>
      </c>
      <c r="M124" s="365" t="s">
        <v>702</v>
      </c>
      <c r="N124" s="365"/>
      <c r="O124" s="365" t="s">
        <v>702</v>
      </c>
    </row>
    <row r="125" spans="1:15" ht="26">
      <c r="A125" s="295" t="s">
        <v>652</v>
      </c>
      <c r="B125" s="354" t="s">
        <v>177</v>
      </c>
      <c r="C125" s="332"/>
      <c r="D125" s="332">
        <v>70</v>
      </c>
      <c r="E125" s="332">
        <v>62</v>
      </c>
      <c r="F125" s="332"/>
      <c r="G125" s="332"/>
      <c r="H125" s="332">
        <v>56</v>
      </c>
      <c r="I125" s="332">
        <v>52</v>
      </c>
      <c r="J125" s="332">
        <v>46</v>
      </c>
      <c r="K125" s="365"/>
      <c r="L125" s="365"/>
      <c r="M125" s="365" t="s">
        <v>702</v>
      </c>
      <c r="N125" s="365"/>
      <c r="O125" s="365" t="s">
        <v>702</v>
      </c>
    </row>
    <row r="126" spans="1:15" ht="26">
      <c r="A126" s="295" t="s">
        <v>652</v>
      </c>
      <c r="B126" s="354" t="s">
        <v>183</v>
      </c>
      <c r="C126" s="332"/>
      <c r="D126" s="332">
        <v>84</v>
      </c>
      <c r="E126" s="332">
        <v>75</v>
      </c>
      <c r="F126" s="332"/>
      <c r="G126" s="332"/>
      <c r="H126" s="332">
        <v>67</v>
      </c>
      <c r="I126" s="332">
        <v>62</v>
      </c>
      <c r="J126" s="332">
        <v>56</v>
      </c>
      <c r="K126" s="365"/>
      <c r="L126" s="365"/>
      <c r="M126" s="365"/>
      <c r="N126" s="365"/>
      <c r="O126" s="365" t="s">
        <v>702</v>
      </c>
    </row>
    <row r="127" spans="1:15" ht="26">
      <c r="A127" s="295" t="s">
        <v>652</v>
      </c>
      <c r="B127" s="354" t="s">
        <v>188</v>
      </c>
      <c r="C127" s="332"/>
      <c r="D127" s="332"/>
      <c r="E127" s="332">
        <v>83</v>
      </c>
      <c r="F127" s="332"/>
      <c r="G127" s="332"/>
      <c r="H127" s="332">
        <v>74</v>
      </c>
      <c r="I127" s="332">
        <v>69</v>
      </c>
      <c r="J127" s="332">
        <v>62</v>
      </c>
      <c r="K127" s="365"/>
      <c r="L127" s="365"/>
      <c r="M127" s="365"/>
      <c r="N127" s="365"/>
      <c r="O127" s="363"/>
    </row>
    <row r="128" spans="1:15" ht="26">
      <c r="A128" s="295" t="s">
        <v>654</v>
      </c>
      <c r="B128" s="354" t="s">
        <v>148</v>
      </c>
      <c r="C128" s="332">
        <v>21</v>
      </c>
      <c r="D128" s="332">
        <v>21</v>
      </c>
      <c r="E128" s="332">
        <v>22</v>
      </c>
      <c r="F128" s="332">
        <v>16</v>
      </c>
      <c r="G128" s="332">
        <v>16</v>
      </c>
      <c r="H128" s="332">
        <v>14</v>
      </c>
      <c r="I128" s="332">
        <v>18</v>
      </c>
      <c r="J128" s="332">
        <v>10</v>
      </c>
      <c r="K128" s="365"/>
      <c r="L128" s="365"/>
      <c r="M128" s="365"/>
      <c r="N128" s="365"/>
      <c r="O128" s="363"/>
    </row>
    <row r="129" spans="1:15" ht="26">
      <c r="A129" s="295" t="s">
        <v>654</v>
      </c>
      <c r="B129" s="354" t="s">
        <v>165</v>
      </c>
      <c r="C129" s="332">
        <v>30</v>
      </c>
      <c r="D129" s="332">
        <v>31</v>
      </c>
      <c r="E129" s="332">
        <v>31</v>
      </c>
      <c r="F129" s="332"/>
      <c r="G129" s="332">
        <v>25</v>
      </c>
      <c r="H129" s="332">
        <v>22</v>
      </c>
      <c r="I129" s="332">
        <v>25</v>
      </c>
      <c r="J129" s="332">
        <v>16</v>
      </c>
      <c r="K129" s="365"/>
      <c r="L129" s="365"/>
      <c r="M129" s="365"/>
      <c r="N129" s="365"/>
      <c r="O129" s="363"/>
    </row>
    <row r="130" spans="1:15" ht="26">
      <c r="A130" s="295" t="s">
        <v>654</v>
      </c>
      <c r="B130" s="354" t="s">
        <v>177</v>
      </c>
      <c r="C130" s="332"/>
      <c r="D130" s="332">
        <v>43</v>
      </c>
      <c r="E130" s="332">
        <v>41</v>
      </c>
      <c r="F130" s="332"/>
      <c r="G130" s="332">
        <v>32</v>
      </c>
      <c r="H130" s="332">
        <v>35</v>
      </c>
      <c r="I130" s="332">
        <v>24</v>
      </c>
      <c r="J130" s="332"/>
      <c r="K130" s="365"/>
      <c r="L130" s="365"/>
      <c r="M130" s="365"/>
      <c r="N130" s="365"/>
      <c r="O130" s="363"/>
    </row>
    <row r="131" spans="1:15" ht="26">
      <c r="A131" s="295" t="s">
        <v>654</v>
      </c>
      <c r="B131" s="354" t="s">
        <v>183</v>
      </c>
      <c r="C131" s="332"/>
      <c r="D131" s="332">
        <v>62</v>
      </c>
      <c r="E131" s="332">
        <v>57</v>
      </c>
      <c r="F131" s="332"/>
      <c r="G131" s="332">
        <v>48</v>
      </c>
      <c r="H131" s="332">
        <v>49</v>
      </c>
      <c r="I131" s="332">
        <v>37</v>
      </c>
      <c r="J131" s="332"/>
      <c r="K131" s="365"/>
      <c r="L131" s="365"/>
      <c r="M131" s="365"/>
      <c r="N131" s="365"/>
      <c r="O131" s="363"/>
    </row>
    <row r="132" spans="1:15" ht="26">
      <c r="A132" s="295" t="s">
        <v>654</v>
      </c>
      <c r="B132" s="354" t="s">
        <v>188</v>
      </c>
      <c r="C132" s="332"/>
      <c r="D132" s="332"/>
      <c r="E132" s="332">
        <v>69</v>
      </c>
      <c r="F132" s="332"/>
      <c r="G132" s="332">
        <v>59</v>
      </c>
      <c r="H132" s="332">
        <v>60</v>
      </c>
      <c r="I132" s="332">
        <v>46</v>
      </c>
      <c r="J132" s="332"/>
      <c r="K132" s="365"/>
      <c r="L132" s="365"/>
      <c r="M132" s="365"/>
      <c r="N132" s="365"/>
      <c r="O132" s="363"/>
    </row>
    <row r="133" spans="1:15" ht="26">
      <c r="A133" s="295" t="s">
        <v>705</v>
      </c>
      <c r="B133" s="354" t="s">
        <v>148</v>
      </c>
      <c r="C133" s="332">
        <v>10</v>
      </c>
      <c r="D133" s="332">
        <v>10</v>
      </c>
      <c r="E133" s="332">
        <v>10</v>
      </c>
      <c r="F133" s="332">
        <v>10</v>
      </c>
      <c r="G133" s="332">
        <v>10</v>
      </c>
      <c r="H133" s="332">
        <v>10</v>
      </c>
      <c r="I133" s="332">
        <v>10</v>
      </c>
      <c r="J133" s="332">
        <v>10</v>
      </c>
      <c r="K133" s="365"/>
      <c r="L133" s="365"/>
      <c r="M133" s="365"/>
      <c r="N133" s="365"/>
      <c r="O133" s="363"/>
    </row>
    <row r="134" spans="1:15" ht="26">
      <c r="A134" s="295" t="s">
        <v>705</v>
      </c>
      <c r="B134" s="354" t="s">
        <v>165</v>
      </c>
      <c r="C134" s="332">
        <v>10</v>
      </c>
      <c r="D134" s="332">
        <v>10</v>
      </c>
      <c r="E134" s="332">
        <v>10</v>
      </c>
      <c r="F134" s="332"/>
      <c r="G134" s="332">
        <v>10</v>
      </c>
      <c r="H134" s="332">
        <v>10</v>
      </c>
      <c r="I134" s="332">
        <v>10</v>
      </c>
      <c r="J134" s="332">
        <v>10</v>
      </c>
      <c r="K134" s="365"/>
      <c r="L134" s="365"/>
      <c r="M134" s="365"/>
      <c r="N134" s="365"/>
      <c r="O134" s="363"/>
    </row>
    <row r="135" spans="1:15" ht="26">
      <c r="A135" s="295" t="s">
        <v>705</v>
      </c>
      <c r="B135" s="354" t="s">
        <v>177</v>
      </c>
      <c r="C135" s="332"/>
      <c r="D135" s="332">
        <v>10</v>
      </c>
      <c r="E135" s="332">
        <v>10</v>
      </c>
      <c r="F135" s="332"/>
      <c r="G135" s="332">
        <v>10</v>
      </c>
      <c r="H135" s="332">
        <v>10</v>
      </c>
      <c r="I135" s="332">
        <v>10</v>
      </c>
      <c r="J135" s="332"/>
      <c r="K135" s="365"/>
      <c r="L135" s="365"/>
      <c r="M135" s="365"/>
      <c r="N135" s="365"/>
      <c r="O135" s="363"/>
    </row>
    <row r="136" spans="1:15" ht="26">
      <c r="A136" s="295" t="s">
        <v>705</v>
      </c>
      <c r="B136" s="354" t="s">
        <v>183</v>
      </c>
      <c r="C136" s="332"/>
      <c r="D136" s="332">
        <v>0</v>
      </c>
      <c r="E136" s="332">
        <v>0</v>
      </c>
      <c r="F136" s="332"/>
      <c r="G136" s="332">
        <v>0</v>
      </c>
      <c r="H136" s="332">
        <v>0</v>
      </c>
      <c r="I136" s="332">
        <v>0</v>
      </c>
      <c r="J136" s="332"/>
      <c r="K136" s="365"/>
      <c r="L136" s="365"/>
      <c r="M136" s="365"/>
      <c r="N136" s="365"/>
      <c r="O136" s="363"/>
    </row>
    <row r="137" spans="1:15" ht="26">
      <c r="A137" s="295" t="s">
        <v>705</v>
      </c>
      <c r="B137" s="354" t="s">
        <v>188</v>
      </c>
      <c r="C137" s="332"/>
      <c r="D137" s="332">
        <v>0</v>
      </c>
      <c r="E137" s="332">
        <v>0</v>
      </c>
      <c r="F137" s="332"/>
      <c r="G137" s="332">
        <v>0</v>
      </c>
      <c r="H137" s="332">
        <v>0</v>
      </c>
      <c r="I137" s="332">
        <v>0</v>
      </c>
      <c r="J137" s="332"/>
      <c r="K137" s="365"/>
      <c r="L137" s="365"/>
      <c r="M137" s="365"/>
      <c r="N137" s="365"/>
      <c r="O137" s="363"/>
    </row>
    <row r="138" spans="1:15" ht="26">
      <c r="A138" s="295" t="s">
        <v>656</v>
      </c>
      <c r="B138" s="354" t="s">
        <v>148</v>
      </c>
      <c r="C138" s="332">
        <v>2</v>
      </c>
      <c r="D138" s="332">
        <v>2</v>
      </c>
      <c r="E138" s="332">
        <v>2</v>
      </c>
      <c r="F138" s="332">
        <v>2</v>
      </c>
      <c r="G138" s="332">
        <v>2</v>
      </c>
      <c r="H138" s="332">
        <v>2</v>
      </c>
      <c r="I138" s="332">
        <v>2</v>
      </c>
      <c r="J138" s="332">
        <v>2</v>
      </c>
      <c r="K138" s="365"/>
      <c r="L138" s="365"/>
      <c r="M138" s="365"/>
      <c r="N138" s="365"/>
      <c r="O138" s="363"/>
    </row>
    <row r="139" spans="1:15" ht="26">
      <c r="A139" s="295" t="s">
        <v>656</v>
      </c>
      <c r="B139" s="354" t="s">
        <v>165</v>
      </c>
      <c r="C139" s="332">
        <v>2</v>
      </c>
      <c r="D139" s="332">
        <v>2</v>
      </c>
      <c r="E139" s="332">
        <v>2</v>
      </c>
      <c r="F139" s="332"/>
      <c r="G139" s="332">
        <v>2</v>
      </c>
      <c r="H139" s="332">
        <v>2</v>
      </c>
      <c r="I139" s="332">
        <v>2</v>
      </c>
      <c r="J139" s="332">
        <v>2</v>
      </c>
      <c r="K139" s="365"/>
      <c r="L139" s="365"/>
      <c r="M139" s="365"/>
      <c r="N139" s="365"/>
      <c r="O139" s="363"/>
    </row>
    <row r="140" spans="1:15" ht="26">
      <c r="A140" s="295" t="s">
        <v>656</v>
      </c>
      <c r="B140" s="354" t="s">
        <v>177</v>
      </c>
      <c r="C140" s="332"/>
      <c r="D140" s="332">
        <v>2</v>
      </c>
      <c r="E140" s="332">
        <v>2</v>
      </c>
      <c r="F140" s="332"/>
      <c r="G140" s="332"/>
      <c r="H140" s="332">
        <v>2</v>
      </c>
      <c r="I140" s="332">
        <v>2</v>
      </c>
      <c r="J140" s="332">
        <v>2</v>
      </c>
      <c r="K140" s="365"/>
      <c r="L140" s="365"/>
      <c r="M140" s="365"/>
      <c r="N140" s="365"/>
      <c r="O140" s="363"/>
    </row>
    <row r="141" spans="1:15" ht="26">
      <c r="A141" s="295" t="s">
        <v>656</v>
      </c>
      <c r="B141" s="354" t="s">
        <v>183</v>
      </c>
      <c r="C141" s="332"/>
      <c r="D141" s="332">
        <v>2</v>
      </c>
      <c r="E141" s="332">
        <v>2</v>
      </c>
      <c r="F141" s="332"/>
      <c r="G141" s="332"/>
      <c r="H141" s="332">
        <v>2</v>
      </c>
      <c r="I141" s="332">
        <v>2</v>
      </c>
      <c r="J141" s="332">
        <v>2</v>
      </c>
      <c r="K141" s="365"/>
      <c r="L141" s="365"/>
      <c r="M141" s="365"/>
      <c r="N141" s="365"/>
      <c r="O141" s="363"/>
    </row>
    <row r="142" spans="1:15" ht="26">
      <c r="A142" s="295" t="s">
        <v>656</v>
      </c>
      <c r="B142" s="354" t="s">
        <v>188</v>
      </c>
      <c r="C142" s="332"/>
      <c r="D142" s="332"/>
      <c r="E142" s="332">
        <v>2</v>
      </c>
      <c r="F142" s="332"/>
      <c r="G142" s="332"/>
      <c r="H142" s="332">
        <v>2</v>
      </c>
      <c r="I142" s="332">
        <v>2</v>
      </c>
      <c r="J142" s="332">
        <v>2</v>
      </c>
      <c r="K142" s="365"/>
      <c r="L142" s="365"/>
      <c r="M142" s="365"/>
      <c r="N142" s="365"/>
      <c r="O142" s="363"/>
    </row>
    <row r="143" spans="1:15" ht="26">
      <c r="A143" s="295" t="s">
        <v>655</v>
      </c>
      <c r="B143" s="354" t="s">
        <v>148</v>
      </c>
      <c r="C143" s="332">
        <v>1</v>
      </c>
      <c r="D143" s="332">
        <v>1</v>
      </c>
      <c r="E143" s="332">
        <v>1</v>
      </c>
      <c r="F143" s="332">
        <v>1</v>
      </c>
      <c r="G143" s="332">
        <v>1</v>
      </c>
      <c r="H143" s="332">
        <v>1</v>
      </c>
      <c r="I143" s="332">
        <v>1</v>
      </c>
      <c r="J143" s="332">
        <v>1</v>
      </c>
      <c r="K143" s="365"/>
      <c r="L143" s="365"/>
      <c r="M143" s="365"/>
      <c r="N143" s="365"/>
      <c r="O143" s="363"/>
    </row>
    <row r="144" spans="1:15" ht="26">
      <c r="A144" s="295" t="s">
        <v>655</v>
      </c>
      <c r="B144" s="354" t="s">
        <v>165</v>
      </c>
      <c r="C144" s="332">
        <v>1</v>
      </c>
      <c r="D144" s="332">
        <v>1</v>
      </c>
      <c r="E144" s="332">
        <v>1</v>
      </c>
      <c r="F144" s="332"/>
      <c r="G144" s="332">
        <v>1</v>
      </c>
      <c r="H144" s="332">
        <v>1</v>
      </c>
      <c r="I144" s="332">
        <v>1</v>
      </c>
      <c r="J144" s="332">
        <v>1</v>
      </c>
      <c r="K144" s="365"/>
      <c r="L144" s="365"/>
      <c r="M144" s="365"/>
      <c r="N144" s="365"/>
      <c r="O144" s="363"/>
    </row>
    <row r="145" spans="1:15" ht="26">
      <c r="A145" s="295" t="s">
        <v>655</v>
      </c>
      <c r="B145" s="354" t="s">
        <v>177</v>
      </c>
      <c r="C145" s="332"/>
      <c r="D145" s="332">
        <v>2</v>
      </c>
      <c r="E145" s="332">
        <v>2</v>
      </c>
      <c r="F145" s="332"/>
      <c r="G145" s="332"/>
      <c r="H145" s="332">
        <v>1</v>
      </c>
      <c r="I145" s="332">
        <v>2</v>
      </c>
      <c r="J145" s="332">
        <v>1</v>
      </c>
      <c r="K145" s="365"/>
      <c r="L145" s="365"/>
      <c r="M145" s="365"/>
      <c r="N145" s="365"/>
      <c r="O145" s="363"/>
    </row>
    <row r="146" spans="1:15" ht="26">
      <c r="A146" s="295" t="s">
        <v>655</v>
      </c>
      <c r="B146" s="354" t="s">
        <v>183</v>
      </c>
      <c r="C146" s="332"/>
      <c r="D146" s="332">
        <v>3</v>
      </c>
      <c r="E146" s="332">
        <v>3</v>
      </c>
      <c r="F146" s="332"/>
      <c r="G146" s="332"/>
      <c r="H146" s="332">
        <v>2</v>
      </c>
      <c r="I146" s="332">
        <v>2</v>
      </c>
      <c r="J146" s="332">
        <v>2</v>
      </c>
      <c r="K146" s="365"/>
      <c r="L146" s="365"/>
      <c r="M146" s="365"/>
      <c r="N146" s="365"/>
      <c r="O146" s="363"/>
    </row>
    <row r="147" spans="1:15" ht="26">
      <c r="A147" s="295" t="s">
        <v>655</v>
      </c>
      <c r="B147" s="354" t="s">
        <v>188</v>
      </c>
      <c r="C147" s="332"/>
      <c r="D147" s="332"/>
      <c r="E147" s="332">
        <v>3</v>
      </c>
      <c r="F147" s="332"/>
      <c r="G147" s="332"/>
      <c r="H147" s="332">
        <v>3</v>
      </c>
      <c r="I147" s="332">
        <v>3</v>
      </c>
      <c r="J147" s="332">
        <v>2</v>
      </c>
      <c r="K147" s="365"/>
      <c r="L147" s="365"/>
      <c r="M147" s="365"/>
      <c r="N147" s="365"/>
      <c r="O147" s="363"/>
    </row>
    <row r="148" spans="1:15" ht="26">
      <c r="A148" s="295" t="s">
        <v>660</v>
      </c>
      <c r="B148" s="354" t="s">
        <v>148</v>
      </c>
      <c r="C148" s="332">
        <v>0</v>
      </c>
      <c r="D148" s="332">
        <v>0</v>
      </c>
      <c r="E148" s="332">
        <v>0</v>
      </c>
      <c r="F148" s="332">
        <v>0</v>
      </c>
      <c r="G148" s="332">
        <v>0</v>
      </c>
      <c r="H148" s="332">
        <v>0</v>
      </c>
      <c r="I148" s="332">
        <v>0</v>
      </c>
      <c r="J148" s="332">
        <v>0</v>
      </c>
      <c r="K148" s="365"/>
      <c r="L148" s="365"/>
      <c r="M148" s="365"/>
      <c r="N148" s="365"/>
      <c r="O148" s="363"/>
    </row>
    <row r="149" spans="1:15" ht="26">
      <c r="A149" s="295" t="s">
        <v>660</v>
      </c>
      <c r="B149" s="354" t="s">
        <v>165</v>
      </c>
      <c r="C149" s="332">
        <v>0</v>
      </c>
      <c r="D149" s="332">
        <v>0</v>
      </c>
      <c r="E149" s="332">
        <v>0</v>
      </c>
      <c r="F149" s="332"/>
      <c r="G149" s="332">
        <v>0</v>
      </c>
      <c r="H149" s="332">
        <v>0</v>
      </c>
      <c r="I149" s="332">
        <v>0</v>
      </c>
      <c r="J149" s="332">
        <v>0</v>
      </c>
      <c r="K149" s="365"/>
      <c r="L149" s="365"/>
      <c r="M149" s="365"/>
      <c r="N149" s="365"/>
      <c r="O149" s="363"/>
    </row>
    <row r="150" spans="1:15" ht="26">
      <c r="A150" s="295" t="s">
        <v>660</v>
      </c>
      <c r="B150" s="354" t="s">
        <v>177</v>
      </c>
      <c r="C150" s="332"/>
      <c r="D150" s="332">
        <v>0</v>
      </c>
      <c r="E150" s="332">
        <v>0</v>
      </c>
      <c r="F150" s="332"/>
      <c r="G150" s="332"/>
      <c r="H150" s="332">
        <v>0</v>
      </c>
      <c r="I150" s="332">
        <v>0</v>
      </c>
      <c r="J150" s="332">
        <v>0</v>
      </c>
      <c r="K150" s="365"/>
      <c r="L150" s="365"/>
      <c r="M150" s="365"/>
      <c r="N150" s="365"/>
      <c r="O150" s="363"/>
    </row>
    <row r="151" spans="1:15" ht="26">
      <c r="A151" s="295" t="s">
        <v>660</v>
      </c>
      <c r="B151" s="354" t="s">
        <v>183</v>
      </c>
      <c r="C151" s="332"/>
      <c r="D151" s="332">
        <v>0</v>
      </c>
      <c r="E151" s="332">
        <v>0</v>
      </c>
      <c r="F151" s="332"/>
      <c r="G151" s="332"/>
      <c r="H151" s="332">
        <v>0</v>
      </c>
      <c r="I151" s="332">
        <v>0</v>
      </c>
      <c r="J151" s="332">
        <v>0</v>
      </c>
      <c r="K151" s="365"/>
      <c r="L151" s="365"/>
      <c r="M151" s="365"/>
      <c r="N151" s="365"/>
      <c r="O151" s="363"/>
    </row>
    <row r="152" spans="1:15" ht="26">
      <c r="A152" s="295" t="s">
        <v>660</v>
      </c>
      <c r="B152" s="354" t="s">
        <v>188</v>
      </c>
      <c r="C152" s="332"/>
      <c r="D152" s="332"/>
      <c r="E152" s="332">
        <v>0</v>
      </c>
      <c r="F152" s="332"/>
      <c r="G152" s="332"/>
      <c r="H152" s="332">
        <v>0</v>
      </c>
      <c r="I152" s="332">
        <v>0</v>
      </c>
      <c r="J152" s="332">
        <v>0</v>
      </c>
      <c r="K152" s="365"/>
      <c r="L152" s="365"/>
      <c r="M152" s="365"/>
      <c r="N152" s="365"/>
      <c r="O152" s="363"/>
    </row>
    <row r="153" spans="1:15" ht="26">
      <c r="A153" s="295" t="s">
        <v>661</v>
      </c>
      <c r="B153" s="354" t="s">
        <v>148</v>
      </c>
      <c r="C153" s="355">
        <v>57</v>
      </c>
      <c r="D153" s="355">
        <v>66</v>
      </c>
      <c r="E153" s="355">
        <v>62</v>
      </c>
      <c r="F153" s="355">
        <v>57</v>
      </c>
      <c r="G153" s="355">
        <v>50</v>
      </c>
      <c r="H153" s="355">
        <v>56</v>
      </c>
      <c r="I153" s="355">
        <v>63</v>
      </c>
      <c r="J153" s="355">
        <v>40</v>
      </c>
      <c r="K153" s="365"/>
      <c r="L153" s="365"/>
      <c r="M153" s="365"/>
      <c r="N153" s="365"/>
      <c r="O153" s="363"/>
    </row>
    <row r="154" spans="1:15" ht="26">
      <c r="A154" s="295" t="s">
        <v>661</v>
      </c>
      <c r="B154" s="354" t="s">
        <v>165</v>
      </c>
      <c r="C154" s="355">
        <v>68</v>
      </c>
      <c r="D154" s="355">
        <v>77</v>
      </c>
      <c r="E154" s="355">
        <v>71</v>
      </c>
      <c r="F154" s="356"/>
      <c r="G154" s="355">
        <v>61</v>
      </c>
      <c r="H154" s="355">
        <v>64</v>
      </c>
      <c r="I154" s="355">
        <v>66</v>
      </c>
      <c r="J154" s="355">
        <v>44</v>
      </c>
      <c r="K154" s="365"/>
      <c r="L154" s="365"/>
      <c r="M154" s="365"/>
      <c r="N154" s="365"/>
      <c r="O154" s="363"/>
    </row>
    <row r="155" spans="1:15" ht="26">
      <c r="A155" s="295" t="s">
        <v>661</v>
      </c>
      <c r="B155" s="354" t="s">
        <v>177</v>
      </c>
      <c r="C155" s="358"/>
      <c r="D155" s="355">
        <v>90</v>
      </c>
      <c r="E155" s="355">
        <v>81</v>
      </c>
      <c r="F155" s="356"/>
      <c r="G155" s="356"/>
      <c r="H155" s="355">
        <v>75</v>
      </c>
      <c r="I155" s="355">
        <v>68</v>
      </c>
      <c r="J155" s="355">
        <v>54</v>
      </c>
      <c r="K155" s="365"/>
      <c r="L155" s="365"/>
      <c r="M155" s="365"/>
      <c r="N155" s="365"/>
      <c r="O155" s="363"/>
    </row>
    <row r="156" spans="1:15" ht="26">
      <c r="A156" s="295" t="s">
        <v>661</v>
      </c>
      <c r="B156" s="354" t="s">
        <v>183</v>
      </c>
      <c r="C156" s="358"/>
      <c r="D156" s="355">
        <v>125</v>
      </c>
      <c r="E156" s="355">
        <v>115</v>
      </c>
      <c r="F156" s="356"/>
      <c r="G156" s="356"/>
      <c r="H156" s="355">
        <v>109</v>
      </c>
      <c r="I156" s="355">
        <v>99</v>
      </c>
      <c r="J156" s="355">
        <v>84</v>
      </c>
      <c r="K156" s="365"/>
      <c r="L156" s="365"/>
      <c r="M156" s="365"/>
      <c r="N156" s="365"/>
      <c r="O156" s="363"/>
    </row>
    <row r="157" spans="1:15" ht="26">
      <c r="A157" s="295" t="s">
        <v>661</v>
      </c>
      <c r="B157" s="354" t="s">
        <v>188</v>
      </c>
      <c r="C157" s="358"/>
      <c r="D157" s="356"/>
      <c r="E157" s="355">
        <v>133</v>
      </c>
      <c r="F157" s="356"/>
      <c r="G157" s="356"/>
      <c r="H157" s="355">
        <v>117</v>
      </c>
      <c r="I157" s="355">
        <v>107</v>
      </c>
      <c r="J157" s="355">
        <v>92</v>
      </c>
      <c r="K157" s="365"/>
      <c r="L157" s="365"/>
      <c r="M157" s="365"/>
      <c r="N157" s="365"/>
      <c r="O157" s="363"/>
    </row>
    <row r="158" spans="1:15" ht="26">
      <c r="A158" s="295" t="s">
        <v>662</v>
      </c>
      <c r="B158" s="354" t="s">
        <v>148</v>
      </c>
      <c r="C158" s="355">
        <v>57</v>
      </c>
      <c r="D158" s="355">
        <v>66</v>
      </c>
      <c r="E158" s="355">
        <v>62</v>
      </c>
      <c r="F158" s="355">
        <v>57</v>
      </c>
      <c r="G158" s="355">
        <v>50</v>
      </c>
      <c r="H158" s="355">
        <v>56</v>
      </c>
      <c r="I158" s="355">
        <v>63</v>
      </c>
      <c r="J158" s="355">
        <v>40</v>
      </c>
      <c r="K158" s="365"/>
      <c r="L158" s="365"/>
      <c r="M158" s="365"/>
      <c r="N158" s="365"/>
      <c r="O158" s="363"/>
    </row>
    <row r="159" spans="1:15" ht="26">
      <c r="A159" s="295" t="s">
        <v>662</v>
      </c>
      <c r="B159" s="354" t="s">
        <v>165</v>
      </c>
      <c r="C159" s="355">
        <v>68</v>
      </c>
      <c r="D159" s="355">
        <v>77</v>
      </c>
      <c r="E159" s="355">
        <v>71</v>
      </c>
      <c r="F159" s="356"/>
      <c r="G159" s="355">
        <v>61</v>
      </c>
      <c r="H159" s="355">
        <v>64</v>
      </c>
      <c r="I159" s="355">
        <v>66</v>
      </c>
      <c r="J159" s="355">
        <v>44</v>
      </c>
      <c r="K159" s="365"/>
      <c r="L159" s="365"/>
      <c r="M159" s="365"/>
      <c r="N159" s="365"/>
      <c r="O159" s="363"/>
    </row>
    <row r="160" spans="1:15" ht="26">
      <c r="A160" s="295" t="s">
        <v>662</v>
      </c>
      <c r="B160" s="354" t="s">
        <v>177</v>
      </c>
      <c r="C160" s="358"/>
      <c r="D160" s="355">
        <v>90</v>
      </c>
      <c r="E160" s="355">
        <v>81</v>
      </c>
      <c r="F160" s="356"/>
      <c r="G160" s="356"/>
      <c r="H160" s="355">
        <v>75</v>
      </c>
      <c r="I160" s="355">
        <v>68</v>
      </c>
      <c r="J160" s="355">
        <v>54</v>
      </c>
      <c r="K160" s="365"/>
      <c r="L160" s="365"/>
      <c r="M160" s="365"/>
      <c r="N160" s="365"/>
      <c r="O160" s="363"/>
    </row>
    <row r="161" spans="1:15" ht="26">
      <c r="A161" s="295" t="s">
        <v>662</v>
      </c>
      <c r="B161" s="354" t="s">
        <v>183</v>
      </c>
      <c r="C161" s="358"/>
      <c r="D161" s="355">
        <v>125</v>
      </c>
      <c r="E161" s="355">
        <v>115</v>
      </c>
      <c r="F161" s="356"/>
      <c r="G161" s="356"/>
      <c r="H161" s="355">
        <v>109</v>
      </c>
      <c r="I161" s="355">
        <v>99</v>
      </c>
      <c r="J161" s="355">
        <v>84</v>
      </c>
      <c r="K161" s="365"/>
      <c r="L161" s="365"/>
      <c r="M161" s="365"/>
      <c r="N161" s="365"/>
      <c r="O161" s="363"/>
    </row>
    <row r="162" spans="1:15" ht="26">
      <c r="A162" s="295" t="s">
        <v>662</v>
      </c>
      <c r="B162" s="354" t="s">
        <v>188</v>
      </c>
      <c r="C162" s="358"/>
      <c r="D162" s="356"/>
      <c r="E162" s="355">
        <v>133</v>
      </c>
      <c r="F162" s="356"/>
      <c r="G162" s="356"/>
      <c r="H162" s="355">
        <v>117</v>
      </c>
      <c r="I162" s="355">
        <v>107</v>
      </c>
      <c r="J162" s="355">
        <v>92</v>
      </c>
      <c r="K162" s="365"/>
      <c r="L162" s="365"/>
      <c r="M162" s="365"/>
      <c r="N162" s="365"/>
      <c r="O162" s="363"/>
    </row>
    <row r="163" spans="1:15" ht="26">
      <c r="A163" s="295" t="s">
        <v>663</v>
      </c>
      <c r="B163" s="354" t="s">
        <v>148</v>
      </c>
      <c r="C163" s="355">
        <v>57</v>
      </c>
      <c r="D163" s="355">
        <v>66</v>
      </c>
      <c r="E163" s="355">
        <v>62</v>
      </c>
      <c r="F163" s="355">
        <v>57</v>
      </c>
      <c r="G163" s="355">
        <v>50</v>
      </c>
      <c r="H163" s="355">
        <v>56</v>
      </c>
      <c r="I163" s="355">
        <v>63</v>
      </c>
      <c r="J163" s="355">
        <v>40</v>
      </c>
      <c r="K163" s="365"/>
      <c r="L163" s="365"/>
      <c r="M163" s="365"/>
      <c r="N163" s="365"/>
      <c r="O163" s="363"/>
    </row>
    <row r="164" spans="1:15" ht="26">
      <c r="A164" s="295" t="s">
        <v>663</v>
      </c>
      <c r="B164" s="354" t="s">
        <v>165</v>
      </c>
      <c r="C164" s="355">
        <v>68</v>
      </c>
      <c r="D164" s="355">
        <v>77</v>
      </c>
      <c r="E164" s="355">
        <v>71</v>
      </c>
      <c r="F164" s="356"/>
      <c r="G164" s="355">
        <v>61</v>
      </c>
      <c r="H164" s="355">
        <v>64</v>
      </c>
      <c r="I164" s="355">
        <v>66</v>
      </c>
      <c r="J164" s="355">
        <v>44</v>
      </c>
      <c r="K164" s="365"/>
      <c r="L164" s="365"/>
      <c r="M164" s="365"/>
      <c r="N164" s="365"/>
      <c r="O164" s="363"/>
    </row>
    <row r="165" spans="1:15" ht="26">
      <c r="A165" s="295" t="s">
        <v>663</v>
      </c>
      <c r="B165" s="354" t="s">
        <v>177</v>
      </c>
      <c r="C165" s="358"/>
      <c r="D165" s="355">
        <v>90</v>
      </c>
      <c r="E165" s="355">
        <v>81</v>
      </c>
      <c r="F165" s="356"/>
      <c r="G165" s="356"/>
      <c r="H165" s="355">
        <v>75</v>
      </c>
      <c r="I165" s="355">
        <v>68</v>
      </c>
      <c r="J165" s="355">
        <v>54</v>
      </c>
      <c r="K165" s="365"/>
      <c r="L165" s="365"/>
      <c r="M165" s="365"/>
      <c r="N165" s="365"/>
      <c r="O165" s="363"/>
    </row>
    <row r="166" spans="1:15" ht="26">
      <c r="A166" s="295" t="s">
        <v>663</v>
      </c>
      <c r="B166" s="354" t="s">
        <v>183</v>
      </c>
      <c r="C166" s="358"/>
      <c r="D166" s="355">
        <v>125</v>
      </c>
      <c r="E166" s="355">
        <v>115</v>
      </c>
      <c r="F166" s="356"/>
      <c r="G166" s="356"/>
      <c r="H166" s="355">
        <v>109</v>
      </c>
      <c r="I166" s="355">
        <v>99</v>
      </c>
      <c r="J166" s="355">
        <v>84</v>
      </c>
      <c r="K166" s="365"/>
      <c r="L166" s="365"/>
      <c r="M166" s="365"/>
      <c r="N166" s="365"/>
      <c r="O166" s="363"/>
    </row>
    <row r="167" spans="1:15" ht="26">
      <c r="A167" s="295" t="s">
        <v>663</v>
      </c>
      <c r="B167" s="354" t="s">
        <v>188</v>
      </c>
      <c r="C167" s="358"/>
      <c r="D167" s="356"/>
      <c r="E167" s="355">
        <v>133</v>
      </c>
      <c r="F167" s="356"/>
      <c r="G167" s="356"/>
      <c r="H167" s="355">
        <v>117</v>
      </c>
      <c r="I167" s="355">
        <v>107</v>
      </c>
      <c r="J167" s="355">
        <v>92</v>
      </c>
      <c r="K167" s="365"/>
      <c r="L167" s="365"/>
      <c r="M167" s="365"/>
      <c r="N167" s="365"/>
      <c r="O167" s="363"/>
    </row>
    <row r="168" spans="1:15" ht="26">
      <c r="A168" s="295" t="s">
        <v>665</v>
      </c>
      <c r="B168" s="354" t="s">
        <v>148</v>
      </c>
      <c r="C168" s="355">
        <v>57</v>
      </c>
      <c r="D168" s="355">
        <v>66</v>
      </c>
      <c r="E168" s="355">
        <v>62</v>
      </c>
      <c r="F168" s="355">
        <v>57</v>
      </c>
      <c r="G168" s="355">
        <v>50</v>
      </c>
      <c r="H168" s="355">
        <v>56</v>
      </c>
      <c r="I168" s="355">
        <v>63</v>
      </c>
      <c r="J168" s="355">
        <v>40</v>
      </c>
      <c r="K168" s="365"/>
      <c r="L168" s="365"/>
      <c r="M168" s="365"/>
      <c r="N168" s="365"/>
      <c r="O168" s="363"/>
    </row>
    <row r="169" spans="1:15" ht="26">
      <c r="A169" s="295" t="s">
        <v>665</v>
      </c>
      <c r="B169" s="354" t="s">
        <v>165</v>
      </c>
      <c r="C169" s="355">
        <v>68</v>
      </c>
      <c r="D169" s="355">
        <v>77</v>
      </c>
      <c r="E169" s="355">
        <v>71</v>
      </c>
      <c r="F169" s="356"/>
      <c r="G169" s="355">
        <v>61</v>
      </c>
      <c r="H169" s="355">
        <v>64</v>
      </c>
      <c r="I169" s="355">
        <v>66</v>
      </c>
      <c r="J169" s="355">
        <v>44</v>
      </c>
      <c r="K169" s="365"/>
      <c r="L169" s="365"/>
      <c r="M169" s="365"/>
      <c r="N169" s="365"/>
      <c r="O169" s="363"/>
    </row>
    <row r="170" spans="1:15" ht="26">
      <c r="A170" s="295" t="s">
        <v>665</v>
      </c>
      <c r="B170" s="354" t="s">
        <v>177</v>
      </c>
      <c r="C170" s="358"/>
      <c r="D170" s="355">
        <v>90</v>
      </c>
      <c r="E170" s="355">
        <v>81</v>
      </c>
      <c r="F170" s="356"/>
      <c r="G170" s="356"/>
      <c r="H170" s="355">
        <v>75</v>
      </c>
      <c r="I170" s="355">
        <v>68</v>
      </c>
      <c r="J170" s="355">
        <v>54</v>
      </c>
      <c r="K170" s="365"/>
      <c r="L170" s="365"/>
      <c r="M170" s="365"/>
      <c r="N170" s="365"/>
      <c r="O170" s="363"/>
    </row>
    <row r="171" spans="1:15" ht="26">
      <c r="A171" s="295" t="s">
        <v>665</v>
      </c>
      <c r="B171" s="354" t="s">
        <v>183</v>
      </c>
      <c r="C171" s="358"/>
      <c r="D171" s="355">
        <v>125</v>
      </c>
      <c r="E171" s="355">
        <v>115</v>
      </c>
      <c r="F171" s="356"/>
      <c r="G171" s="356"/>
      <c r="H171" s="355">
        <v>109</v>
      </c>
      <c r="I171" s="355">
        <v>99</v>
      </c>
      <c r="J171" s="355">
        <v>84</v>
      </c>
      <c r="K171" s="365"/>
      <c r="L171" s="365"/>
      <c r="M171" s="365"/>
      <c r="N171" s="365"/>
      <c r="O171" s="363"/>
    </row>
    <row r="172" spans="1:15" ht="26">
      <c r="A172" s="295" t="s">
        <v>665</v>
      </c>
      <c r="B172" s="354" t="s">
        <v>188</v>
      </c>
      <c r="C172" s="358"/>
      <c r="D172" s="356"/>
      <c r="E172" s="355">
        <v>133</v>
      </c>
      <c r="F172" s="356"/>
      <c r="G172" s="356"/>
      <c r="H172" s="355">
        <v>117</v>
      </c>
      <c r="I172" s="355">
        <v>107</v>
      </c>
      <c r="J172" s="355">
        <v>92</v>
      </c>
      <c r="K172" s="365"/>
      <c r="L172" s="365"/>
      <c r="M172" s="365"/>
      <c r="N172" s="365"/>
      <c r="O172" s="363"/>
    </row>
    <row r="173" spans="1:15" ht="26">
      <c r="A173" s="295" t="s">
        <v>667</v>
      </c>
      <c r="B173" s="354" t="s">
        <v>148</v>
      </c>
      <c r="C173" s="332">
        <v>70</v>
      </c>
      <c r="D173" s="355">
        <v>79</v>
      </c>
      <c r="E173" s="355">
        <v>72</v>
      </c>
      <c r="F173" s="332">
        <v>69</v>
      </c>
      <c r="G173" s="332">
        <v>60</v>
      </c>
      <c r="H173" s="355">
        <v>64</v>
      </c>
      <c r="I173" s="355">
        <v>66</v>
      </c>
      <c r="J173" s="355">
        <v>44</v>
      </c>
      <c r="K173" s="365"/>
      <c r="L173" s="365"/>
      <c r="M173" s="365"/>
      <c r="N173" s="365"/>
      <c r="O173" s="363"/>
    </row>
    <row r="174" spans="1:15" ht="26">
      <c r="A174" s="295" t="s">
        <v>667</v>
      </c>
      <c r="B174" s="354" t="s">
        <v>165</v>
      </c>
      <c r="C174" s="332">
        <v>88</v>
      </c>
      <c r="D174" s="355">
        <v>96</v>
      </c>
      <c r="E174" s="355">
        <v>87</v>
      </c>
      <c r="F174" s="332"/>
      <c r="G174" s="332">
        <v>77</v>
      </c>
      <c r="H174" s="355">
        <v>79</v>
      </c>
      <c r="I174" s="355">
        <v>76</v>
      </c>
      <c r="J174" s="355">
        <v>54</v>
      </c>
      <c r="K174" s="365">
        <v>8</v>
      </c>
      <c r="L174" s="365">
        <v>9</v>
      </c>
      <c r="M174" s="365">
        <v>10</v>
      </c>
      <c r="N174" s="365">
        <v>4</v>
      </c>
      <c r="O174" s="363">
        <v>10</v>
      </c>
    </row>
    <row r="175" spans="1:15" ht="26">
      <c r="A175" s="295" t="s">
        <v>667</v>
      </c>
      <c r="B175" s="354" t="s">
        <v>177</v>
      </c>
      <c r="C175" s="332"/>
      <c r="D175" s="355">
        <v>115</v>
      </c>
      <c r="E175" s="355">
        <v>104</v>
      </c>
      <c r="F175" s="332"/>
      <c r="G175" s="332"/>
      <c r="H175" s="355">
        <v>96</v>
      </c>
      <c r="I175" s="355">
        <v>87</v>
      </c>
      <c r="J175" s="355">
        <v>69</v>
      </c>
      <c r="K175" s="365">
        <v>4</v>
      </c>
      <c r="L175" s="365">
        <v>6</v>
      </c>
      <c r="M175" s="365"/>
      <c r="N175" s="365"/>
      <c r="O175" s="363"/>
    </row>
    <row r="176" spans="1:15" ht="26">
      <c r="A176" s="295" t="s">
        <v>667</v>
      </c>
      <c r="B176" s="354" t="s">
        <v>183</v>
      </c>
      <c r="C176" s="332"/>
      <c r="D176" s="355">
        <v>161</v>
      </c>
      <c r="E176" s="355">
        <v>148</v>
      </c>
      <c r="F176" s="332"/>
      <c r="G176" s="332"/>
      <c r="H176" s="355">
        <v>140</v>
      </c>
      <c r="I176" s="355">
        <v>128</v>
      </c>
      <c r="J176" s="355">
        <v>109</v>
      </c>
      <c r="K176" s="365"/>
      <c r="L176" s="365"/>
      <c r="M176" s="365"/>
      <c r="N176" s="365">
        <v>31</v>
      </c>
      <c r="O176" s="363"/>
    </row>
    <row r="177" spans="1:15" ht="26">
      <c r="A177" s="295" t="s">
        <v>667</v>
      </c>
      <c r="B177" s="354" t="s">
        <v>188</v>
      </c>
      <c r="C177" s="332"/>
      <c r="D177" s="332"/>
      <c r="E177" s="355">
        <v>159</v>
      </c>
      <c r="F177" s="332"/>
      <c r="G177" s="332"/>
      <c r="H177" s="355">
        <v>152</v>
      </c>
      <c r="I177" s="355">
        <v>132</v>
      </c>
      <c r="J177" s="355">
        <v>119</v>
      </c>
      <c r="K177" s="365"/>
      <c r="L177" s="365"/>
      <c r="M177" s="365"/>
      <c r="N177" s="365">
        <v>63</v>
      </c>
      <c r="O177" s="363"/>
    </row>
    <row r="178" spans="1:15" ht="26">
      <c r="A178" s="295" t="s">
        <v>670</v>
      </c>
      <c r="B178" s="354" t="s">
        <v>148</v>
      </c>
      <c r="C178" s="332">
        <v>70</v>
      </c>
      <c r="D178" s="355">
        <v>79</v>
      </c>
      <c r="E178" s="355">
        <v>72</v>
      </c>
      <c r="F178" s="332">
        <v>69</v>
      </c>
      <c r="G178" s="332">
        <v>60</v>
      </c>
      <c r="H178" s="355">
        <v>64</v>
      </c>
      <c r="I178" s="355">
        <v>66</v>
      </c>
      <c r="J178" s="355">
        <v>44</v>
      </c>
      <c r="K178" s="365">
        <v>8</v>
      </c>
      <c r="L178" s="365">
        <v>9</v>
      </c>
      <c r="M178" s="365">
        <v>10</v>
      </c>
      <c r="N178" s="365">
        <v>4</v>
      </c>
      <c r="O178" s="363">
        <v>10</v>
      </c>
    </row>
    <row r="179" spans="1:15" ht="26">
      <c r="A179" s="295" t="s">
        <v>670</v>
      </c>
      <c r="B179" s="354" t="s">
        <v>165</v>
      </c>
      <c r="C179" s="332">
        <v>88</v>
      </c>
      <c r="D179" s="355">
        <v>96</v>
      </c>
      <c r="E179" s="355">
        <v>87</v>
      </c>
      <c r="F179" s="332"/>
      <c r="G179" s="332">
        <v>77</v>
      </c>
      <c r="H179" s="355">
        <v>79</v>
      </c>
      <c r="I179" s="355">
        <v>76</v>
      </c>
      <c r="J179" s="355">
        <v>54</v>
      </c>
      <c r="K179" s="365">
        <v>4</v>
      </c>
      <c r="L179" s="365">
        <v>6</v>
      </c>
      <c r="M179" s="365"/>
      <c r="N179" s="365"/>
      <c r="O179" s="363"/>
    </row>
    <row r="180" spans="1:15" ht="26">
      <c r="A180" s="295" t="s">
        <v>670</v>
      </c>
      <c r="B180" s="354" t="s">
        <v>177</v>
      </c>
      <c r="C180" s="332"/>
      <c r="D180" s="355">
        <v>115</v>
      </c>
      <c r="E180" s="355">
        <v>104</v>
      </c>
      <c r="F180" s="332"/>
      <c r="G180" s="332"/>
      <c r="H180" s="355">
        <v>96</v>
      </c>
      <c r="I180" s="355">
        <v>87</v>
      </c>
      <c r="J180" s="355">
        <v>69</v>
      </c>
      <c r="K180" s="365"/>
      <c r="L180" s="365"/>
      <c r="M180" s="365"/>
      <c r="N180" s="365">
        <v>31</v>
      </c>
      <c r="O180" s="363"/>
    </row>
    <row r="181" spans="1:15" ht="26">
      <c r="A181" s="295" t="s">
        <v>670</v>
      </c>
      <c r="B181" s="354" t="s">
        <v>183</v>
      </c>
      <c r="C181" s="332"/>
      <c r="D181" s="355">
        <v>161</v>
      </c>
      <c r="E181" s="355">
        <v>148</v>
      </c>
      <c r="F181" s="332"/>
      <c r="G181" s="332"/>
      <c r="H181" s="355">
        <v>140</v>
      </c>
      <c r="I181" s="355">
        <v>128</v>
      </c>
      <c r="J181" s="355">
        <v>109</v>
      </c>
      <c r="K181" s="365"/>
      <c r="L181" s="365"/>
      <c r="M181" s="365"/>
      <c r="N181" s="365">
        <v>63</v>
      </c>
      <c r="O181" s="363"/>
    </row>
    <row r="182" spans="1:15" ht="26">
      <c r="A182" s="295" t="s">
        <v>670</v>
      </c>
      <c r="B182" s="354" t="s">
        <v>188</v>
      </c>
      <c r="C182" s="332"/>
      <c r="D182" s="332"/>
      <c r="E182" s="355">
        <v>159</v>
      </c>
      <c r="F182" s="332"/>
      <c r="G182" s="332"/>
      <c r="H182" s="355">
        <v>152</v>
      </c>
      <c r="I182" s="355">
        <v>132</v>
      </c>
      <c r="J182" s="355">
        <v>119</v>
      </c>
      <c r="K182" s="365"/>
      <c r="L182" s="365"/>
      <c r="M182" s="365"/>
      <c r="N182" s="365"/>
      <c r="O182" s="363"/>
    </row>
    <row r="183" spans="1:15" ht="26">
      <c r="A183" s="295" t="s">
        <v>671</v>
      </c>
      <c r="B183" s="354" t="s">
        <v>148</v>
      </c>
      <c r="C183" s="332">
        <v>70</v>
      </c>
      <c r="D183" s="355">
        <v>79</v>
      </c>
      <c r="E183" s="355">
        <v>72</v>
      </c>
      <c r="F183" s="332">
        <v>69</v>
      </c>
      <c r="G183" s="332">
        <v>60</v>
      </c>
      <c r="H183" s="355">
        <v>64</v>
      </c>
      <c r="I183" s="355">
        <v>66</v>
      </c>
      <c r="J183" s="355">
        <v>44</v>
      </c>
      <c r="K183" s="365">
        <v>8</v>
      </c>
      <c r="L183" s="365">
        <v>9</v>
      </c>
      <c r="M183" s="365">
        <v>10</v>
      </c>
      <c r="N183" s="365">
        <v>4</v>
      </c>
      <c r="O183" s="363">
        <v>10</v>
      </c>
    </row>
    <row r="184" spans="1:15" ht="26">
      <c r="A184" s="295" t="s">
        <v>671</v>
      </c>
      <c r="B184" s="354" t="s">
        <v>165</v>
      </c>
      <c r="C184" s="332">
        <v>88</v>
      </c>
      <c r="D184" s="355">
        <v>96</v>
      </c>
      <c r="E184" s="355">
        <v>87</v>
      </c>
      <c r="F184" s="332"/>
      <c r="G184" s="332">
        <v>77</v>
      </c>
      <c r="H184" s="355">
        <v>79</v>
      </c>
      <c r="I184" s="355">
        <v>76</v>
      </c>
      <c r="J184" s="355">
        <v>54</v>
      </c>
      <c r="K184" s="365">
        <v>4</v>
      </c>
      <c r="L184" s="365">
        <v>6</v>
      </c>
      <c r="M184" s="365"/>
      <c r="N184" s="365"/>
      <c r="O184" s="363"/>
    </row>
    <row r="185" spans="1:15" ht="26">
      <c r="A185" s="295" t="s">
        <v>671</v>
      </c>
      <c r="B185" s="354" t="s">
        <v>177</v>
      </c>
      <c r="C185" s="332"/>
      <c r="D185" s="355">
        <v>115</v>
      </c>
      <c r="E185" s="355">
        <v>104</v>
      </c>
      <c r="F185" s="332"/>
      <c r="G185" s="332"/>
      <c r="H185" s="355">
        <v>96</v>
      </c>
      <c r="I185" s="355">
        <v>87</v>
      </c>
      <c r="J185" s="355">
        <v>69</v>
      </c>
      <c r="K185" s="365"/>
      <c r="L185" s="365"/>
      <c r="M185" s="365"/>
      <c r="N185" s="365">
        <v>31</v>
      </c>
      <c r="O185" s="363"/>
    </row>
    <row r="186" spans="1:15" ht="26">
      <c r="A186" s="295" t="s">
        <v>671</v>
      </c>
      <c r="B186" s="354" t="s">
        <v>183</v>
      </c>
      <c r="C186" s="332"/>
      <c r="D186" s="355">
        <v>161</v>
      </c>
      <c r="E186" s="355">
        <v>148</v>
      </c>
      <c r="F186" s="332"/>
      <c r="G186" s="332"/>
      <c r="H186" s="355">
        <v>140</v>
      </c>
      <c r="I186" s="355">
        <v>128</v>
      </c>
      <c r="J186" s="355">
        <v>109</v>
      </c>
      <c r="K186" s="365"/>
      <c r="L186" s="365"/>
      <c r="M186" s="365"/>
      <c r="N186" s="365">
        <v>63</v>
      </c>
      <c r="O186" s="363"/>
    </row>
    <row r="187" spans="1:15" ht="26">
      <c r="A187" s="295" t="s">
        <v>671</v>
      </c>
      <c r="B187" s="354" t="s">
        <v>188</v>
      </c>
      <c r="C187" s="332"/>
      <c r="D187" s="332"/>
      <c r="E187" s="355">
        <v>159</v>
      </c>
      <c r="F187" s="332"/>
      <c r="G187" s="332"/>
      <c r="H187" s="355">
        <v>152</v>
      </c>
      <c r="I187" s="355">
        <v>132</v>
      </c>
      <c r="J187" s="355">
        <v>119</v>
      </c>
      <c r="K187" s="365"/>
      <c r="L187" s="365"/>
      <c r="M187" s="365"/>
      <c r="N187" s="365"/>
      <c r="O187" s="363"/>
    </row>
    <row r="188" spans="1:15" ht="26">
      <c r="A188" s="295" t="s">
        <v>672</v>
      </c>
      <c r="B188" s="354" t="s">
        <v>148</v>
      </c>
      <c r="C188" s="332">
        <v>70</v>
      </c>
      <c r="D188" s="355">
        <v>79</v>
      </c>
      <c r="E188" s="355">
        <v>72</v>
      </c>
      <c r="F188" s="332">
        <v>69</v>
      </c>
      <c r="G188" s="332">
        <v>60</v>
      </c>
      <c r="H188" s="355">
        <v>64</v>
      </c>
      <c r="I188" s="355">
        <v>66</v>
      </c>
      <c r="J188" s="355">
        <v>44</v>
      </c>
      <c r="K188" s="365">
        <v>8</v>
      </c>
      <c r="L188" s="365">
        <v>9</v>
      </c>
      <c r="M188" s="365">
        <v>10</v>
      </c>
      <c r="N188" s="365">
        <v>4</v>
      </c>
      <c r="O188" s="363">
        <v>10</v>
      </c>
    </row>
    <row r="189" spans="1:15" ht="26">
      <c r="A189" s="295" t="s">
        <v>672</v>
      </c>
      <c r="B189" s="354" t="s">
        <v>165</v>
      </c>
      <c r="C189" s="332">
        <v>88</v>
      </c>
      <c r="D189" s="355">
        <v>96</v>
      </c>
      <c r="E189" s="355">
        <v>87</v>
      </c>
      <c r="F189" s="332"/>
      <c r="G189" s="332">
        <v>77</v>
      </c>
      <c r="H189" s="355">
        <v>79</v>
      </c>
      <c r="I189" s="355">
        <v>76</v>
      </c>
      <c r="J189" s="355">
        <v>54</v>
      </c>
      <c r="K189" s="365">
        <v>4</v>
      </c>
      <c r="L189" s="365">
        <v>6</v>
      </c>
      <c r="M189" s="365"/>
      <c r="N189" s="365"/>
      <c r="O189" s="363"/>
    </row>
    <row r="190" spans="1:15" ht="26">
      <c r="A190" s="295" t="s">
        <v>672</v>
      </c>
      <c r="B190" s="354" t="s">
        <v>177</v>
      </c>
      <c r="C190" s="332"/>
      <c r="D190" s="355">
        <v>115</v>
      </c>
      <c r="E190" s="355">
        <v>104</v>
      </c>
      <c r="F190" s="332"/>
      <c r="G190" s="332"/>
      <c r="H190" s="355">
        <v>96</v>
      </c>
      <c r="I190" s="355">
        <v>87</v>
      </c>
      <c r="J190" s="355">
        <v>69</v>
      </c>
      <c r="K190" s="365"/>
      <c r="L190" s="365"/>
      <c r="M190" s="365"/>
      <c r="N190" s="365">
        <v>31</v>
      </c>
      <c r="O190" s="363"/>
    </row>
    <row r="191" spans="1:15" ht="26">
      <c r="A191" s="295" t="s">
        <v>672</v>
      </c>
      <c r="B191" s="354" t="s">
        <v>183</v>
      </c>
      <c r="C191" s="332"/>
      <c r="D191" s="355">
        <v>161</v>
      </c>
      <c r="E191" s="355">
        <v>148</v>
      </c>
      <c r="F191" s="332"/>
      <c r="G191" s="332"/>
      <c r="H191" s="355">
        <v>140</v>
      </c>
      <c r="I191" s="355">
        <v>128</v>
      </c>
      <c r="J191" s="355">
        <v>109</v>
      </c>
      <c r="K191" s="365"/>
      <c r="L191" s="365"/>
      <c r="M191" s="365"/>
      <c r="N191" s="365">
        <v>63</v>
      </c>
      <c r="O191" s="363"/>
    </row>
    <row r="192" spans="1:15" ht="26">
      <c r="A192" s="295" t="s">
        <v>672</v>
      </c>
      <c r="B192" s="354" t="s">
        <v>188</v>
      </c>
      <c r="C192" s="332"/>
      <c r="D192" s="332"/>
      <c r="E192" s="355">
        <v>159</v>
      </c>
      <c r="F192" s="332"/>
      <c r="G192" s="332"/>
      <c r="H192" s="355">
        <v>152</v>
      </c>
      <c r="I192" s="355">
        <v>132</v>
      </c>
      <c r="J192" s="355">
        <v>119</v>
      </c>
      <c r="K192" s="365"/>
      <c r="L192" s="365"/>
      <c r="M192" s="365"/>
      <c r="N192" s="365"/>
      <c r="O192" s="363"/>
    </row>
    <row r="193" spans="1:15" ht="26">
      <c r="A193" s="295" t="s">
        <v>673</v>
      </c>
      <c r="B193" s="354" t="s">
        <v>148</v>
      </c>
      <c r="C193" s="332">
        <v>70</v>
      </c>
      <c r="D193" s="355">
        <v>79</v>
      </c>
      <c r="E193" s="355">
        <v>72</v>
      </c>
      <c r="F193" s="332">
        <v>69</v>
      </c>
      <c r="G193" s="332">
        <v>60</v>
      </c>
      <c r="H193" s="355">
        <v>64</v>
      </c>
      <c r="I193" s="355">
        <v>66</v>
      </c>
      <c r="J193" s="355">
        <v>44</v>
      </c>
      <c r="K193" s="365">
        <v>8</v>
      </c>
      <c r="L193" s="365">
        <v>9</v>
      </c>
      <c r="M193" s="365">
        <v>10</v>
      </c>
      <c r="N193" s="365">
        <v>4</v>
      </c>
      <c r="O193" s="363">
        <v>10</v>
      </c>
    </row>
    <row r="194" spans="1:15" ht="26">
      <c r="A194" s="295" t="s">
        <v>673</v>
      </c>
      <c r="B194" s="354" t="s">
        <v>165</v>
      </c>
      <c r="C194" s="332">
        <v>88</v>
      </c>
      <c r="D194" s="355">
        <v>96</v>
      </c>
      <c r="E194" s="355">
        <v>87</v>
      </c>
      <c r="F194" s="332"/>
      <c r="G194" s="332">
        <v>77</v>
      </c>
      <c r="H194" s="355">
        <v>79</v>
      </c>
      <c r="I194" s="355">
        <v>76</v>
      </c>
      <c r="J194" s="355">
        <v>54</v>
      </c>
      <c r="K194" s="365">
        <v>4</v>
      </c>
      <c r="L194" s="365">
        <v>6</v>
      </c>
      <c r="M194" s="365"/>
      <c r="N194" s="365"/>
      <c r="O194" s="363"/>
    </row>
    <row r="195" spans="1:15" ht="26">
      <c r="A195" s="295" t="s">
        <v>673</v>
      </c>
      <c r="B195" s="354" t="s">
        <v>177</v>
      </c>
      <c r="C195" s="332"/>
      <c r="D195" s="355">
        <v>115</v>
      </c>
      <c r="E195" s="355">
        <v>104</v>
      </c>
      <c r="F195" s="332"/>
      <c r="G195" s="332"/>
      <c r="H195" s="355">
        <v>96</v>
      </c>
      <c r="I195" s="355">
        <v>87</v>
      </c>
      <c r="J195" s="355">
        <v>69</v>
      </c>
      <c r="K195" s="365"/>
      <c r="L195" s="365"/>
      <c r="M195" s="365"/>
      <c r="N195" s="365">
        <v>24</v>
      </c>
      <c r="O195" s="363"/>
    </row>
    <row r="196" spans="1:15" ht="26">
      <c r="A196" s="295" t="s">
        <v>673</v>
      </c>
      <c r="B196" s="354" t="s">
        <v>183</v>
      </c>
      <c r="C196" s="332"/>
      <c r="D196" s="355">
        <v>161</v>
      </c>
      <c r="E196" s="355">
        <v>148</v>
      </c>
      <c r="F196" s="332"/>
      <c r="G196" s="332"/>
      <c r="H196" s="355">
        <v>140</v>
      </c>
      <c r="I196" s="355">
        <v>128</v>
      </c>
      <c r="J196" s="355">
        <v>109</v>
      </c>
      <c r="K196" s="365"/>
      <c r="L196" s="365"/>
      <c r="M196" s="365"/>
      <c r="N196" s="365">
        <v>47</v>
      </c>
      <c r="O196" s="363"/>
    </row>
    <row r="197" spans="1:15" ht="26">
      <c r="A197" s="295" t="s">
        <v>673</v>
      </c>
      <c r="B197" s="354" t="s">
        <v>188</v>
      </c>
      <c r="C197" s="332"/>
      <c r="D197" s="332"/>
      <c r="E197" s="355">
        <v>159</v>
      </c>
      <c r="F197" s="332"/>
      <c r="G197" s="332"/>
      <c r="H197" s="355">
        <v>152</v>
      </c>
      <c r="I197" s="355">
        <v>132</v>
      </c>
      <c r="J197" s="355">
        <v>119</v>
      </c>
      <c r="K197" s="365"/>
      <c r="L197" s="365"/>
      <c r="M197" s="365"/>
      <c r="N197" s="365"/>
      <c r="O197" s="363"/>
    </row>
    <row r="198" spans="1:15" ht="26">
      <c r="A198" s="295" t="s">
        <v>674</v>
      </c>
      <c r="B198" s="354" t="s">
        <v>148</v>
      </c>
      <c r="C198" s="332">
        <v>70</v>
      </c>
      <c r="D198" s="355">
        <v>79</v>
      </c>
      <c r="E198" s="355">
        <v>72</v>
      </c>
      <c r="F198" s="332">
        <v>69</v>
      </c>
      <c r="G198" s="332">
        <v>60</v>
      </c>
      <c r="H198" s="355">
        <v>64</v>
      </c>
      <c r="I198" s="355">
        <v>66</v>
      </c>
      <c r="J198" s="355">
        <v>44</v>
      </c>
      <c r="K198" s="365">
        <v>8</v>
      </c>
      <c r="L198" s="365">
        <v>9</v>
      </c>
      <c r="M198" s="365">
        <v>10</v>
      </c>
      <c r="N198" s="365">
        <v>4</v>
      </c>
      <c r="O198" s="363">
        <v>10</v>
      </c>
    </row>
    <row r="199" spans="1:15" ht="26">
      <c r="A199" s="295" t="s">
        <v>674</v>
      </c>
      <c r="B199" s="354" t="s">
        <v>165</v>
      </c>
      <c r="C199" s="332">
        <v>88</v>
      </c>
      <c r="D199" s="355">
        <v>96</v>
      </c>
      <c r="E199" s="355">
        <v>87</v>
      </c>
      <c r="F199" s="332"/>
      <c r="G199" s="332">
        <v>77</v>
      </c>
      <c r="H199" s="355">
        <v>79</v>
      </c>
      <c r="I199" s="355">
        <v>76</v>
      </c>
      <c r="J199" s="355">
        <v>54</v>
      </c>
      <c r="K199" s="365">
        <v>4</v>
      </c>
      <c r="L199" s="365">
        <v>6</v>
      </c>
      <c r="M199" s="365"/>
      <c r="N199" s="365"/>
      <c r="O199" s="363"/>
    </row>
    <row r="200" spans="1:15" ht="26">
      <c r="A200" s="295" t="s">
        <v>674</v>
      </c>
      <c r="B200" s="354" t="s">
        <v>177</v>
      </c>
      <c r="C200" s="332"/>
      <c r="D200" s="355">
        <v>115</v>
      </c>
      <c r="E200" s="355">
        <v>104</v>
      </c>
      <c r="F200" s="332"/>
      <c r="G200" s="332"/>
      <c r="H200" s="355">
        <v>96</v>
      </c>
      <c r="I200" s="355">
        <v>87</v>
      </c>
      <c r="J200" s="355">
        <v>69</v>
      </c>
      <c r="K200" s="365"/>
      <c r="L200" s="365"/>
      <c r="M200" s="365"/>
      <c r="N200" s="365">
        <v>31</v>
      </c>
      <c r="O200" s="363"/>
    </row>
    <row r="201" spans="1:15" ht="26">
      <c r="A201" s="295" t="s">
        <v>674</v>
      </c>
      <c r="B201" s="354" t="s">
        <v>183</v>
      </c>
      <c r="C201" s="332"/>
      <c r="D201" s="355">
        <v>161</v>
      </c>
      <c r="E201" s="355">
        <v>148</v>
      </c>
      <c r="F201" s="332"/>
      <c r="G201" s="332"/>
      <c r="H201" s="355">
        <v>140</v>
      </c>
      <c r="I201" s="355">
        <v>128</v>
      </c>
      <c r="J201" s="355">
        <v>109</v>
      </c>
      <c r="K201" s="365"/>
      <c r="L201" s="365"/>
      <c r="M201" s="365"/>
      <c r="N201" s="365">
        <v>63</v>
      </c>
      <c r="O201" s="363"/>
    </row>
    <row r="202" spans="1:15" ht="26">
      <c r="A202" s="295" t="s">
        <v>674</v>
      </c>
      <c r="B202" s="354" t="s">
        <v>188</v>
      </c>
      <c r="C202" s="332"/>
      <c r="D202" s="332"/>
      <c r="E202" s="355">
        <v>159</v>
      </c>
      <c r="F202" s="332"/>
      <c r="G202" s="332"/>
      <c r="H202" s="355">
        <v>152</v>
      </c>
      <c r="I202" s="355">
        <v>132</v>
      </c>
      <c r="J202" s="355">
        <v>119</v>
      </c>
      <c r="K202" s="365"/>
      <c r="L202" s="365"/>
      <c r="M202" s="365"/>
      <c r="N202" s="365"/>
      <c r="O202" s="363"/>
    </row>
    <row r="203" spans="1:15" ht="26">
      <c r="A203" s="295" t="s">
        <v>675</v>
      </c>
      <c r="B203" s="354" t="s">
        <v>148</v>
      </c>
      <c r="C203" s="332">
        <v>70</v>
      </c>
      <c r="D203" s="355">
        <v>79</v>
      </c>
      <c r="E203" s="355">
        <v>72</v>
      </c>
      <c r="F203" s="332">
        <v>69</v>
      </c>
      <c r="G203" s="332">
        <v>60</v>
      </c>
      <c r="H203" s="355">
        <v>64</v>
      </c>
      <c r="I203" s="355">
        <v>66</v>
      </c>
      <c r="J203" s="355">
        <v>44</v>
      </c>
      <c r="K203" s="365">
        <v>8</v>
      </c>
      <c r="L203" s="365">
        <v>9</v>
      </c>
      <c r="M203" s="365">
        <v>10</v>
      </c>
      <c r="N203" s="365">
        <v>4</v>
      </c>
      <c r="O203" s="363">
        <v>10</v>
      </c>
    </row>
    <row r="204" spans="1:15" ht="26">
      <c r="A204" s="295" t="s">
        <v>675</v>
      </c>
      <c r="B204" s="354" t="s">
        <v>165</v>
      </c>
      <c r="C204" s="332">
        <v>88</v>
      </c>
      <c r="D204" s="355">
        <v>96</v>
      </c>
      <c r="E204" s="355">
        <v>87</v>
      </c>
      <c r="F204" s="332"/>
      <c r="G204" s="332">
        <v>77</v>
      </c>
      <c r="H204" s="355">
        <v>79</v>
      </c>
      <c r="I204" s="355">
        <v>76</v>
      </c>
      <c r="J204" s="355">
        <v>54</v>
      </c>
      <c r="K204" s="365">
        <v>4</v>
      </c>
      <c r="L204" s="365">
        <v>6</v>
      </c>
      <c r="M204" s="365"/>
      <c r="N204" s="365"/>
      <c r="O204" s="363"/>
    </row>
    <row r="205" spans="1:15" ht="26">
      <c r="A205" s="295" t="s">
        <v>675</v>
      </c>
      <c r="B205" s="354" t="s">
        <v>177</v>
      </c>
      <c r="C205" s="332"/>
      <c r="D205" s="355">
        <v>115</v>
      </c>
      <c r="E205" s="355">
        <v>104</v>
      </c>
      <c r="F205" s="332"/>
      <c r="G205" s="332"/>
      <c r="H205" s="355">
        <v>96</v>
      </c>
      <c r="I205" s="355">
        <v>87</v>
      </c>
      <c r="J205" s="355">
        <v>69</v>
      </c>
      <c r="K205" s="365"/>
      <c r="L205" s="365"/>
      <c r="M205" s="365"/>
      <c r="N205" s="365">
        <v>24</v>
      </c>
      <c r="O205" s="363"/>
    </row>
    <row r="206" spans="1:15" ht="26">
      <c r="A206" s="295" t="s">
        <v>675</v>
      </c>
      <c r="B206" s="354" t="s">
        <v>183</v>
      </c>
      <c r="C206" s="332"/>
      <c r="D206" s="355">
        <v>161</v>
      </c>
      <c r="E206" s="355">
        <v>148</v>
      </c>
      <c r="F206" s="332"/>
      <c r="G206" s="332"/>
      <c r="H206" s="355">
        <v>140</v>
      </c>
      <c r="I206" s="355">
        <v>128</v>
      </c>
      <c r="J206" s="355">
        <v>109</v>
      </c>
      <c r="K206" s="365"/>
      <c r="L206" s="365"/>
      <c r="M206" s="365"/>
      <c r="N206" s="365">
        <v>47</v>
      </c>
      <c r="O206" s="363"/>
    </row>
    <row r="207" spans="1:15" ht="26">
      <c r="A207" s="295" t="s">
        <v>675</v>
      </c>
      <c r="B207" s="354" t="s">
        <v>188</v>
      </c>
      <c r="C207" s="332"/>
      <c r="D207" s="332"/>
      <c r="E207" s="355">
        <v>159</v>
      </c>
      <c r="F207" s="332"/>
      <c r="G207" s="332"/>
      <c r="H207" s="355">
        <v>152</v>
      </c>
      <c r="I207" s="355">
        <v>132</v>
      </c>
      <c r="J207" s="355">
        <v>119</v>
      </c>
      <c r="K207" s="365"/>
      <c r="L207" s="365"/>
      <c r="M207" s="365"/>
      <c r="N207" s="365"/>
      <c r="O207" s="363"/>
    </row>
    <row r="208" spans="1:15" ht="26">
      <c r="A208" s="295" t="s">
        <v>676</v>
      </c>
      <c r="B208" s="354" t="s">
        <v>148</v>
      </c>
      <c r="C208" s="332">
        <v>70</v>
      </c>
      <c r="D208" s="355">
        <v>79</v>
      </c>
      <c r="E208" s="355">
        <v>72</v>
      </c>
      <c r="F208" s="332">
        <v>69</v>
      </c>
      <c r="G208" s="332">
        <v>60</v>
      </c>
      <c r="H208" s="355">
        <v>64</v>
      </c>
      <c r="I208" s="355">
        <v>66</v>
      </c>
      <c r="J208" s="355">
        <v>44</v>
      </c>
      <c r="K208" s="365">
        <v>8</v>
      </c>
      <c r="L208" s="365">
        <v>9</v>
      </c>
      <c r="M208" s="365">
        <v>10</v>
      </c>
      <c r="N208" s="365">
        <v>4</v>
      </c>
      <c r="O208" s="363">
        <v>10</v>
      </c>
    </row>
    <row r="209" spans="1:15" ht="26">
      <c r="A209" s="295" t="s">
        <v>676</v>
      </c>
      <c r="B209" s="354" t="s">
        <v>165</v>
      </c>
      <c r="C209" s="332">
        <v>88</v>
      </c>
      <c r="D209" s="355">
        <v>96</v>
      </c>
      <c r="E209" s="355">
        <v>87</v>
      </c>
      <c r="F209" s="332"/>
      <c r="G209" s="332">
        <v>77</v>
      </c>
      <c r="H209" s="355">
        <v>79</v>
      </c>
      <c r="I209" s="355">
        <v>76</v>
      </c>
      <c r="J209" s="355">
        <v>54</v>
      </c>
      <c r="K209" s="365">
        <v>4</v>
      </c>
      <c r="L209" s="365">
        <v>6</v>
      </c>
      <c r="M209" s="365"/>
      <c r="N209" s="365"/>
      <c r="O209" s="363"/>
    </row>
    <row r="210" spans="1:15" ht="26">
      <c r="A210" s="295" t="s">
        <v>676</v>
      </c>
      <c r="B210" s="354" t="s">
        <v>177</v>
      </c>
      <c r="C210" s="332"/>
      <c r="D210" s="355">
        <v>115</v>
      </c>
      <c r="E210" s="355">
        <v>104</v>
      </c>
      <c r="F210" s="332"/>
      <c r="G210" s="332"/>
      <c r="H210" s="355">
        <v>96</v>
      </c>
      <c r="I210" s="355">
        <v>87</v>
      </c>
      <c r="J210" s="355">
        <v>69</v>
      </c>
      <c r="K210" s="365"/>
      <c r="L210" s="365"/>
      <c r="M210" s="365"/>
      <c r="N210" s="365">
        <v>24</v>
      </c>
      <c r="O210" s="363"/>
    </row>
    <row r="211" spans="1:15" ht="26">
      <c r="A211" s="295" t="s">
        <v>676</v>
      </c>
      <c r="B211" s="354" t="s">
        <v>183</v>
      </c>
      <c r="C211" s="332"/>
      <c r="D211" s="355">
        <v>161</v>
      </c>
      <c r="E211" s="355">
        <v>148</v>
      </c>
      <c r="F211" s="332"/>
      <c r="G211" s="332"/>
      <c r="H211" s="355">
        <v>140</v>
      </c>
      <c r="I211" s="355">
        <v>128</v>
      </c>
      <c r="J211" s="355">
        <v>109</v>
      </c>
      <c r="K211" s="365"/>
      <c r="L211" s="365"/>
      <c r="M211" s="365"/>
      <c r="N211" s="365">
        <v>47</v>
      </c>
      <c r="O211" s="363"/>
    </row>
    <row r="212" spans="1:15" ht="26">
      <c r="A212" s="295" t="s">
        <v>676</v>
      </c>
      <c r="B212" s="354" t="s">
        <v>188</v>
      </c>
      <c r="C212" s="332"/>
      <c r="D212" s="332"/>
      <c r="E212" s="355">
        <v>159</v>
      </c>
      <c r="F212" s="332"/>
      <c r="G212" s="332"/>
      <c r="H212" s="355">
        <v>152</v>
      </c>
      <c r="I212" s="355">
        <v>132</v>
      </c>
      <c r="J212" s="355">
        <v>119</v>
      </c>
      <c r="K212" s="365"/>
      <c r="L212" s="365"/>
      <c r="M212" s="365"/>
      <c r="N212" s="365"/>
      <c r="O212" s="363"/>
    </row>
    <row r="213" spans="1:15" ht="26">
      <c r="A213" s="295" t="s">
        <v>677</v>
      </c>
      <c r="B213" s="354" t="s">
        <v>148</v>
      </c>
      <c r="C213" s="361">
        <v>57</v>
      </c>
      <c r="D213" s="361">
        <v>66</v>
      </c>
      <c r="E213" s="361">
        <v>62</v>
      </c>
      <c r="F213" s="361">
        <v>57</v>
      </c>
      <c r="G213" s="361">
        <v>50</v>
      </c>
      <c r="H213" s="361">
        <v>56</v>
      </c>
      <c r="I213" s="361">
        <v>63</v>
      </c>
      <c r="J213" s="361">
        <v>40</v>
      </c>
      <c r="K213" s="382">
        <v>47</v>
      </c>
      <c r="L213" s="382">
        <v>54</v>
      </c>
      <c r="M213" s="382">
        <v>55</v>
      </c>
      <c r="N213" s="382">
        <v>27</v>
      </c>
      <c r="O213" s="382">
        <v>56</v>
      </c>
    </row>
    <row r="214" spans="1:15" ht="26">
      <c r="A214" s="295" t="s">
        <v>677</v>
      </c>
      <c r="B214" s="354" t="s">
        <v>165</v>
      </c>
      <c r="C214" s="361">
        <v>68</v>
      </c>
      <c r="D214" s="361">
        <v>77</v>
      </c>
      <c r="E214" s="361">
        <v>71</v>
      </c>
      <c r="F214" s="364"/>
      <c r="G214" s="361">
        <v>61</v>
      </c>
      <c r="H214" s="361">
        <v>64</v>
      </c>
      <c r="I214" s="361">
        <v>66</v>
      </c>
      <c r="J214" s="361">
        <v>44</v>
      </c>
      <c r="K214" s="382">
        <v>29</v>
      </c>
      <c r="L214" s="382">
        <v>37</v>
      </c>
    </row>
    <row r="215" spans="1:15" ht="26">
      <c r="A215" s="295" t="s">
        <v>677</v>
      </c>
      <c r="B215" s="354" t="s">
        <v>177</v>
      </c>
      <c r="C215" s="365"/>
      <c r="D215" s="361">
        <v>90</v>
      </c>
      <c r="E215" s="361">
        <v>81</v>
      </c>
      <c r="F215" s="364"/>
      <c r="G215" s="364"/>
      <c r="H215" s="361">
        <v>75</v>
      </c>
      <c r="I215" s="361">
        <v>68</v>
      </c>
      <c r="J215" s="361">
        <v>54</v>
      </c>
      <c r="N215" s="295">
        <v>28</v>
      </c>
    </row>
    <row r="216" spans="1:15" ht="26">
      <c r="A216" s="295" t="s">
        <v>677</v>
      </c>
      <c r="B216" s="354" t="s">
        <v>183</v>
      </c>
      <c r="C216" s="365"/>
      <c r="D216" s="361">
        <v>125</v>
      </c>
      <c r="E216" s="361">
        <v>115</v>
      </c>
      <c r="F216" s="364"/>
      <c r="G216" s="364"/>
      <c r="H216" s="361">
        <v>109</v>
      </c>
      <c r="I216" s="361">
        <v>99</v>
      </c>
      <c r="J216" s="361">
        <v>84</v>
      </c>
      <c r="N216" s="295">
        <v>49</v>
      </c>
    </row>
    <row r="217" spans="1:15" ht="26.5" thickBot="1">
      <c r="A217" s="295" t="s">
        <v>677</v>
      </c>
      <c r="B217" s="383" t="s">
        <v>188</v>
      </c>
      <c r="C217" s="384"/>
      <c r="D217" s="385"/>
      <c r="E217" s="386">
        <v>133</v>
      </c>
      <c r="F217" s="385"/>
      <c r="G217" s="385"/>
      <c r="H217" s="386">
        <v>117</v>
      </c>
      <c r="I217" s="386">
        <v>107</v>
      </c>
      <c r="J217" s="386">
        <v>92</v>
      </c>
      <c r="K217" s="384"/>
      <c r="L217" s="384"/>
      <c r="M217" s="384"/>
      <c r="N217" s="384"/>
      <c r="O217" s="387"/>
    </row>
    <row r="218" spans="1:15" ht="26">
      <c r="A218" s="295" t="s">
        <v>679</v>
      </c>
      <c r="B218" s="354" t="s">
        <v>148</v>
      </c>
      <c r="C218" s="295">
        <v>66</v>
      </c>
      <c r="D218" s="388">
        <v>76</v>
      </c>
      <c r="E218" s="388">
        <v>71</v>
      </c>
      <c r="F218" s="295">
        <v>66</v>
      </c>
      <c r="G218" s="295">
        <v>58</v>
      </c>
      <c r="H218" s="388">
        <v>64</v>
      </c>
      <c r="I218" s="388">
        <v>72</v>
      </c>
      <c r="J218" s="388">
        <v>46</v>
      </c>
      <c r="K218" s="382">
        <v>54</v>
      </c>
      <c r="L218" s="382">
        <v>62</v>
      </c>
      <c r="M218" s="382">
        <v>63</v>
      </c>
      <c r="N218" s="382">
        <v>31</v>
      </c>
      <c r="O218" s="382">
        <v>64</v>
      </c>
    </row>
    <row r="219" spans="1:15" ht="26">
      <c r="A219" s="295" t="s">
        <v>680</v>
      </c>
      <c r="B219" s="354" t="s">
        <v>165</v>
      </c>
      <c r="C219" s="295">
        <v>78</v>
      </c>
      <c r="D219" s="388">
        <v>89</v>
      </c>
      <c r="E219" s="388">
        <v>82</v>
      </c>
      <c r="G219" s="295">
        <v>70</v>
      </c>
      <c r="H219" s="388">
        <v>74</v>
      </c>
      <c r="I219" s="388">
        <v>76</v>
      </c>
      <c r="J219" s="388">
        <v>51</v>
      </c>
      <c r="K219" s="382">
        <v>33</v>
      </c>
      <c r="L219" s="382">
        <v>43</v>
      </c>
      <c r="M219" s="382"/>
    </row>
    <row r="220" spans="1:15" ht="26">
      <c r="A220" s="295" t="s">
        <v>681</v>
      </c>
      <c r="B220" s="354" t="s">
        <v>177</v>
      </c>
      <c r="D220" s="388">
        <v>104</v>
      </c>
      <c r="E220" s="388">
        <v>93</v>
      </c>
      <c r="H220" s="388">
        <v>86</v>
      </c>
      <c r="I220" s="388">
        <v>78</v>
      </c>
      <c r="J220" s="388">
        <v>62</v>
      </c>
    </row>
    <row r="221" spans="1:15" ht="26">
      <c r="A221" s="295" t="s">
        <v>682</v>
      </c>
      <c r="B221" s="354" t="s">
        <v>183</v>
      </c>
      <c r="D221" s="388">
        <v>144</v>
      </c>
      <c r="E221" s="388">
        <v>132</v>
      </c>
      <c r="H221" s="388">
        <v>125</v>
      </c>
      <c r="I221" s="388">
        <v>114</v>
      </c>
      <c r="J221" s="388">
        <v>97</v>
      </c>
      <c r="N221" s="295">
        <v>32</v>
      </c>
    </row>
    <row r="222" spans="1:15" ht="26.5" thickBot="1">
      <c r="A222" s="295" t="s">
        <v>683</v>
      </c>
      <c r="B222" s="383" t="s">
        <v>188</v>
      </c>
      <c r="E222" s="388">
        <v>153</v>
      </c>
      <c r="H222" s="388">
        <v>135</v>
      </c>
      <c r="I222" s="388">
        <v>123</v>
      </c>
      <c r="J222" s="388">
        <v>106</v>
      </c>
      <c r="N222" s="295">
        <v>56</v>
      </c>
    </row>
    <row r="223" spans="1:15" ht="26">
      <c r="A223" s="295" t="s">
        <v>688</v>
      </c>
      <c r="B223" s="354" t="s">
        <v>148</v>
      </c>
      <c r="C223" s="295">
        <v>66</v>
      </c>
      <c r="D223" s="388">
        <v>76</v>
      </c>
      <c r="E223" s="388">
        <v>71</v>
      </c>
      <c r="F223" s="295">
        <v>66</v>
      </c>
      <c r="G223" s="295">
        <v>58</v>
      </c>
      <c r="H223" s="388">
        <v>64</v>
      </c>
      <c r="I223" s="388">
        <v>72</v>
      </c>
      <c r="J223" s="388">
        <v>46</v>
      </c>
      <c r="K223" s="382">
        <v>54</v>
      </c>
      <c r="L223" s="382">
        <v>62</v>
      </c>
      <c r="M223" s="382">
        <v>63</v>
      </c>
      <c r="N223" s="382">
        <v>31</v>
      </c>
      <c r="O223" s="382">
        <v>64</v>
      </c>
    </row>
    <row r="224" spans="1:15" ht="26">
      <c r="A224" s="295" t="s">
        <v>688</v>
      </c>
      <c r="B224" s="354" t="s">
        <v>165</v>
      </c>
      <c r="C224" s="295">
        <v>78</v>
      </c>
      <c r="D224" s="388">
        <v>89</v>
      </c>
      <c r="E224" s="388">
        <v>82</v>
      </c>
      <c r="G224" s="295">
        <v>70</v>
      </c>
      <c r="H224" s="388">
        <v>74</v>
      </c>
      <c r="I224" s="388">
        <v>76</v>
      </c>
      <c r="J224" s="388">
        <v>51</v>
      </c>
      <c r="K224" s="382">
        <v>33</v>
      </c>
      <c r="L224" s="382">
        <v>43</v>
      </c>
      <c r="M224" s="382"/>
    </row>
    <row r="225" spans="1:15" ht="26">
      <c r="A225" s="295" t="s">
        <v>688</v>
      </c>
      <c r="B225" s="354" t="s">
        <v>177</v>
      </c>
      <c r="D225" s="388">
        <v>104</v>
      </c>
      <c r="E225" s="388">
        <v>93</v>
      </c>
      <c r="H225" s="388">
        <v>86</v>
      </c>
      <c r="I225" s="388">
        <v>78</v>
      </c>
      <c r="J225" s="388">
        <v>62</v>
      </c>
    </row>
    <row r="226" spans="1:15" ht="26">
      <c r="A226" s="295" t="s">
        <v>688</v>
      </c>
      <c r="B226" s="354" t="s">
        <v>183</v>
      </c>
      <c r="D226" s="388">
        <v>144</v>
      </c>
      <c r="E226" s="388">
        <v>132</v>
      </c>
      <c r="H226" s="388">
        <v>125</v>
      </c>
      <c r="I226" s="388">
        <v>114</v>
      </c>
      <c r="J226" s="388">
        <v>97</v>
      </c>
      <c r="N226" s="295">
        <v>32</v>
      </c>
    </row>
    <row r="227" spans="1:15" ht="26.5" thickBot="1">
      <c r="A227" s="295" t="s">
        <v>688</v>
      </c>
      <c r="B227" s="383" t="s">
        <v>188</v>
      </c>
      <c r="E227" s="388">
        <v>153</v>
      </c>
      <c r="H227" s="388">
        <v>135</v>
      </c>
      <c r="I227" s="388">
        <v>123</v>
      </c>
      <c r="J227" s="388">
        <v>106</v>
      </c>
      <c r="N227" s="295">
        <v>56</v>
      </c>
    </row>
    <row r="228" spans="1:15" ht="26">
      <c r="A228" s="295" t="s">
        <v>689</v>
      </c>
      <c r="B228" s="354" t="s">
        <v>148</v>
      </c>
      <c r="C228" s="295">
        <v>57</v>
      </c>
      <c r="D228" s="389">
        <v>66</v>
      </c>
      <c r="E228" s="388">
        <v>62</v>
      </c>
      <c r="F228" s="295">
        <v>57</v>
      </c>
      <c r="G228" s="295">
        <v>50</v>
      </c>
      <c r="H228" s="388">
        <v>56</v>
      </c>
      <c r="I228" s="388">
        <v>63</v>
      </c>
      <c r="J228" s="388">
        <v>40</v>
      </c>
      <c r="K228" s="382">
        <v>47</v>
      </c>
      <c r="L228" s="382">
        <v>54</v>
      </c>
      <c r="M228" s="382">
        <v>55</v>
      </c>
      <c r="N228" s="382">
        <v>27</v>
      </c>
      <c r="O228" s="382">
        <v>56</v>
      </c>
    </row>
    <row r="229" spans="1:15" ht="26">
      <c r="A229" s="295" t="s">
        <v>689</v>
      </c>
      <c r="B229" s="354" t="s">
        <v>165</v>
      </c>
      <c r="C229" s="295">
        <v>68</v>
      </c>
      <c r="D229" s="389">
        <v>77</v>
      </c>
      <c r="E229" s="388">
        <v>71</v>
      </c>
      <c r="G229" s="295">
        <v>61</v>
      </c>
      <c r="H229" s="388">
        <v>64</v>
      </c>
      <c r="I229" s="388">
        <v>66</v>
      </c>
      <c r="J229" s="388">
        <v>44</v>
      </c>
      <c r="K229" s="382">
        <v>29</v>
      </c>
      <c r="L229" s="382">
        <v>37</v>
      </c>
    </row>
    <row r="230" spans="1:15" ht="26">
      <c r="A230" s="295" t="s">
        <v>689</v>
      </c>
      <c r="B230" s="354" t="s">
        <v>177</v>
      </c>
      <c r="D230" s="389">
        <v>90</v>
      </c>
      <c r="E230" s="388">
        <v>81</v>
      </c>
      <c r="H230" s="388">
        <v>75</v>
      </c>
      <c r="I230" s="388">
        <v>68</v>
      </c>
      <c r="J230" s="388">
        <v>54</v>
      </c>
      <c r="N230" s="295">
        <v>28</v>
      </c>
    </row>
    <row r="231" spans="1:15" ht="26">
      <c r="A231" s="295" t="s">
        <v>689</v>
      </c>
      <c r="B231" s="354" t="s">
        <v>183</v>
      </c>
      <c r="D231" s="389">
        <v>125</v>
      </c>
      <c r="E231" s="388">
        <v>115</v>
      </c>
      <c r="H231" s="388">
        <v>109</v>
      </c>
      <c r="I231" s="388">
        <v>99</v>
      </c>
      <c r="J231" s="388">
        <v>84</v>
      </c>
      <c r="N231" s="295">
        <v>49</v>
      </c>
    </row>
    <row r="232" spans="1:15" ht="26.5" thickBot="1">
      <c r="A232" s="295" t="s">
        <v>689</v>
      </c>
      <c r="B232" s="383" t="s">
        <v>188</v>
      </c>
      <c r="E232" s="388">
        <v>133</v>
      </c>
      <c r="H232" s="388">
        <v>117</v>
      </c>
      <c r="I232" s="388">
        <v>107</v>
      </c>
      <c r="J232" s="388">
        <v>92</v>
      </c>
    </row>
    <row r="233" spans="1:15" ht="26">
      <c r="A233" s="295" t="s">
        <v>692</v>
      </c>
      <c r="B233" s="354" t="s">
        <v>148</v>
      </c>
      <c r="C233" s="295">
        <v>57</v>
      </c>
      <c r="D233" s="389">
        <v>66</v>
      </c>
      <c r="E233" s="388">
        <v>62</v>
      </c>
      <c r="F233" s="295">
        <v>57</v>
      </c>
      <c r="G233" s="295">
        <v>50</v>
      </c>
      <c r="H233" s="388">
        <v>56</v>
      </c>
      <c r="I233" s="388">
        <v>63</v>
      </c>
      <c r="J233" s="388">
        <v>40</v>
      </c>
      <c r="K233" s="382">
        <v>47</v>
      </c>
      <c r="L233" s="382">
        <v>54</v>
      </c>
      <c r="M233" s="382">
        <v>55</v>
      </c>
      <c r="N233" s="382">
        <v>27</v>
      </c>
      <c r="O233" s="382">
        <v>56</v>
      </c>
    </row>
    <row r="234" spans="1:15" ht="26">
      <c r="A234" s="295" t="s">
        <v>692</v>
      </c>
      <c r="B234" s="354" t="s">
        <v>165</v>
      </c>
      <c r="C234" s="295">
        <v>68</v>
      </c>
      <c r="D234" s="389">
        <v>77</v>
      </c>
      <c r="E234" s="388">
        <v>71</v>
      </c>
      <c r="G234" s="295">
        <v>61</v>
      </c>
      <c r="H234" s="388">
        <v>64</v>
      </c>
      <c r="I234" s="388">
        <v>66</v>
      </c>
      <c r="J234" s="388">
        <v>44</v>
      </c>
      <c r="K234" s="382">
        <v>29</v>
      </c>
      <c r="L234" s="382">
        <v>37</v>
      </c>
    </row>
    <row r="235" spans="1:15" ht="26">
      <c r="A235" s="295" t="s">
        <v>692</v>
      </c>
      <c r="B235" s="354" t="s">
        <v>177</v>
      </c>
      <c r="D235" s="389">
        <v>90</v>
      </c>
      <c r="E235" s="388">
        <v>81</v>
      </c>
      <c r="H235" s="388">
        <v>75</v>
      </c>
      <c r="I235" s="388">
        <v>68</v>
      </c>
      <c r="J235" s="388">
        <v>54</v>
      </c>
      <c r="N235" s="295">
        <v>28</v>
      </c>
    </row>
    <row r="236" spans="1:15" ht="26">
      <c r="A236" s="295" t="s">
        <v>692</v>
      </c>
      <c r="B236" s="354" t="s">
        <v>183</v>
      </c>
      <c r="D236" s="389">
        <v>125</v>
      </c>
      <c r="E236" s="388">
        <v>115</v>
      </c>
      <c r="H236" s="388">
        <v>109</v>
      </c>
      <c r="I236" s="388">
        <v>99</v>
      </c>
      <c r="J236" s="388">
        <v>84</v>
      </c>
      <c r="N236" s="295">
        <v>49</v>
      </c>
    </row>
    <row r="237" spans="1:15" ht="26.5" thickBot="1">
      <c r="A237" s="295" t="s">
        <v>692</v>
      </c>
      <c r="B237" s="383" t="s">
        <v>188</v>
      </c>
      <c r="E237" s="388">
        <v>133</v>
      </c>
      <c r="H237" s="388">
        <v>117</v>
      </c>
      <c r="I237" s="388">
        <v>107</v>
      </c>
      <c r="J237" s="388">
        <v>92</v>
      </c>
    </row>
    <row r="238" spans="1:15" ht="26">
      <c r="A238" s="295" t="s">
        <v>693</v>
      </c>
      <c r="B238" s="354" t="s">
        <v>148</v>
      </c>
      <c r="C238" s="295">
        <v>70</v>
      </c>
      <c r="D238" s="389">
        <v>79</v>
      </c>
      <c r="E238" s="388">
        <v>72</v>
      </c>
      <c r="F238" s="295">
        <v>69</v>
      </c>
      <c r="G238" s="295">
        <v>60</v>
      </c>
      <c r="H238" s="295">
        <v>60</v>
      </c>
      <c r="I238" s="388">
        <v>66</v>
      </c>
      <c r="J238" s="388">
        <v>44</v>
      </c>
      <c r="K238" s="295">
        <v>8</v>
      </c>
      <c r="L238" s="295">
        <v>9</v>
      </c>
      <c r="M238" s="295">
        <v>10</v>
      </c>
      <c r="N238" s="295">
        <v>4</v>
      </c>
      <c r="O238" s="295">
        <v>10</v>
      </c>
    </row>
    <row r="239" spans="1:15" ht="26">
      <c r="A239" s="295" t="s">
        <v>693</v>
      </c>
      <c r="B239" s="354" t="s">
        <v>165</v>
      </c>
      <c r="C239" s="295">
        <v>88</v>
      </c>
      <c r="D239" s="389">
        <v>96</v>
      </c>
      <c r="E239" s="388">
        <v>87</v>
      </c>
      <c r="G239" s="295">
        <v>77</v>
      </c>
      <c r="H239" s="295">
        <v>79</v>
      </c>
      <c r="I239" s="388">
        <v>76</v>
      </c>
      <c r="J239" s="388">
        <v>54</v>
      </c>
      <c r="K239" s="295">
        <v>4</v>
      </c>
      <c r="L239" s="295">
        <v>6</v>
      </c>
    </row>
    <row r="240" spans="1:15" ht="26">
      <c r="A240" s="295" t="s">
        <v>693</v>
      </c>
      <c r="B240" s="354" t="s">
        <v>177</v>
      </c>
      <c r="D240" s="389">
        <v>115</v>
      </c>
      <c r="E240" s="388">
        <v>104</v>
      </c>
      <c r="H240" s="295">
        <v>96</v>
      </c>
      <c r="I240" s="388">
        <v>87</v>
      </c>
      <c r="J240" s="388">
        <v>59</v>
      </c>
      <c r="N240" s="295">
        <v>24</v>
      </c>
    </row>
    <row r="241" spans="1:15" ht="26">
      <c r="A241" s="295" t="s">
        <v>693</v>
      </c>
      <c r="B241" s="354" t="s">
        <v>183</v>
      </c>
      <c r="D241" s="389">
        <v>161</v>
      </c>
      <c r="E241" s="388">
        <v>148</v>
      </c>
      <c r="H241" s="295">
        <v>140</v>
      </c>
      <c r="I241" s="388">
        <v>128</v>
      </c>
      <c r="J241" s="388">
        <v>109</v>
      </c>
      <c r="N241" s="295">
        <v>47</v>
      </c>
    </row>
    <row r="242" spans="1:15" ht="26.5" thickBot="1">
      <c r="A242" s="295" t="s">
        <v>693</v>
      </c>
      <c r="B242" s="383" t="s">
        <v>188</v>
      </c>
      <c r="E242" s="388">
        <v>159</v>
      </c>
      <c r="H242" s="295">
        <v>152</v>
      </c>
      <c r="I242" s="388">
        <v>138</v>
      </c>
      <c r="J242" s="388">
        <v>119</v>
      </c>
    </row>
    <row r="243" spans="1:15" ht="26">
      <c r="A243" s="295" t="s">
        <v>694</v>
      </c>
      <c r="B243" s="354" t="s">
        <v>148</v>
      </c>
      <c r="C243" s="295">
        <v>70</v>
      </c>
      <c r="D243" s="389">
        <v>79</v>
      </c>
      <c r="E243" s="388">
        <v>72</v>
      </c>
      <c r="F243" s="295">
        <v>69</v>
      </c>
      <c r="G243" s="295">
        <v>60</v>
      </c>
      <c r="H243" s="295">
        <v>60</v>
      </c>
      <c r="I243" s="388">
        <v>66</v>
      </c>
      <c r="J243" s="388">
        <v>44</v>
      </c>
      <c r="K243" s="295">
        <v>8</v>
      </c>
      <c r="L243" s="295">
        <v>9</v>
      </c>
      <c r="M243" s="295">
        <v>10</v>
      </c>
      <c r="N243" s="295">
        <v>4</v>
      </c>
      <c r="O243" s="295">
        <v>10</v>
      </c>
    </row>
    <row r="244" spans="1:15" ht="26">
      <c r="A244" s="295" t="s">
        <v>694</v>
      </c>
      <c r="B244" s="354" t="s">
        <v>165</v>
      </c>
      <c r="C244" s="295">
        <v>88</v>
      </c>
      <c r="D244" s="389">
        <v>96</v>
      </c>
      <c r="E244" s="388">
        <v>87</v>
      </c>
      <c r="G244" s="295">
        <v>77</v>
      </c>
      <c r="H244" s="295">
        <v>79</v>
      </c>
      <c r="I244" s="388">
        <v>76</v>
      </c>
      <c r="J244" s="388">
        <v>54</v>
      </c>
      <c r="K244" s="295">
        <v>4</v>
      </c>
      <c r="L244" s="295">
        <v>6</v>
      </c>
    </row>
    <row r="245" spans="1:15" ht="26">
      <c r="A245" s="295" t="s">
        <v>694</v>
      </c>
      <c r="B245" s="354" t="s">
        <v>177</v>
      </c>
      <c r="D245" s="389">
        <v>115</v>
      </c>
      <c r="E245" s="388">
        <v>104</v>
      </c>
      <c r="H245" s="295">
        <v>96</v>
      </c>
      <c r="I245" s="388">
        <v>87</v>
      </c>
      <c r="J245" s="388">
        <v>59</v>
      </c>
      <c r="N245" s="295">
        <v>24</v>
      </c>
    </row>
    <row r="246" spans="1:15" ht="26">
      <c r="A246" s="295" t="s">
        <v>694</v>
      </c>
      <c r="B246" s="354" t="s">
        <v>183</v>
      </c>
      <c r="D246" s="389">
        <v>161</v>
      </c>
      <c r="E246" s="388">
        <v>148</v>
      </c>
      <c r="H246" s="295">
        <v>140</v>
      </c>
      <c r="I246" s="388">
        <v>128</v>
      </c>
      <c r="J246" s="388">
        <v>109</v>
      </c>
      <c r="N246" s="295">
        <v>47</v>
      </c>
    </row>
    <row r="247" spans="1:15" ht="26.5" thickBot="1">
      <c r="A247" s="295" t="s">
        <v>694</v>
      </c>
      <c r="B247" s="383" t="s">
        <v>188</v>
      </c>
      <c r="E247" s="388">
        <v>159</v>
      </c>
      <c r="H247" s="295">
        <v>152</v>
      </c>
      <c r="I247" s="388">
        <v>138</v>
      </c>
      <c r="J247" s="388">
        <v>119</v>
      </c>
    </row>
  </sheetData>
  <mergeCells count="1">
    <mergeCell ref="C1:O1"/>
  </mergeCells>
  <conditionalFormatting sqref="C3:O212 C213:J216 C217:O217 N218:O218 K218:M219 D218:E221 E222">
    <cfRule type="cellIs" dxfId="176" priority="5" operator="equal">
      <formula>C3="&lt;&gt;"</formula>
    </cfRule>
  </conditionalFormatting>
  <conditionalFormatting sqref="H218:J237 M233:O233 K233:L234 D233:D236 D238:D241 E227:E242 I238:J242">
    <cfRule type="cellIs" dxfId="175" priority="3" operator="equal">
      <formula>D218="&lt;&gt;"</formula>
    </cfRule>
  </conditionalFormatting>
  <conditionalFormatting sqref="M213:O213 K213:L214">
    <cfRule type="cellIs" dxfId="174" priority="2" operator="equal">
      <formula>K213="&lt;&gt;"</formula>
    </cfRule>
  </conditionalFormatting>
  <conditionalFormatting sqref="N223:O223 K223:M224 D223:E226 M228:O228 K228:L229 D228:D231">
    <cfRule type="cellIs" dxfId="173" priority="4" operator="equal">
      <formula>D223="&lt;&gt;"</formula>
    </cfRule>
  </conditionalFormatting>
  <conditionalFormatting sqref="D243:D246 E243:E247 I243:J247">
    <cfRule type="cellIs" dxfId="172" priority="1" operator="equal">
      <formula>D243="&lt;&gt;"</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1">
    <tabColor rgb="FF92D050"/>
  </sheetPr>
  <dimension ref="A1:P41"/>
  <sheetViews>
    <sheetView workbookViewId="0">
      <selection activeCell="K21" sqref="K21"/>
    </sheetView>
  </sheetViews>
  <sheetFormatPr baseColWidth="10" defaultColWidth="0" defaultRowHeight="15" customHeight="1" zeroHeight="1"/>
  <cols>
    <col min="1" max="11" width="11.453125" style="38" customWidth="1"/>
    <col min="12" max="12" width="11.453125" hidden="1" customWidth="1"/>
    <col min="13" max="13" width="21" hidden="1" customWidth="1"/>
    <col min="14" max="16" width="10.81640625" hidden="1" customWidth="1"/>
    <col min="17" max="16384" width="11.453125" hidden="1"/>
  </cols>
  <sheetData>
    <row r="1" spans="2:14" ht="14.5"/>
    <row r="2" spans="2:14" ht="14.5">
      <c r="B2" s="107" t="s">
        <v>0</v>
      </c>
      <c r="C2" s="560">
        <f>Site!C2</f>
        <v>0</v>
      </c>
      <c r="D2" s="560"/>
      <c r="E2" s="560"/>
    </row>
    <row r="3" spans="2:14" ht="14.5">
      <c r="M3" s="180" t="s">
        <v>19</v>
      </c>
      <c r="N3" s="503" t="s" vm="4">
        <v>891</v>
      </c>
    </row>
    <row r="4" spans="2:14" ht="14.5"/>
    <row r="5" spans="2:14" ht="14.5">
      <c r="M5" s="180" t="s">
        <v>64</v>
      </c>
      <c r="N5" t="s">
        <v>903</v>
      </c>
    </row>
    <row r="6" spans="2:14" ht="14.5">
      <c r="M6" s="89" t="s">
        <v>848</v>
      </c>
      <c r="N6" s="81">
        <v>81.307282913165395</v>
      </c>
    </row>
    <row r="7" spans="2:14" ht="14.5">
      <c r="M7" s="89" t="s">
        <v>849</v>
      </c>
      <c r="N7" s="81">
        <v>57.03157163902636</v>
      </c>
    </row>
    <row r="8" spans="2:14" ht="14.5">
      <c r="M8" s="89" t="s">
        <v>850</v>
      </c>
      <c r="N8" s="81">
        <v>41.725814998090662</v>
      </c>
    </row>
    <row r="9" spans="2:14" ht="14.5">
      <c r="M9" s="89" t="s">
        <v>851</v>
      </c>
      <c r="N9" s="81">
        <v>39.871278131836682</v>
      </c>
    </row>
    <row r="10" spans="2:14" ht="14.5">
      <c r="M10" s="89" t="s">
        <v>852</v>
      </c>
      <c r="N10" s="81">
        <v>40.856919569638507</v>
      </c>
    </row>
    <row r="11" spans="2:14" ht="14.5">
      <c r="M11" s="89" t="s">
        <v>89</v>
      </c>
      <c r="N11" s="81">
        <v>50.101842038436615</v>
      </c>
    </row>
    <row r="12" spans="2:14" ht="14.5"/>
    <row r="13" spans="2:14" ht="14.5"/>
    <row r="14" spans="2:14" ht="14.5"/>
    <row r="15" spans="2:14" ht="14.5"/>
    <row r="16" spans="2:14" ht="14.5"/>
    <row r="17" spans="9:12" ht="14.5"/>
    <row r="18" spans="9:12" ht="14.5"/>
    <row r="19" spans="9:12" ht="14.5"/>
    <row r="20" spans="9:12" ht="14.5"/>
    <row r="21" spans="9:12" ht="14.5">
      <c r="I21" s="119" t="s">
        <v>92</v>
      </c>
    </row>
    <row r="22" spans="9:12" ht="14.5">
      <c r="I22" s="109" t="s">
        <v>886</v>
      </c>
      <c r="J22" s="38" t="str" cm="1" vm="9">
        <f t="array" ref="J22">CUBERANKEDMEMBER("ThisWorkbookDataModel",Segment_Nom,1)</f>
        <v>Elec Générale (Factures)</v>
      </c>
    </row>
    <row r="23" spans="9:12" ht="14.5">
      <c r="I23" s="109" t="s">
        <v>887</v>
      </c>
      <c r="J23" s="38" t="str">
        <f>VLOOKUP($J$22,Site!$C$38:$H$45,ROW(I23)-ROW($I$22)+1,0)</f>
        <v>Consommation</v>
      </c>
    </row>
    <row r="24" spans="9:12" ht="14.5">
      <c r="I24" s="109" t="s">
        <v>888</v>
      </c>
      <c r="J24" s="38" t="str">
        <f>VLOOKUP($J$22,Site!$C$38:$H$45,ROW(I24)-ROW($I$22)+1,0)</f>
        <v>Electricité</v>
      </c>
    </row>
    <row r="25" spans="9:12" ht="14.5">
      <c r="I25" s="109" t="s">
        <v>889</v>
      </c>
      <c r="J25" s="38" t="str">
        <f>VLOOKUP($J$22,Site!$C$38:$H$45,ROW(I25)-ROW($I$22)+1,0)</f>
        <v>Elec_Général</v>
      </c>
    </row>
    <row r="26" spans="9:12" ht="14.5">
      <c r="I26" s="109" t="s">
        <v>890</v>
      </c>
      <c r="J26" s="38" t="str">
        <f>VLOOKUP($J$22,Site!$C$38:$H$45,ROW(I26)-ROW($I$22)+1,0)</f>
        <v>Electricité (kWh)</v>
      </c>
      <c r="K26" s="118"/>
      <c r="L26" s="118"/>
    </row>
    <row r="27" spans="9:12" ht="14.5">
      <c r="I27"/>
      <c r="K27" s="118"/>
      <c r="L27" s="118"/>
    </row>
    <row r="28" spans="9:12" ht="14.5">
      <c r="I28" s="118"/>
      <c r="J28" s="118"/>
      <c r="K28" s="118"/>
      <c r="L28" s="118"/>
    </row>
    <row r="29" spans="9:12" ht="14.5">
      <c r="J29" s="118"/>
      <c r="K29" s="118"/>
      <c r="L29" s="118"/>
    </row>
    <row r="30" spans="9:12" ht="14.5">
      <c r="I30" s="118"/>
      <c r="J30" s="118"/>
      <c r="K30" s="118"/>
      <c r="L30" s="118"/>
    </row>
    <row r="31" spans="9:12" ht="14.5">
      <c r="I31" s="118"/>
      <c r="J31" s="118"/>
      <c r="K31" s="118"/>
      <c r="L31" s="118"/>
    </row>
    <row r="32" spans="9:12" ht="14.5">
      <c r="I32" s="118"/>
      <c r="J32" s="118"/>
      <c r="K32" s="118"/>
      <c r="L32" s="118"/>
    </row>
    <row r="33" spans="9:12" ht="14.5">
      <c r="I33" s="118"/>
      <c r="J33" s="118"/>
      <c r="K33" s="118"/>
      <c r="L33" s="118"/>
    </row>
    <row r="34" spans="9:12" ht="14.5" hidden="1">
      <c r="I34" s="118"/>
      <c r="J34" s="118"/>
      <c r="K34" s="118"/>
      <c r="L34" s="118"/>
    </row>
    <row r="35" spans="9:12" ht="14.5" hidden="1">
      <c r="I35" s="118"/>
      <c r="J35" s="118"/>
      <c r="K35" s="118"/>
      <c r="L35" s="118"/>
    </row>
    <row r="36" spans="9:12" ht="14.5" hidden="1">
      <c r="I36" s="118"/>
      <c r="J36" s="118"/>
      <c r="K36" s="118"/>
      <c r="L36" s="118"/>
    </row>
    <row r="37" spans="9:12" ht="14.5" hidden="1">
      <c r="I37" s="118"/>
      <c r="J37" s="118"/>
      <c r="K37" s="118"/>
      <c r="L37" s="118"/>
    </row>
    <row r="38" spans="9:12" ht="14.5" hidden="1">
      <c r="I38" s="118"/>
      <c r="J38" s="118"/>
      <c r="K38" s="118"/>
      <c r="L38" s="118"/>
    </row>
    <row r="39" spans="9:12" ht="14.5" hidden="1">
      <c r="I39" s="118"/>
      <c r="J39" s="118"/>
      <c r="K39" s="118"/>
      <c r="L39" s="118"/>
    </row>
    <row r="40" spans="9:12" ht="14.5" hidden="1">
      <c r="I40" s="118"/>
      <c r="J40" s="118"/>
      <c r="K40" s="118"/>
      <c r="L40" s="118"/>
    </row>
    <row r="41" spans="9:12" ht="14.5" hidden="1">
      <c r="I41" s="118"/>
      <c r="J41" s="118"/>
      <c r="K41" s="118"/>
      <c r="L41" s="118"/>
    </row>
  </sheetData>
  <sheetProtection pivotTables="0"/>
  <protectedRanges>
    <protectedRange sqref="C2:E2" name="Plage1"/>
  </protectedRanges>
  <mergeCells count="1">
    <mergeCell ref="C2:E2"/>
  </mergeCells>
  <pageMargins left="0.7" right="0.7" top="0.75" bottom="0.75" header="0.3" footer="0.3"/>
  <pageSetup paperSize="9" orientation="landscape"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9"/>
  <dimension ref="A4:J45"/>
  <sheetViews>
    <sheetView workbookViewId="0">
      <selection activeCell="B29" sqref="B29"/>
    </sheetView>
  </sheetViews>
  <sheetFormatPr baseColWidth="10" defaultColWidth="11.453125" defaultRowHeight="14.5"/>
  <cols>
    <col min="1" max="1" width="23" customWidth="1"/>
    <col min="2" max="2" width="20.453125" customWidth="1"/>
    <col min="3" max="3" width="21.7265625" customWidth="1"/>
    <col min="4" max="5" width="23.7265625" customWidth="1"/>
    <col min="6" max="6" width="12.453125" customWidth="1"/>
  </cols>
  <sheetData>
    <row r="4" spans="1:10">
      <c r="A4" t="s">
        <v>287</v>
      </c>
    </row>
    <row r="5" spans="1:10" ht="15" thickBot="1">
      <c r="A5" t="s">
        <v>287</v>
      </c>
    </row>
    <row r="6" spans="1:10">
      <c r="B6" s="33" t="s">
        <v>288</v>
      </c>
      <c r="C6" s="34" t="s">
        <v>20</v>
      </c>
      <c r="D6" s="35" t="s">
        <v>21</v>
      </c>
      <c r="E6" s="35" t="s">
        <v>22</v>
      </c>
      <c r="F6" s="36" t="s">
        <v>96</v>
      </c>
      <c r="G6" s="46" t="s">
        <v>159</v>
      </c>
      <c r="H6" s="46" t="s">
        <v>160</v>
      </c>
      <c r="I6" s="46" t="s">
        <v>19</v>
      </c>
      <c r="J6" s="46" t="s">
        <v>864</v>
      </c>
    </row>
    <row r="7" spans="1:10">
      <c r="B7" s="45" t="s">
        <v>289</v>
      </c>
      <c r="C7" t="str">
        <f>Site!D38</f>
        <v>Consommation</v>
      </c>
      <c r="D7" t="str">
        <f>Site!E38</f>
        <v>Electricité</v>
      </c>
      <c r="E7" t="str">
        <f>Site!F38</f>
        <v>Elec_Général</v>
      </c>
      <c r="F7" t="str">
        <f>Site!G38</f>
        <v>Electricité (kWh)</v>
      </c>
      <c r="G7">
        <f>IFERROR(VLOOKUP(F7,Liste!$A$5:$H$19,2,FALSE),0)</f>
        <v>1</v>
      </c>
      <c r="H7">
        <f>IFERROR(VLOOKUP(F7,Liste!$A$5:$H$19,3,FALSE),0)</f>
        <v>1</v>
      </c>
      <c r="I7" s="45" t="str">
        <f>Site!C38</f>
        <v>Elec Générale (Factures)</v>
      </c>
      <c r="J7">
        <f>IFERROR(VLOOKUP(F7,Liste!$A$5:$H$19,7,FALSE),0)</f>
        <v>1.9</v>
      </c>
    </row>
    <row r="8" spans="1:10">
      <c r="B8" s="45" t="s">
        <v>290</v>
      </c>
      <c r="C8" t="str">
        <f>Site!D39</f>
        <v>Consommation</v>
      </c>
      <c r="D8" t="str">
        <f>Site!E39</f>
        <v>Chaleur</v>
      </c>
      <c r="E8" t="str">
        <f>Site!F39</f>
        <v>ECS, Chauffage et Cuisson</v>
      </c>
      <c r="F8" t="str">
        <f>Site!G39</f>
        <v>Gaz naturel (kWh)</v>
      </c>
      <c r="G8">
        <f>IFERROR(VLOOKUP(F8,Liste!$A$5:$H$19,2,FALSE),0)</f>
        <v>0.90090090090090102</v>
      </c>
      <c r="H8">
        <f>IFERROR(VLOOKUP(F8,Liste!$A$5:$H$19,3,FALSE),0)</f>
        <v>0.9009009009009008</v>
      </c>
      <c r="I8" s="45" t="str">
        <f>Site!C39</f>
        <v>Chaleur Générale (factures)</v>
      </c>
      <c r="J8">
        <f>IFERROR(VLOOKUP(F8,Liste!$A$5:$H$19,7,FALSE),0)</f>
        <v>1.1100000000000001</v>
      </c>
    </row>
    <row r="9" spans="1:10">
      <c r="B9" s="45" t="s">
        <v>291</v>
      </c>
      <c r="C9" t="str">
        <f>Site!D40</f>
        <v>Consommation</v>
      </c>
      <c r="D9" t="str">
        <f>Site!E40</f>
        <v>Eau</v>
      </c>
      <c r="E9" t="str">
        <f>Site!F40</f>
        <v>General EF</v>
      </c>
      <c r="F9" t="str">
        <f>Site!G40</f>
        <v>Eau (m3)</v>
      </c>
      <c r="G9">
        <f>IFERROR(VLOOKUP(F9,Liste!$A$5:$H$19,2,FALSE),0)</f>
        <v>0</v>
      </c>
      <c r="H9">
        <f>IFERROR(VLOOKUP(F9,Liste!$A$5:$H$19,3,FALSE),0)</f>
        <v>0</v>
      </c>
      <c r="I9" s="45" t="str">
        <f>Site!C40</f>
        <v>Eau Générale (factures)</v>
      </c>
      <c r="J9">
        <f>IFERROR(VLOOKUP(F9,Liste!$A$5:$H$19,7,FALSE),0)</f>
        <v>0</v>
      </c>
    </row>
    <row r="10" spans="1:10">
      <c r="B10" s="45" t="s">
        <v>292</v>
      </c>
      <c r="C10">
        <f>Site!D41</f>
        <v>0</v>
      </c>
      <c r="D10">
        <f>Site!E41</f>
        <v>0</v>
      </c>
      <c r="E10">
        <f>Site!F41</f>
        <v>0</v>
      </c>
      <c r="F10">
        <f>Site!G41</f>
        <v>0</v>
      </c>
      <c r="G10">
        <f>IFERROR(VLOOKUP(F10,Liste!$A$5:$H$19,2,FALSE),0)</f>
        <v>0</v>
      </c>
      <c r="H10">
        <f>IFERROR(VLOOKUP(F10,Liste!$A$5:$H$19,3,FALSE),0)</f>
        <v>0</v>
      </c>
      <c r="I10" s="45">
        <f>Site!C41</f>
        <v>0</v>
      </c>
      <c r="J10">
        <f>IFERROR(VLOOKUP(F10,Liste!$A$5:$H$19,7,FALSE),0)</f>
        <v>0</v>
      </c>
    </row>
    <row r="11" spans="1:10">
      <c r="B11" s="45" t="s">
        <v>293</v>
      </c>
      <c r="C11">
        <f>Site!D42</f>
        <v>0</v>
      </c>
      <c r="D11">
        <f>Site!E42</f>
        <v>0</v>
      </c>
      <c r="E11">
        <f>Site!F42</f>
        <v>0</v>
      </c>
      <c r="F11">
        <f>Site!G42</f>
        <v>0</v>
      </c>
      <c r="G11">
        <f>IFERROR(VLOOKUP(F11,Liste!$A$5:$H$19,2,FALSE),0)</f>
        <v>0</v>
      </c>
      <c r="H11">
        <f>IFERROR(VLOOKUP(F11,Liste!$A$5:$H$19,3,FALSE),0)</f>
        <v>0</v>
      </c>
      <c r="I11" s="45">
        <f>Site!C42</f>
        <v>0</v>
      </c>
      <c r="J11">
        <f>IFERROR(VLOOKUP(F11,Liste!$A$5:$H$19,7,FALSE),0)</f>
        <v>0</v>
      </c>
    </row>
    <row r="12" spans="1:10">
      <c r="B12" s="45" t="s">
        <v>294</v>
      </c>
      <c r="C12">
        <f>Site!D43</f>
        <v>0</v>
      </c>
      <c r="D12">
        <f>Site!E43</f>
        <v>0</v>
      </c>
      <c r="E12">
        <f>Site!F43</f>
        <v>0</v>
      </c>
      <c r="F12">
        <f>Site!G43</f>
        <v>0</v>
      </c>
      <c r="G12">
        <f>IFERROR(VLOOKUP(F12,Liste!$A$5:$H$19,2,FALSE),0)</f>
        <v>0</v>
      </c>
      <c r="H12">
        <f>IFERROR(VLOOKUP(F12,Liste!$A$5:$H$19,3,FALSE),0)</f>
        <v>0</v>
      </c>
      <c r="I12" s="45">
        <f>Site!C43</f>
        <v>0</v>
      </c>
      <c r="J12">
        <f>IFERROR(VLOOKUP(F12,Liste!$A$5:$H$19,7,FALSE),0)</f>
        <v>0</v>
      </c>
    </row>
    <row r="13" spans="1:10">
      <c r="B13" s="45" t="s">
        <v>295</v>
      </c>
      <c r="C13">
        <f>Site!D44</f>
        <v>0</v>
      </c>
      <c r="D13">
        <f>Site!E44</f>
        <v>0</v>
      </c>
      <c r="E13">
        <f>Site!F44</f>
        <v>0</v>
      </c>
      <c r="F13">
        <f>Site!G44</f>
        <v>0</v>
      </c>
      <c r="G13">
        <f>IFERROR(VLOOKUP(F13,Liste!$A$5:$H$19,2,FALSE),0)</f>
        <v>0</v>
      </c>
      <c r="H13">
        <f>IFERROR(VLOOKUP(F13,Liste!$A$5:$H$19,3,FALSE),0)</f>
        <v>0</v>
      </c>
      <c r="I13" s="45">
        <f>Site!C44</f>
        <v>0</v>
      </c>
      <c r="J13">
        <f>IFERROR(VLOOKUP(F13,Liste!$A$5:$H$19,7,FALSE),0)</f>
        <v>0</v>
      </c>
    </row>
    <row r="14" spans="1:10">
      <c r="B14" s="45" t="s">
        <v>296</v>
      </c>
      <c r="C14">
        <f>Site!D45</f>
        <v>0</v>
      </c>
      <c r="D14">
        <f>Site!E45</f>
        <v>0</v>
      </c>
      <c r="E14">
        <f>Site!F45</f>
        <v>0</v>
      </c>
      <c r="F14">
        <f>Site!G45</f>
        <v>0</v>
      </c>
      <c r="G14">
        <f>IFERROR(VLOOKUP(F14,Liste!$A$5:$H$19,2,FALSE),0)</f>
        <v>0</v>
      </c>
      <c r="H14">
        <f>IFERROR(VLOOKUP(F14,Liste!$A$5:$H$19,3,FALSE),0)</f>
        <v>0</v>
      </c>
      <c r="I14" s="45">
        <f>Site!C45</f>
        <v>0</v>
      </c>
      <c r="J14">
        <f>IFERROR(VLOOKUP(F14,Liste!$A$5:$H$19,7,FALSE),0)</f>
        <v>0</v>
      </c>
    </row>
    <row r="15" spans="1:10">
      <c r="A15" t="s">
        <v>297</v>
      </c>
    </row>
    <row r="16" spans="1:10">
      <c r="A16" t="s">
        <v>298</v>
      </c>
      <c r="B16">
        <v>3</v>
      </c>
    </row>
    <row r="17" spans="1:2">
      <c r="A17" t="str">
        <f>INDEX(Liste!$B$24:$H$31,1,ROW(Controle_des_données!$B17)-ROW($B$16))</f>
        <v>Type d'étblissement</v>
      </c>
      <c r="B17" t="str">
        <f>INDEX(Liste!$B$24:$H$31,Controle_des_données!$B$16+1,ROW(Controle_des_données!$B17)-ROW($B$16))</f>
        <v>EHPAD</v>
      </c>
    </row>
    <row r="18" spans="1:2">
      <c r="A18" t="str">
        <f>INDEX(Liste!$B$24:$H$31,1,ROW(Controle_des_données!$B18)-ROW($B$16))</f>
        <v>Thermique - kWh/m²</v>
      </c>
      <c r="B18" s="52">
        <f>INDEX(Liste!$B$25:$H$31,Controle_des_données!$B$16,ROW(Controle_des_données!A18)-ROW($B$16))</f>
        <v>134.37719550799881</v>
      </c>
    </row>
    <row r="19" spans="1:2">
      <c r="A19" t="str">
        <f>INDEX(Liste!$B$24:$H$31,1,ROW(Controle_des_données!$B19)-ROW($B$16))</f>
        <v>Electrique - kWh/m²</v>
      </c>
      <c r="B19" s="52">
        <f>INDEX(Liste!$B$25:$H$31,Controle_des_données!$B$16,ROW(Controle_des_données!A19)-ROW($B$16))</f>
        <v>53.407224193411814</v>
      </c>
    </row>
    <row r="20" spans="1:2">
      <c r="A20" t="str">
        <f>INDEX(Liste!$B$24:$H$31,1,ROW(Controle_des_données!$B20)-ROW($B$16))</f>
        <v>Totale - kWh/m²</v>
      </c>
      <c r="B20" s="52">
        <f>INDEX(Liste!$B$25:$H$31,Controle_des_données!$B$16,ROW(Controle_des_données!A20)-ROW($B$16))</f>
        <v>187.784419701411</v>
      </c>
    </row>
    <row r="21" spans="1:2">
      <c r="A21" t="str">
        <f>INDEX(Liste!$B$24:$H$31,1,ROW(Controle_des_données!$B21)-ROW($B$16))</f>
        <v>CHAUFFAGE - (CH/DJU/m²)x1000</v>
      </c>
      <c r="B21" s="52">
        <f>INDEX(Liste!$B$25:$H$31,Controle_des_données!$B$16,ROW(Controle_des_données!A21)-ROW($B$16))</f>
        <v>43.015283576240691</v>
      </c>
    </row>
    <row r="22" spans="1:2">
      <c r="A22" t="str">
        <f>INDEX(Liste!$B$24:$H$31,1,ROW(Controle_des_données!$B22)-ROW($B$16))</f>
        <v>ECS - kWh/m²</v>
      </c>
      <c r="B22" s="52">
        <f>INDEX(Liste!$B$25:$H$31,Controle_des_données!$B$16,ROW(Controle_des_données!A22)-ROW($B$16))</f>
        <v>49.783917823165922</v>
      </c>
    </row>
    <row r="23" spans="1:2">
      <c r="A23" t="str">
        <f>INDEX(Liste!$B$24:$H$31,1,ROW(Controle_des_données!$B23)-ROW($B$16))</f>
        <v>Eau - L/j/Usager</v>
      </c>
      <c r="B23" s="234">
        <f>INDEX(Liste!$B$25:$H$31,Controle_des_données!$B$16,ROW(Controle_des_données!A23)-ROW($B$16))</f>
        <v>144.16961746331364</v>
      </c>
    </row>
    <row r="24" spans="1:2">
      <c r="A24" t="s">
        <v>299</v>
      </c>
      <c r="B24" s="52">
        <f>B25</f>
        <v>82</v>
      </c>
    </row>
    <row r="25" spans="1:2">
      <c r="A25" t="s">
        <v>300</v>
      </c>
      <c r="B25">
        <f>INDEX(Liste!$B$25:$I$31,Controle_des_données!$B$16,ROW(Controle_des_données!A24)-ROW($B$16))</f>
        <v>82</v>
      </c>
    </row>
    <row r="26" spans="1:2">
      <c r="A26" t="s">
        <v>301</v>
      </c>
      <c r="B26" t="e">
        <f>INDEX(Liste!#REF!,MATCH(Controle_des_données!B33,Liste!#REF!,0),MATCH(Controle_des_données!B32,Liste!#REF!,0))</f>
        <v>#REF!</v>
      </c>
    </row>
    <row r="27" spans="1:2">
      <c r="A27" t="s">
        <v>302</v>
      </c>
      <c r="B27" s="177">
        <f>INDEX(Liste!$B$25:$K$31,Controle_des_données!$B$16,10)</f>
        <v>58</v>
      </c>
    </row>
    <row r="28" spans="1:2" s="475" customFormat="1">
      <c r="A28" s="475" t="s">
        <v>900</v>
      </c>
      <c r="B28" s="476">
        <f>INDEX(Liste!$B$25:$M$31,Controle_des_données!$B$16,11)</f>
        <v>3.7</v>
      </c>
    </row>
    <row r="29" spans="1:2" s="475" customFormat="1">
      <c r="A29" s="475" t="s">
        <v>897</v>
      </c>
      <c r="B29" s="512">
        <f>INDEX(Liste!$B$25:$M$31,Controle_des_données!$B$16,12)</f>
        <v>3.6199999999999997</v>
      </c>
    </row>
    <row r="31" spans="1:2">
      <c r="A31" t="s">
        <v>252</v>
      </c>
    </row>
    <row r="32" spans="1:2">
      <c r="A32" t="s">
        <v>138</v>
      </c>
      <c r="B32" t="str">
        <f>Site!C51</f>
        <v>H2b</v>
      </c>
    </row>
    <row r="33" spans="1:3">
      <c r="A33" t="s">
        <v>139</v>
      </c>
      <c r="B33" t="str">
        <f>INDEX(Liste!$P$3:$P$7,Controle_des_données!C33,1)</f>
        <v>Altitude &lt; 400 m</v>
      </c>
      <c r="C33">
        <v>1</v>
      </c>
    </row>
    <row r="34" spans="1:3">
      <c r="A34" t="s">
        <v>303</v>
      </c>
      <c r="B34">
        <v>2.4699999999999999E-4</v>
      </c>
    </row>
    <row r="35" spans="1:3">
      <c r="A35" t="s">
        <v>304</v>
      </c>
      <c r="B35">
        <v>5.3499999999999999E-5</v>
      </c>
    </row>
    <row r="39" spans="1:3">
      <c r="A39" s="32" t="s">
        <v>53</v>
      </c>
    </row>
    <row r="40" spans="1:3">
      <c r="A40" t="str">
        <f>INDEX(Liste!Q15:Q17,Controle_des_données!B40,1)</f>
        <v>TTC</v>
      </c>
      <c r="B40">
        <v>3</v>
      </c>
    </row>
    <row r="41" spans="1:3">
      <c r="A41" s="32" t="s">
        <v>305</v>
      </c>
    </row>
    <row r="42" spans="1:3">
      <c r="A42" t="str">
        <f>INDEX(Liste!R15:R19,Controle_des_données!B42,1)</f>
        <v>Continu</v>
      </c>
      <c r="B42">
        <v>2</v>
      </c>
    </row>
    <row r="43" spans="1:3">
      <c r="A43" t="s">
        <v>306</v>
      </c>
      <c r="B43" t="str">
        <f>INDEX(Liste!S15:S18,Controle_des_données!C43,1)</f>
        <v>Oui</v>
      </c>
      <c r="C43">
        <v>2</v>
      </c>
    </row>
    <row r="44" spans="1:3">
      <c r="A44" t="s">
        <v>307</v>
      </c>
      <c r="B44" t="str">
        <f>INDEX(Liste!S15:S18,Controle_des_données!C44,1)</f>
        <v>Non</v>
      </c>
      <c r="C44">
        <v>3</v>
      </c>
    </row>
    <row r="45" spans="1:3">
      <c r="A45" t="s">
        <v>308</v>
      </c>
      <c r="B45">
        <f>Site!H69</f>
        <v>70</v>
      </c>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7"/>
  <dimension ref="A2:AE98"/>
  <sheetViews>
    <sheetView topLeftCell="D1" workbookViewId="0">
      <selection activeCell="O32" sqref="O32"/>
    </sheetView>
  </sheetViews>
  <sheetFormatPr baseColWidth="10" defaultColWidth="11.453125" defaultRowHeight="14.5"/>
  <cols>
    <col min="1" max="1" width="47" bestFit="1" customWidth="1"/>
    <col min="2" max="2" width="27.7265625" customWidth="1"/>
    <col min="9" max="9" width="21.54296875" customWidth="1"/>
    <col min="10" max="10" width="24.7265625" customWidth="1"/>
    <col min="11" max="11" width="20.81640625" customWidth="1"/>
    <col min="12" max="13" width="20.81640625" style="475" customWidth="1"/>
    <col min="15" max="15" width="26.81640625" customWidth="1"/>
    <col min="16" max="16" width="24.7265625" customWidth="1"/>
    <col min="18" max="18" width="11.81640625" customWidth="1"/>
    <col min="23" max="23" width="22.81640625" customWidth="1"/>
    <col min="24" max="24" width="22.54296875" customWidth="1"/>
    <col min="26" max="26" width="24.54296875" customWidth="1"/>
    <col min="28" max="29" width="23" bestFit="1" customWidth="1"/>
    <col min="30" max="30" width="27.1796875" bestFit="1" customWidth="1"/>
  </cols>
  <sheetData>
    <row r="2" spans="1:31">
      <c r="O2" t="s">
        <v>138</v>
      </c>
      <c r="P2" t="s">
        <v>139</v>
      </c>
      <c r="Q2" t="s">
        <v>140</v>
      </c>
      <c r="R2" t="s">
        <v>26</v>
      </c>
      <c r="S2" t="s">
        <v>141</v>
      </c>
      <c r="T2" t="s">
        <v>27</v>
      </c>
      <c r="U2" t="s">
        <v>31</v>
      </c>
      <c r="V2" t="s">
        <v>142</v>
      </c>
      <c r="W2" t="s">
        <v>93</v>
      </c>
      <c r="X2" t="s">
        <v>35</v>
      </c>
      <c r="Y2" t="s">
        <v>143</v>
      </c>
      <c r="Z2" t="s">
        <v>144</v>
      </c>
      <c r="AA2" t="s">
        <v>145</v>
      </c>
      <c r="AB2" t="s">
        <v>94</v>
      </c>
      <c r="AC2" t="s">
        <v>97</v>
      </c>
      <c r="AD2" t="s">
        <v>98</v>
      </c>
      <c r="AE2" t="s">
        <v>99</v>
      </c>
    </row>
    <row r="3" spans="1:31" ht="15" thickBot="1">
      <c r="A3" t="s">
        <v>146</v>
      </c>
      <c r="O3" s="91" t="s">
        <v>147</v>
      </c>
      <c r="P3" s="92" t="s">
        <v>148</v>
      </c>
      <c r="Q3" t="s">
        <v>26</v>
      </c>
      <c r="R3" t="s">
        <v>35</v>
      </c>
      <c r="S3" t="s">
        <v>143</v>
      </c>
      <c r="T3" t="s">
        <v>28</v>
      </c>
      <c r="U3" t="s">
        <v>149</v>
      </c>
      <c r="V3" t="s">
        <v>150</v>
      </c>
      <c r="W3" t="s">
        <v>151</v>
      </c>
      <c r="X3" t="s">
        <v>36</v>
      </c>
      <c r="Y3" t="s">
        <v>152</v>
      </c>
      <c r="Z3" t="s">
        <v>153</v>
      </c>
      <c r="AA3" t="s">
        <v>154</v>
      </c>
      <c r="AB3" t="s">
        <v>97</v>
      </c>
      <c r="AC3" t="s">
        <v>155</v>
      </c>
      <c r="AD3" t="s">
        <v>156</v>
      </c>
      <c r="AE3" t="s">
        <v>157</v>
      </c>
    </row>
    <row r="4" spans="1:31" ht="39.5" thickBot="1">
      <c r="A4" s="4" t="s">
        <v>158</v>
      </c>
      <c r="B4" s="103" t="s">
        <v>159</v>
      </c>
      <c r="C4" t="s">
        <v>160</v>
      </c>
      <c r="D4" s="104"/>
      <c r="E4" s="5" t="s">
        <v>161</v>
      </c>
      <c r="F4" s="6" t="s">
        <v>162</v>
      </c>
      <c r="G4" t="s">
        <v>865</v>
      </c>
      <c r="H4" s="7" t="s">
        <v>163</v>
      </c>
      <c r="O4" s="91" t="s">
        <v>164</v>
      </c>
      <c r="P4" s="92" t="s">
        <v>165</v>
      </c>
      <c r="Q4" t="s">
        <v>141</v>
      </c>
      <c r="R4" t="s">
        <v>27</v>
      </c>
      <c r="S4" t="s">
        <v>144</v>
      </c>
      <c r="U4" t="s">
        <v>166</v>
      </c>
      <c r="V4" t="s">
        <v>167</v>
      </c>
      <c r="W4" t="s">
        <v>168</v>
      </c>
      <c r="X4" t="s">
        <v>169</v>
      </c>
      <c r="Y4" t="s">
        <v>170</v>
      </c>
      <c r="Z4" t="s">
        <v>171</v>
      </c>
      <c r="AB4" t="s">
        <v>98</v>
      </c>
      <c r="AC4" t="s">
        <v>172</v>
      </c>
      <c r="AD4" t="s">
        <v>173</v>
      </c>
      <c r="AE4" t="s">
        <v>174</v>
      </c>
    </row>
    <row r="5" spans="1:31">
      <c r="A5" s="8" t="s">
        <v>151</v>
      </c>
      <c r="B5" s="9">
        <v>2700</v>
      </c>
      <c r="C5" s="9">
        <v>2700</v>
      </c>
      <c r="D5" s="10" t="s">
        <v>175</v>
      </c>
      <c r="E5" s="11">
        <v>2.4E-2</v>
      </c>
      <c r="F5" s="12">
        <v>1.1100000000000001</v>
      </c>
      <c r="G5">
        <f>F5</f>
        <v>1.1100000000000001</v>
      </c>
      <c r="H5" s="13">
        <v>0.01</v>
      </c>
      <c r="O5" s="91" t="s">
        <v>176</v>
      </c>
      <c r="P5" s="92" t="s">
        <v>177</v>
      </c>
      <c r="Q5" t="s">
        <v>94</v>
      </c>
      <c r="R5" t="s">
        <v>31</v>
      </c>
      <c r="S5" t="s">
        <v>145</v>
      </c>
      <c r="U5" t="s">
        <v>32</v>
      </c>
      <c r="W5" t="s">
        <v>178</v>
      </c>
      <c r="Z5" t="s">
        <v>179</v>
      </c>
      <c r="AB5" t="s">
        <v>99</v>
      </c>
      <c r="AC5" t="s">
        <v>150</v>
      </c>
      <c r="AD5" t="s">
        <v>180</v>
      </c>
      <c r="AE5" t="s">
        <v>181</v>
      </c>
    </row>
    <row r="6" spans="1:31">
      <c r="A6" s="8" t="s">
        <v>168</v>
      </c>
      <c r="B6" s="9">
        <v>4600</v>
      </c>
      <c r="C6" s="9">
        <v>4600</v>
      </c>
      <c r="D6" s="10" t="s">
        <v>175</v>
      </c>
      <c r="E6" s="11">
        <v>0.03</v>
      </c>
      <c r="F6" s="12">
        <v>1.1100000000000001</v>
      </c>
      <c r="G6" s="460">
        <f t="shared" ref="G6:G18" si="0">F6</f>
        <v>1.1100000000000001</v>
      </c>
      <c r="H6" s="13">
        <v>0.01</v>
      </c>
      <c r="O6" s="91" t="s">
        <v>182</v>
      </c>
      <c r="P6" s="92" t="s">
        <v>183</v>
      </c>
      <c r="U6" t="s">
        <v>184</v>
      </c>
      <c r="W6" t="s">
        <v>185</v>
      </c>
    </row>
    <row r="7" spans="1:31">
      <c r="A7" s="8" t="s">
        <v>178</v>
      </c>
      <c r="B7" s="9">
        <v>1680</v>
      </c>
      <c r="C7" s="9">
        <v>1680</v>
      </c>
      <c r="D7" s="10" t="s">
        <v>186</v>
      </c>
      <c r="E7" s="11">
        <v>0.03</v>
      </c>
      <c r="F7" s="12">
        <v>1.1100000000000001</v>
      </c>
      <c r="G7" s="460">
        <f t="shared" si="0"/>
        <v>1.1100000000000001</v>
      </c>
      <c r="H7" s="13">
        <v>0.01</v>
      </c>
      <c r="O7" s="91" t="s">
        <v>187</v>
      </c>
      <c r="P7" s="92" t="s">
        <v>188</v>
      </c>
      <c r="U7" t="s">
        <v>189</v>
      </c>
      <c r="W7" t="s">
        <v>190</v>
      </c>
    </row>
    <row r="8" spans="1:31">
      <c r="A8" s="8" t="s">
        <v>185</v>
      </c>
      <c r="B8" s="14">
        <v>0.90090090090090102</v>
      </c>
      <c r="C8" s="14">
        <v>0.9009009009009008</v>
      </c>
      <c r="D8" s="10" t="s">
        <v>191</v>
      </c>
      <c r="E8" s="11">
        <v>0.22700000000000001</v>
      </c>
      <c r="F8" s="12">
        <v>1.1100000000000001</v>
      </c>
      <c r="G8" s="460">
        <f t="shared" si="0"/>
        <v>1.1100000000000001</v>
      </c>
      <c r="H8" s="13">
        <v>0.04</v>
      </c>
      <c r="O8" s="91" t="s">
        <v>192</v>
      </c>
      <c r="W8" t="s">
        <v>193</v>
      </c>
    </row>
    <row r="9" spans="1:31">
      <c r="A9" s="8" t="s">
        <v>190</v>
      </c>
      <c r="B9" s="15">
        <v>11.628</v>
      </c>
      <c r="C9" s="15">
        <v>11.628</v>
      </c>
      <c r="D9" s="10" t="s">
        <v>194</v>
      </c>
      <c r="E9" s="11">
        <v>0.22700000000000001</v>
      </c>
      <c r="F9" s="12">
        <v>1.1100000000000001</v>
      </c>
      <c r="G9" s="460">
        <f t="shared" si="0"/>
        <v>1.1100000000000001</v>
      </c>
      <c r="H9" s="13">
        <v>0.04</v>
      </c>
      <c r="O9" s="91" t="s">
        <v>195</v>
      </c>
      <c r="W9" t="s">
        <v>196</v>
      </c>
    </row>
    <row r="10" spans="1:31">
      <c r="A10" s="8" t="s">
        <v>193</v>
      </c>
      <c r="B10" s="9">
        <v>12660</v>
      </c>
      <c r="C10" s="9">
        <v>12660</v>
      </c>
      <c r="D10" s="10" t="s">
        <v>175</v>
      </c>
      <c r="E10" s="11">
        <v>0.27200000000000002</v>
      </c>
      <c r="F10" s="12">
        <v>1.0900000000000001</v>
      </c>
      <c r="G10" s="460">
        <f t="shared" si="0"/>
        <v>1.0900000000000001</v>
      </c>
      <c r="H10" s="16">
        <v>0.02</v>
      </c>
      <c r="O10" s="91" t="s">
        <v>197</v>
      </c>
      <c r="W10" t="s">
        <v>198</v>
      </c>
    </row>
    <row r="11" spans="1:31">
      <c r="A11" s="8" t="s">
        <v>196</v>
      </c>
      <c r="B11" s="14">
        <v>23.7</v>
      </c>
      <c r="C11" s="14">
        <v>23.7</v>
      </c>
      <c r="D11" s="10" t="s">
        <v>194</v>
      </c>
      <c r="E11" s="11">
        <v>0.27200000000000002</v>
      </c>
      <c r="F11" s="12">
        <v>1.0900000000000001</v>
      </c>
      <c r="G11" s="460">
        <f t="shared" si="0"/>
        <v>1.0900000000000001</v>
      </c>
      <c r="H11" s="13">
        <v>0.02</v>
      </c>
      <c r="W11" t="s">
        <v>199</v>
      </c>
    </row>
    <row r="12" spans="1:31">
      <c r="A12" s="8" t="s">
        <v>198</v>
      </c>
      <c r="B12" s="9">
        <v>12570</v>
      </c>
      <c r="C12" s="9">
        <v>12570</v>
      </c>
      <c r="D12" s="10" t="s">
        <v>175</v>
      </c>
      <c r="E12" s="11">
        <v>0.27200000000000002</v>
      </c>
      <c r="F12" s="12">
        <v>1.0900000000000001</v>
      </c>
      <c r="G12" s="460">
        <f t="shared" si="0"/>
        <v>1.0900000000000001</v>
      </c>
      <c r="H12" s="13">
        <v>0.02</v>
      </c>
      <c r="W12" t="s">
        <v>200</v>
      </c>
    </row>
    <row r="13" spans="1:31">
      <c r="A13" s="8" t="s">
        <v>199</v>
      </c>
      <c r="B13" s="15">
        <v>6.9</v>
      </c>
      <c r="C13" s="15">
        <v>6.9</v>
      </c>
      <c r="D13" s="10" t="s">
        <v>201</v>
      </c>
      <c r="E13" s="11">
        <v>0.27200000000000002</v>
      </c>
      <c r="F13" s="12">
        <v>1.0900000000000001</v>
      </c>
      <c r="G13" s="460">
        <f t="shared" si="0"/>
        <v>1.0900000000000001</v>
      </c>
      <c r="H13" s="16">
        <v>0.03</v>
      </c>
      <c r="W13" t="s">
        <v>33</v>
      </c>
    </row>
    <row r="14" spans="1:31">
      <c r="A14" s="8" t="s">
        <v>200</v>
      </c>
      <c r="B14" s="14">
        <v>30.45</v>
      </c>
      <c r="C14" s="14">
        <v>30.45</v>
      </c>
      <c r="D14" s="10" t="s">
        <v>194</v>
      </c>
      <c r="E14" s="11">
        <v>0.27200000000000002</v>
      </c>
      <c r="F14" s="12">
        <v>1.0900000000000001</v>
      </c>
      <c r="G14" s="460">
        <f t="shared" si="0"/>
        <v>1.0900000000000001</v>
      </c>
      <c r="H14" s="16">
        <v>0.03</v>
      </c>
      <c r="O14" t="s">
        <v>202</v>
      </c>
      <c r="Q14" s="32" t="s">
        <v>203</v>
      </c>
      <c r="R14" t="s">
        <v>204</v>
      </c>
      <c r="S14" t="s">
        <v>205</v>
      </c>
      <c r="T14" t="s">
        <v>206</v>
      </c>
      <c r="W14" t="s">
        <v>207</v>
      </c>
    </row>
    <row r="15" spans="1:31">
      <c r="A15" s="8" t="s">
        <v>33</v>
      </c>
      <c r="B15" s="14">
        <v>9.9700000000000006</v>
      </c>
      <c r="C15" s="14">
        <v>9.9700000000000006</v>
      </c>
      <c r="D15" s="10" t="s">
        <v>201</v>
      </c>
      <c r="E15" s="11">
        <v>0.32400000000000001</v>
      </c>
      <c r="F15" s="12">
        <v>1.07</v>
      </c>
      <c r="G15" s="460">
        <f t="shared" si="0"/>
        <v>1.07</v>
      </c>
      <c r="H15" s="16">
        <v>0.05</v>
      </c>
      <c r="O15" s="94" t="s">
        <v>208</v>
      </c>
      <c r="P15" t="s">
        <v>182</v>
      </c>
      <c r="W15" t="s">
        <v>209</v>
      </c>
    </row>
    <row r="16" spans="1:31">
      <c r="A16" s="17" t="s">
        <v>207</v>
      </c>
      <c r="B16" s="9">
        <v>1</v>
      </c>
      <c r="C16" s="9">
        <v>1</v>
      </c>
      <c r="D16" s="10" t="s">
        <v>191</v>
      </c>
      <c r="E16" s="11">
        <v>6.4000000000000001E-2</v>
      </c>
      <c r="F16" s="18">
        <v>1</v>
      </c>
      <c r="G16" s="460">
        <f t="shared" si="0"/>
        <v>1</v>
      </c>
      <c r="H16" s="16">
        <v>0.05</v>
      </c>
      <c r="O16" s="95" t="s">
        <v>210</v>
      </c>
      <c r="P16" t="s">
        <v>182</v>
      </c>
      <c r="Q16" t="s">
        <v>211</v>
      </c>
      <c r="R16" t="s">
        <v>212</v>
      </c>
      <c r="S16" t="s">
        <v>213</v>
      </c>
      <c r="T16" t="s">
        <v>26</v>
      </c>
      <c r="W16" t="s">
        <v>29</v>
      </c>
    </row>
    <row r="17" spans="1:23">
      <c r="A17" s="19" t="s">
        <v>209</v>
      </c>
      <c r="B17" s="9">
        <v>1</v>
      </c>
      <c r="C17" s="14">
        <v>0.77</v>
      </c>
      <c r="D17" s="10" t="s">
        <v>191</v>
      </c>
      <c r="E17" s="20">
        <v>0.1</v>
      </c>
      <c r="F17" s="18">
        <v>1</v>
      </c>
      <c r="G17" s="460">
        <f t="shared" si="0"/>
        <v>1</v>
      </c>
      <c r="H17" s="16">
        <v>0.05</v>
      </c>
      <c r="O17" s="94" t="s">
        <v>214</v>
      </c>
      <c r="P17" t="s">
        <v>182</v>
      </c>
      <c r="Q17" t="s">
        <v>215</v>
      </c>
      <c r="R17" t="s">
        <v>216</v>
      </c>
      <c r="S17" t="s">
        <v>217</v>
      </c>
      <c r="T17" t="s">
        <v>218</v>
      </c>
      <c r="W17" t="s">
        <v>37</v>
      </c>
    </row>
    <row r="18" spans="1:23">
      <c r="A18" t="s">
        <v>37</v>
      </c>
      <c r="B18" s="22">
        <v>0</v>
      </c>
      <c r="C18" s="22">
        <v>0</v>
      </c>
      <c r="D18" s="23"/>
      <c r="E18" s="83"/>
      <c r="F18" s="25"/>
      <c r="G18" s="460">
        <f t="shared" si="0"/>
        <v>0</v>
      </c>
      <c r="H18" s="26"/>
      <c r="O18" s="95" t="s">
        <v>219</v>
      </c>
      <c r="P18" t="s">
        <v>182</v>
      </c>
      <c r="R18" t="s">
        <v>220</v>
      </c>
      <c r="S18" t="s">
        <v>221</v>
      </c>
    </row>
    <row r="19" spans="1:23">
      <c r="A19" s="21" t="s">
        <v>29</v>
      </c>
      <c r="B19" s="22">
        <v>1</v>
      </c>
      <c r="C19" s="22">
        <v>1</v>
      </c>
      <c r="D19" s="23" t="s">
        <v>191</v>
      </c>
      <c r="E19" s="24">
        <v>6.4000000000000001E-2</v>
      </c>
      <c r="F19" s="25">
        <v>1</v>
      </c>
      <c r="G19" s="460">
        <v>1.9</v>
      </c>
      <c r="H19" s="26">
        <v>0.05</v>
      </c>
      <c r="O19" s="94" t="s">
        <v>222</v>
      </c>
      <c r="P19" t="s">
        <v>182</v>
      </c>
    </row>
    <row r="20" spans="1:23">
      <c r="O20" s="95" t="s">
        <v>223</v>
      </c>
      <c r="P20" t="s">
        <v>182</v>
      </c>
    </row>
    <row r="21" spans="1:23">
      <c r="O21" s="94" t="s">
        <v>224</v>
      </c>
      <c r="P21" t="s">
        <v>182</v>
      </c>
    </row>
    <row r="22" spans="1:23">
      <c r="O22" s="95" t="s">
        <v>225</v>
      </c>
      <c r="P22" t="s">
        <v>187</v>
      </c>
    </row>
    <row r="23" spans="1:23">
      <c r="O23" s="96" t="s">
        <v>226</v>
      </c>
      <c r="P23" t="s">
        <v>187</v>
      </c>
    </row>
    <row r="24" spans="1:23">
      <c r="A24" s="65" t="s">
        <v>227</v>
      </c>
      <c r="B24" s="65" t="s">
        <v>228</v>
      </c>
      <c r="C24" s="63" t="s">
        <v>229</v>
      </c>
      <c r="D24" s="63" t="s">
        <v>230</v>
      </c>
      <c r="E24" s="63" t="s">
        <v>231</v>
      </c>
      <c r="F24" s="63" t="s">
        <v>232</v>
      </c>
      <c r="G24" s="63" t="s">
        <v>233</v>
      </c>
      <c r="H24" s="66" t="s">
        <v>436</v>
      </c>
      <c r="I24" s="66" t="s">
        <v>234</v>
      </c>
      <c r="J24" s="231" t="s">
        <v>434</v>
      </c>
      <c r="K24" s="211" t="s">
        <v>235</v>
      </c>
      <c r="L24" s="211" t="s">
        <v>898</v>
      </c>
      <c r="M24" s="477" t="s">
        <v>899</v>
      </c>
      <c r="O24" s="95" t="s">
        <v>236</v>
      </c>
      <c r="P24" t="s">
        <v>187</v>
      </c>
    </row>
    <row r="25" spans="1:23">
      <c r="A25" s="566" t="s">
        <v>237</v>
      </c>
      <c r="B25" s="60" t="s">
        <v>238</v>
      </c>
      <c r="C25" s="61" t="s">
        <v>239</v>
      </c>
      <c r="D25" s="61" t="s">
        <v>239</v>
      </c>
      <c r="E25" s="61" t="s">
        <v>239</v>
      </c>
      <c r="F25" s="61" t="s">
        <v>239</v>
      </c>
      <c r="G25" s="61" t="s">
        <v>239</v>
      </c>
      <c r="H25" s="67" t="s">
        <v>239</v>
      </c>
      <c r="I25" s="90">
        <v>151</v>
      </c>
      <c r="J25" s="90"/>
      <c r="L25" s="286">
        <v>3.7</v>
      </c>
      <c r="M25" s="509">
        <f>43.44/12</f>
        <v>3.6199999999999997</v>
      </c>
      <c r="O25" s="94" t="s">
        <v>240</v>
      </c>
      <c r="P25" t="s">
        <v>147</v>
      </c>
    </row>
    <row r="26" spans="1:23">
      <c r="A26" s="567"/>
      <c r="B26" s="60" t="s">
        <v>241</v>
      </c>
      <c r="C26" s="64">
        <v>162.96440616262723</v>
      </c>
      <c r="D26" s="64">
        <v>78.388576324684351</v>
      </c>
      <c r="E26" s="64">
        <v>241.35298248731158</v>
      </c>
      <c r="F26" s="64">
        <v>45.971020654622961</v>
      </c>
      <c r="G26" s="64">
        <v>71.775598070944156</v>
      </c>
      <c r="H26" s="68">
        <v>232.92148528584556</v>
      </c>
      <c r="I26" s="90">
        <v>151</v>
      </c>
      <c r="J26" s="90"/>
      <c r="L26" s="286">
        <v>3.7</v>
      </c>
      <c r="M26" s="509">
        <f t="shared" ref="M26:M31" si="1">43.44/12</f>
        <v>3.6199999999999997</v>
      </c>
      <c r="O26" s="97" t="s">
        <v>242</v>
      </c>
      <c r="P26" t="s">
        <v>197</v>
      </c>
    </row>
    <row r="27" spans="1:23">
      <c r="A27" s="567"/>
      <c r="B27" s="60" t="s">
        <v>243</v>
      </c>
      <c r="C27" s="64">
        <v>134.37719550799881</v>
      </c>
      <c r="D27" s="64">
        <v>53.407224193411814</v>
      </c>
      <c r="E27" s="64">
        <v>187.784419701411</v>
      </c>
      <c r="F27" s="64">
        <v>43.015283576240691</v>
      </c>
      <c r="G27" s="64">
        <v>49.783917823165922</v>
      </c>
      <c r="H27" s="68">
        <v>144.16961746331364</v>
      </c>
      <c r="I27" s="90">
        <v>82</v>
      </c>
      <c r="J27" s="90">
        <v>138</v>
      </c>
      <c r="K27" s="212">
        <v>58</v>
      </c>
      <c r="L27" s="286">
        <v>3.7</v>
      </c>
      <c r="M27" s="509">
        <f t="shared" si="1"/>
        <v>3.6199999999999997</v>
      </c>
      <c r="O27" s="126" t="s">
        <v>244</v>
      </c>
      <c r="P27" t="s">
        <v>187</v>
      </c>
    </row>
    <row r="28" spans="1:23">
      <c r="A28" s="567"/>
      <c r="B28" s="60" t="s">
        <v>245</v>
      </c>
      <c r="C28" s="62" t="s">
        <v>239</v>
      </c>
      <c r="D28" s="62" t="s">
        <v>239</v>
      </c>
      <c r="E28" s="62" t="s">
        <v>239</v>
      </c>
      <c r="F28" s="62" t="s">
        <v>239</v>
      </c>
      <c r="G28" s="62" t="s">
        <v>239</v>
      </c>
      <c r="H28" s="69" t="s">
        <v>239</v>
      </c>
      <c r="I28" s="233" t="s">
        <v>246</v>
      </c>
      <c r="J28" s="232"/>
      <c r="K28" s="32"/>
      <c r="L28" s="286">
        <v>3.7</v>
      </c>
      <c r="M28" s="509">
        <f t="shared" si="1"/>
        <v>3.6199999999999997</v>
      </c>
      <c r="O28" s="94" t="s">
        <v>75</v>
      </c>
      <c r="P28" t="s">
        <v>187</v>
      </c>
    </row>
    <row r="29" spans="1:23">
      <c r="A29" s="567"/>
      <c r="B29" s="60" t="s">
        <v>247</v>
      </c>
      <c r="C29" s="62" t="s">
        <v>239</v>
      </c>
      <c r="D29" s="62" t="s">
        <v>239</v>
      </c>
      <c r="E29" s="62" t="s">
        <v>239</v>
      </c>
      <c r="F29" s="62" t="s">
        <v>239</v>
      </c>
      <c r="G29" s="62" t="s">
        <v>239</v>
      </c>
      <c r="H29" s="69" t="s">
        <v>239</v>
      </c>
      <c r="I29" s="90">
        <v>82</v>
      </c>
      <c r="J29" s="90">
        <v>141</v>
      </c>
      <c r="L29" s="286">
        <v>3.7</v>
      </c>
      <c r="M29" s="509">
        <f t="shared" si="1"/>
        <v>3.6199999999999997</v>
      </c>
      <c r="O29" s="97" t="s">
        <v>248</v>
      </c>
      <c r="P29" t="s">
        <v>187</v>
      </c>
    </row>
    <row r="30" spans="1:23">
      <c r="A30" s="567"/>
      <c r="B30" s="60" t="s">
        <v>249</v>
      </c>
      <c r="C30" s="64">
        <v>155.48546305598433</v>
      </c>
      <c r="D30" s="64">
        <v>47.577767163363731</v>
      </c>
      <c r="E30" s="64">
        <v>203.06323021934804</v>
      </c>
      <c r="F30" s="64">
        <v>39.677263033881395</v>
      </c>
      <c r="G30" s="64">
        <v>46.0000695027232</v>
      </c>
      <c r="H30" s="68">
        <v>247.85173430102637</v>
      </c>
      <c r="I30" s="90">
        <v>82</v>
      </c>
      <c r="J30" s="90">
        <v>146</v>
      </c>
      <c r="K30" s="32"/>
      <c r="L30" s="286">
        <v>3.7</v>
      </c>
      <c r="M30" s="509">
        <f t="shared" si="1"/>
        <v>3.6199999999999997</v>
      </c>
      <c r="O30" s="160" t="s">
        <v>250</v>
      </c>
      <c r="P30" t="s">
        <v>147</v>
      </c>
    </row>
    <row r="31" spans="1:23">
      <c r="A31" s="567"/>
      <c r="B31" s="60" t="s">
        <v>251</v>
      </c>
      <c r="C31" s="62" t="s">
        <v>239</v>
      </c>
      <c r="D31" s="62" t="s">
        <v>239</v>
      </c>
      <c r="E31" s="62" t="s">
        <v>239</v>
      </c>
      <c r="F31" s="62" t="s">
        <v>239</v>
      </c>
      <c r="G31" s="62" t="s">
        <v>239</v>
      </c>
      <c r="H31" s="69" t="s">
        <v>239</v>
      </c>
      <c r="I31" s="90">
        <v>82</v>
      </c>
      <c r="J31" s="90">
        <v>82</v>
      </c>
      <c r="K31" s="32"/>
      <c r="L31" s="286">
        <v>3.7</v>
      </c>
      <c r="M31" s="509">
        <f t="shared" si="1"/>
        <v>3.6199999999999997</v>
      </c>
    </row>
    <row r="32" spans="1:23">
      <c r="A32" s="567"/>
    </row>
    <row r="33" spans="1:3">
      <c r="A33" s="568"/>
    </row>
    <row r="41" spans="1:3">
      <c r="A41" t="s">
        <v>253</v>
      </c>
    </row>
    <row r="43" spans="1:3">
      <c r="A43" t="s">
        <v>254</v>
      </c>
      <c r="B43" t="s">
        <v>255</v>
      </c>
      <c r="C43" t="s">
        <v>256</v>
      </c>
    </row>
    <row r="44" spans="1:3">
      <c r="B44" t="s">
        <v>257</v>
      </c>
      <c r="C44" t="s">
        <v>258</v>
      </c>
    </row>
    <row r="45" spans="1:3">
      <c r="A45" t="s">
        <v>259</v>
      </c>
      <c r="B45">
        <v>100</v>
      </c>
      <c r="C45">
        <v>50</v>
      </c>
    </row>
    <row r="46" spans="1:3">
      <c r="A46" t="s">
        <v>260</v>
      </c>
      <c r="B46">
        <v>210</v>
      </c>
      <c r="C46">
        <v>110</v>
      </c>
    </row>
    <row r="47" spans="1:3">
      <c r="A47" t="s">
        <v>261</v>
      </c>
      <c r="B47">
        <v>370</v>
      </c>
      <c r="C47">
        <v>210</v>
      </c>
    </row>
    <row r="48" spans="1:3">
      <c r="A48" t="s">
        <v>262</v>
      </c>
      <c r="B48">
        <v>580</v>
      </c>
      <c r="C48">
        <v>350</v>
      </c>
    </row>
    <row r="49" spans="1:3">
      <c r="A49" t="s">
        <v>263</v>
      </c>
      <c r="B49">
        <v>830</v>
      </c>
      <c r="C49">
        <v>540</v>
      </c>
    </row>
    <row r="53" spans="1:3">
      <c r="A53" s="32" t="s">
        <v>842</v>
      </c>
    </row>
    <row r="54" spans="1:3">
      <c r="A54">
        <v>2010</v>
      </c>
    </row>
    <row r="55" spans="1:3">
      <c r="A55" s="424">
        <v>2011</v>
      </c>
    </row>
    <row r="56" spans="1:3">
      <c r="A56" s="424">
        <v>2012</v>
      </c>
    </row>
    <row r="57" spans="1:3">
      <c r="A57" s="424">
        <v>2013</v>
      </c>
    </row>
    <row r="58" spans="1:3">
      <c r="A58" s="424">
        <v>2014</v>
      </c>
    </row>
    <row r="59" spans="1:3">
      <c r="A59" s="424">
        <v>2015</v>
      </c>
    </row>
    <row r="60" spans="1:3">
      <c r="A60" s="424">
        <v>2016</v>
      </c>
    </row>
    <row r="61" spans="1:3">
      <c r="A61" s="424">
        <v>2017</v>
      </c>
    </row>
    <row r="62" spans="1:3">
      <c r="A62" s="424">
        <v>2018</v>
      </c>
    </row>
    <row r="63" spans="1:3">
      <c r="A63" s="424">
        <v>2019</v>
      </c>
    </row>
    <row r="64" spans="1:3">
      <c r="A64" s="424">
        <v>2020</v>
      </c>
    </row>
    <row r="65" spans="1:1">
      <c r="A65" s="424">
        <v>2021</v>
      </c>
    </row>
    <row r="66" spans="1:1">
      <c r="A66" s="424">
        <v>2022</v>
      </c>
    </row>
    <row r="67" spans="1:1">
      <c r="A67" s="424">
        <v>2023</v>
      </c>
    </row>
    <row r="68" spans="1:1">
      <c r="A68" s="424">
        <v>2024</v>
      </c>
    </row>
    <row r="69" spans="1:1">
      <c r="A69" s="424">
        <v>2025</v>
      </c>
    </row>
    <row r="70" spans="1:1">
      <c r="A70" s="424">
        <v>2026</v>
      </c>
    </row>
    <row r="71" spans="1:1">
      <c r="A71" s="424">
        <v>2027</v>
      </c>
    </row>
    <row r="72" spans="1:1">
      <c r="A72" s="424">
        <v>2028</v>
      </c>
    </row>
    <row r="73" spans="1:1">
      <c r="A73" s="424">
        <v>2029</v>
      </c>
    </row>
    <row r="74" spans="1:1">
      <c r="A74" s="424">
        <v>2030</v>
      </c>
    </row>
    <row r="75" spans="1:1">
      <c r="A75" s="424"/>
    </row>
    <row r="76" spans="1:1">
      <c r="A76" s="424"/>
    </row>
    <row r="77" spans="1:1">
      <c r="A77" s="424"/>
    </row>
    <row r="78" spans="1:1">
      <c r="A78" s="424"/>
    </row>
    <row r="79" spans="1:1">
      <c r="A79" s="424"/>
    </row>
    <row r="80" spans="1:1">
      <c r="A80" s="424"/>
    </row>
    <row r="81" spans="1:1">
      <c r="A81" s="424"/>
    </row>
    <row r="82" spans="1:1">
      <c r="A82" s="424"/>
    </row>
    <row r="83" spans="1:1">
      <c r="A83" s="424"/>
    </row>
    <row r="84" spans="1:1">
      <c r="A84" s="424"/>
    </row>
    <row r="85" spans="1:1">
      <c r="A85" s="424"/>
    </row>
    <row r="86" spans="1:1">
      <c r="A86" s="424"/>
    </row>
    <row r="87" spans="1:1">
      <c r="A87" s="424"/>
    </row>
    <row r="88" spans="1:1">
      <c r="A88" s="424"/>
    </row>
    <row r="89" spans="1:1">
      <c r="A89" s="424"/>
    </row>
    <row r="90" spans="1:1">
      <c r="A90" s="424"/>
    </row>
    <row r="91" spans="1:1">
      <c r="A91" s="424"/>
    </row>
    <row r="92" spans="1:1">
      <c r="A92" s="424"/>
    </row>
    <row r="93" spans="1:1">
      <c r="A93" s="424"/>
    </row>
    <row r="94" spans="1:1">
      <c r="A94" s="424"/>
    </row>
    <row r="95" spans="1:1">
      <c r="A95" s="424"/>
    </row>
    <row r="96" spans="1:1">
      <c r="A96" s="424"/>
    </row>
    <row r="97" spans="1:1">
      <c r="A97" s="424"/>
    </row>
    <row r="98" spans="1:1">
      <c r="A98" s="424"/>
    </row>
  </sheetData>
  <mergeCells count="1">
    <mergeCell ref="A25:A33"/>
  </mergeCell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F33D7-B5EC-40D6-B8AC-2D43794AED5E}">
  <sheetPr codeName="Feuil35"/>
  <dimension ref="B3:AD24"/>
  <sheetViews>
    <sheetView topLeftCell="B1" workbookViewId="0">
      <selection activeCell="K33" sqref="K33"/>
    </sheetView>
  </sheetViews>
  <sheetFormatPr baseColWidth="10" defaultRowHeight="14.5"/>
  <cols>
    <col min="2" max="2" width="20.1796875" bestFit="1" customWidth="1"/>
    <col min="3" max="3" width="23.1796875" bestFit="1" customWidth="1"/>
    <col min="4" max="4" width="24.36328125" bestFit="1" customWidth="1"/>
    <col min="5" max="5" width="25.90625" bestFit="1" customWidth="1"/>
    <col min="6" max="6" width="22.7265625" bestFit="1" customWidth="1"/>
    <col min="7" max="7" width="23.1796875" bestFit="1" customWidth="1"/>
    <col min="8" max="8" width="24.36328125" bestFit="1" customWidth="1"/>
    <col min="9" max="9" width="25.90625" bestFit="1" customWidth="1"/>
    <col min="10" max="10" width="22.7265625" bestFit="1" customWidth="1"/>
    <col min="11" max="11" width="23.1796875" bestFit="1" customWidth="1"/>
    <col min="12" max="12" width="24.36328125" bestFit="1" customWidth="1"/>
    <col min="13" max="13" width="25.90625" bestFit="1" customWidth="1"/>
    <col min="14" max="14" width="22.7265625" bestFit="1" customWidth="1"/>
    <col min="15" max="15" width="23.1796875" bestFit="1" customWidth="1"/>
    <col min="16" max="16" width="24.36328125" bestFit="1" customWidth="1"/>
    <col min="17" max="17" width="25.90625" bestFit="1" customWidth="1"/>
    <col min="18" max="18" width="22.7265625" bestFit="1" customWidth="1"/>
    <col min="19" max="19" width="23.1796875" bestFit="1" customWidth="1"/>
    <col min="20" max="20" width="24.36328125" bestFit="1" customWidth="1"/>
    <col min="21" max="21" width="25.90625" bestFit="1" customWidth="1"/>
    <col min="22" max="22" width="22.7265625" bestFit="1" customWidth="1"/>
    <col min="23" max="23" width="23.1796875" bestFit="1" customWidth="1"/>
    <col min="24" max="24" width="24.36328125" bestFit="1" customWidth="1"/>
    <col min="25" max="25" width="25.90625" bestFit="1" customWidth="1"/>
    <col min="26" max="26" width="22.7265625" bestFit="1" customWidth="1"/>
    <col min="27" max="27" width="27.90625" bestFit="1" customWidth="1"/>
    <col min="28" max="28" width="29.1796875" bestFit="1" customWidth="1"/>
    <col min="29" max="29" width="30.6328125" bestFit="1" customWidth="1"/>
    <col min="30" max="30" width="27.54296875" bestFit="1" customWidth="1"/>
  </cols>
  <sheetData>
    <row r="3" spans="2:30">
      <c r="C3" s="180" t="s">
        <v>74</v>
      </c>
    </row>
    <row r="4" spans="2:30">
      <c r="C4" s="503" t="s">
        <v>26</v>
      </c>
      <c r="O4" s="503" t="s">
        <v>141</v>
      </c>
      <c r="S4" s="503" t="s">
        <v>94</v>
      </c>
      <c r="AA4" s="503" t="s">
        <v>872</v>
      </c>
      <c r="AB4" s="503" t="s">
        <v>866</v>
      </c>
      <c r="AC4" s="503" t="s">
        <v>867</v>
      </c>
      <c r="AD4" s="503" t="s">
        <v>870</v>
      </c>
    </row>
    <row r="5" spans="2:30">
      <c r="C5" s="503" t="s">
        <v>184</v>
      </c>
      <c r="G5" s="503" t="s">
        <v>28</v>
      </c>
      <c r="K5" s="503" t="s">
        <v>36</v>
      </c>
      <c r="O5" s="503" t="s">
        <v>154</v>
      </c>
      <c r="S5" s="503" t="s">
        <v>174</v>
      </c>
      <c r="W5" s="503" t="s">
        <v>157</v>
      </c>
    </row>
    <row r="6" spans="2:30">
      <c r="B6" s="180" t="s">
        <v>64</v>
      </c>
      <c r="C6" s="503" t="s">
        <v>873</v>
      </c>
      <c r="D6" s="503" t="s">
        <v>862</v>
      </c>
      <c r="E6" s="503" t="s">
        <v>863</v>
      </c>
      <c r="F6" s="503" t="s">
        <v>871</v>
      </c>
      <c r="G6" s="503" t="s">
        <v>873</v>
      </c>
      <c r="H6" s="503" t="s">
        <v>862</v>
      </c>
      <c r="I6" s="503" t="s">
        <v>863</v>
      </c>
      <c r="J6" s="503" t="s">
        <v>871</v>
      </c>
      <c r="K6" s="503" t="s">
        <v>873</v>
      </c>
      <c r="L6" s="503" t="s">
        <v>862</v>
      </c>
      <c r="M6" s="503" t="s">
        <v>863</v>
      </c>
      <c r="N6" s="503" t="s">
        <v>871</v>
      </c>
      <c r="O6" s="503" t="s">
        <v>873</v>
      </c>
      <c r="P6" s="503" t="s">
        <v>862</v>
      </c>
      <c r="Q6" s="503" t="s">
        <v>863</v>
      </c>
      <c r="R6" s="503" t="s">
        <v>871</v>
      </c>
      <c r="S6" s="503" t="s">
        <v>873</v>
      </c>
      <c r="T6" s="503" t="s">
        <v>862</v>
      </c>
      <c r="U6" s="503" t="s">
        <v>863</v>
      </c>
      <c r="V6" s="503" t="s">
        <v>871</v>
      </c>
      <c r="W6" s="503" t="s">
        <v>873</v>
      </c>
      <c r="X6" s="503" t="s">
        <v>862</v>
      </c>
      <c r="Y6" s="503" t="s">
        <v>863</v>
      </c>
      <c r="Z6" s="503" t="s">
        <v>871</v>
      </c>
    </row>
    <row r="7" spans="2:30">
      <c r="B7" s="89">
        <v>2010</v>
      </c>
      <c r="C7" s="241">
        <v>182076.99999999965</v>
      </c>
      <c r="D7" s="241">
        <v>164033.33333333308</v>
      </c>
      <c r="E7" s="241">
        <v>164033.33333333308</v>
      </c>
      <c r="F7" s="241">
        <v>182076.99999999965</v>
      </c>
      <c r="G7" s="241">
        <v>96923.999999999971</v>
      </c>
      <c r="H7" s="241">
        <v>96923.999999999971</v>
      </c>
      <c r="I7" s="241">
        <v>96923.999999999971</v>
      </c>
      <c r="J7" s="241">
        <v>184155.60000000027</v>
      </c>
      <c r="K7" s="241"/>
      <c r="L7" s="241"/>
      <c r="M7" s="241"/>
      <c r="N7" s="241"/>
      <c r="O7" s="241"/>
      <c r="P7" s="241"/>
      <c r="Q7" s="241"/>
      <c r="R7" s="241"/>
      <c r="S7" s="241"/>
      <c r="T7" s="241"/>
      <c r="U7" s="241"/>
      <c r="V7" s="241"/>
      <c r="W7" s="241"/>
      <c r="X7" s="241"/>
      <c r="Y7" s="241"/>
      <c r="Z7" s="241"/>
      <c r="AA7" s="241">
        <v>279001.00000000023</v>
      </c>
      <c r="AB7" s="241">
        <v>260957.3333333332</v>
      </c>
      <c r="AC7" s="241">
        <v>260957.3333333332</v>
      </c>
      <c r="AD7" s="241">
        <v>366232.59999999939</v>
      </c>
    </row>
    <row r="8" spans="2:30">
      <c r="B8" s="89">
        <v>2011</v>
      </c>
      <c r="C8" s="241">
        <v>235109.99999999994</v>
      </c>
      <c r="D8" s="241">
        <v>211810.81081081103</v>
      </c>
      <c r="E8" s="241">
        <v>211810.81081081103</v>
      </c>
      <c r="F8" s="241">
        <v>235109.99999999994</v>
      </c>
      <c r="G8" s="241">
        <v>176664.00000000012</v>
      </c>
      <c r="H8" s="241">
        <v>176664.00000000012</v>
      </c>
      <c r="I8" s="241">
        <v>176664.00000000012</v>
      </c>
      <c r="J8" s="241">
        <v>335661.60000000073</v>
      </c>
      <c r="K8" s="241"/>
      <c r="L8" s="241"/>
      <c r="M8" s="241"/>
      <c r="N8" s="241"/>
      <c r="O8" s="241"/>
      <c r="P8" s="241"/>
      <c r="Q8" s="241"/>
      <c r="R8" s="241"/>
      <c r="S8" s="241"/>
      <c r="T8" s="241"/>
      <c r="U8" s="241"/>
      <c r="V8" s="241"/>
      <c r="W8" s="241"/>
      <c r="X8" s="241"/>
      <c r="Y8" s="241"/>
      <c r="Z8" s="241"/>
      <c r="AA8" s="241">
        <v>411773.99999999983</v>
      </c>
      <c r="AB8" s="241">
        <v>388474.81081081118</v>
      </c>
      <c r="AC8" s="241">
        <v>388474.81081081118</v>
      </c>
      <c r="AD8" s="241">
        <v>570771.60000000161</v>
      </c>
    </row>
    <row r="9" spans="2:30">
      <c r="B9" s="89">
        <v>2012</v>
      </c>
      <c r="C9" s="241">
        <v>311897.00000000052</v>
      </c>
      <c r="D9" s="241">
        <v>280988.28828828793</v>
      </c>
      <c r="E9" s="241">
        <v>280988.28828828776</v>
      </c>
      <c r="F9" s="241">
        <v>311897.00000000052</v>
      </c>
      <c r="G9" s="241">
        <v>156413.99999999983</v>
      </c>
      <c r="H9" s="241">
        <v>156413.99999999983</v>
      </c>
      <c r="I9" s="241">
        <v>156413.99999999983</v>
      </c>
      <c r="J9" s="241">
        <v>297186.59999999986</v>
      </c>
      <c r="K9" s="241"/>
      <c r="L9" s="241"/>
      <c r="M9" s="241"/>
      <c r="N9" s="241"/>
      <c r="O9" s="241"/>
      <c r="P9" s="241"/>
      <c r="Q9" s="241"/>
      <c r="R9" s="241"/>
      <c r="S9" s="241"/>
      <c r="T9" s="241"/>
      <c r="U9" s="241"/>
      <c r="V9" s="241"/>
      <c r="W9" s="241"/>
      <c r="X9" s="241"/>
      <c r="Y9" s="241"/>
      <c r="Z9" s="241"/>
      <c r="AA9" s="241">
        <v>468311.00000000169</v>
      </c>
      <c r="AB9" s="241">
        <v>437402.28828828887</v>
      </c>
      <c r="AC9" s="241">
        <v>437402.28828828869</v>
      </c>
      <c r="AD9" s="241">
        <v>609083.60000000161</v>
      </c>
    </row>
    <row r="10" spans="2:30">
      <c r="B10" s="89">
        <v>2013</v>
      </c>
      <c r="C10" s="241">
        <v>379740.00000000023</v>
      </c>
      <c r="D10" s="241">
        <v>342108.10810810805</v>
      </c>
      <c r="E10" s="241">
        <v>342108.10810810782</v>
      </c>
      <c r="F10" s="241">
        <v>379740.00000000052</v>
      </c>
      <c r="G10" s="241">
        <v>138348.99999999997</v>
      </c>
      <c r="H10" s="241">
        <v>138348.99999999997</v>
      </c>
      <c r="I10" s="241">
        <v>138348.99999999997</v>
      </c>
      <c r="J10" s="241">
        <v>262863.10000000003</v>
      </c>
      <c r="K10" s="241"/>
      <c r="L10" s="241"/>
      <c r="M10" s="241"/>
      <c r="N10" s="241"/>
      <c r="O10" s="241"/>
      <c r="P10" s="241"/>
      <c r="Q10" s="241"/>
      <c r="R10" s="241"/>
      <c r="S10" s="241"/>
      <c r="T10" s="241"/>
      <c r="U10" s="241"/>
      <c r="V10" s="241"/>
      <c r="W10" s="241"/>
      <c r="X10" s="241"/>
      <c r="Y10" s="241"/>
      <c r="Z10" s="241"/>
      <c r="AA10" s="241">
        <v>518089.00000000041</v>
      </c>
      <c r="AB10" s="241">
        <v>480457.10810810822</v>
      </c>
      <c r="AC10" s="241">
        <v>480457.10810810805</v>
      </c>
      <c r="AD10" s="241">
        <v>642603.09999999893</v>
      </c>
    </row>
    <row r="11" spans="2:30">
      <c r="B11" s="89">
        <v>2014</v>
      </c>
      <c r="C11" s="241">
        <v>361717.00000000023</v>
      </c>
      <c r="D11" s="241">
        <v>325871.17117117153</v>
      </c>
      <c r="E11" s="241">
        <v>325871.17117117153</v>
      </c>
      <c r="F11" s="241">
        <v>361717.00000000023</v>
      </c>
      <c r="G11" s="241">
        <v>131926.99999999974</v>
      </c>
      <c r="H11" s="241">
        <v>131926.99999999974</v>
      </c>
      <c r="I11" s="241">
        <v>131926.99999999974</v>
      </c>
      <c r="J11" s="241">
        <v>250661.2999999997</v>
      </c>
      <c r="K11" s="241"/>
      <c r="L11" s="241"/>
      <c r="M11" s="241"/>
      <c r="N11" s="241"/>
      <c r="O11" s="241"/>
      <c r="P11" s="241"/>
      <c r="Q11" s="241"/>
      <c r="R11" s="241"/>
      <c r="S11" s="241"/>
      <c r="T11" s="241"/>
      <c r="U11" s="241"/>
      <c r="V11" s="241"/>
      <c r="W11" s="241"/>
      <c r="X11" s="241"/>
      <c r="Y11" s="241"/>
      <c r="Z11" s="241"/>
      <c r="AA11" s="241">
        <v>493644</v>
      </c>
      <c r="AB11" s="241">
        <v>457798.1711711713</v>
      </c>
      <c r="AC11" s="241">
        <v>457798.1711711713</v>
      </c>
      <c r="AD11" s="241">
        <v>612378.30000000051</v>
      </c>
    </row>
    <row r="12" spans="2:30">
      <c r="B12" s="89">
        <v>2015</v>
      </c>
      <c r="C12" s="241">
        <v>356515.99999999983</v>
      </c>
      <c r="D12" s="241">
        <v>321185.58558558655</v>
      </c>
      <c r="E12" s="241">
        <v>321185.58558558655</v>
      </c>
      <c r="F12" s="241">
        <v>356515.99999999983</v>
      </c>
      <c r="G12" s="241">
        <v>132848.99999999983</v>
      </c>
      <c r="H12" s="241">
        <v>132848.99999999983</v>
      </c>
      <c r="I12" s="241">
        <v>132848.99999999983</v>
      </c>
      <c r="J12" s="241">
        <v>252413.10000000021</v>
      </c>
      <c r="K12" s="241"/>
      <c r="L12" s="241"/>
      <c r="M12" s="241"/>
      <c r="N12" s="241"/>
      <c r="O12" s="241"/>
      <c r="P12" s="241"/>
      <c r="Q12" s="241"/>
      <c r="R12" s="241"/>
      <c r="S12" s="241"/>
      <c r="T12" s="241"/>
      <c r="U12" s="241"/>
      <c r="V12" s="241"/>
      <c r="W12" s="241"/>
      <c r="X12" s="241"/>
      <c r="Y12" s="241"/>
      <c r="Z12" s="241"/>
      <c r="AA12" s="241">
        <v>489365</v>
      </c>
      <c r="AB12" s="241">
        <v>454034.58558558568</v>
      </c>
      <c r="AC12" s="241">
        <v>454034.58558558568</v>
      </c>
      <c r="AD12" s="241">
        <v>608929.10000000289</v>
      </c>
    </row>
    <row r="13" spans="2:30">
      <c r="B13" s="89">
        <v>2016</v>
      </c>
      <c r="C13" s="241">
        <v>373318.99999999924</v>
      </c>
      <c r="D13" s="241">
        <v>336323.42342342407</v>
      </c>
      <c r="E13" s="241">
        <v>336323.42342342378</v>
      </c>
      <c r="F13" s="241">
        <v>373318.99999999924</v>
      </c>
      <c r="G13" s="241">
        <v>129539.00000000025</v>
      </c>
      <c r="H13" s="241">
        <v>129539.00000000025</v>
      </c>
      <c r="I13" s="241">
        <v>129539.00000000025</v>
      </c>
      <c r="J13" s="241">
        <v>246124.09999999992</v>
      </c>
      <c r="K13" s="241"/>
      <c r="L13" s="241"/>
      <c r="M13" s="241"/>
      <c r="N13" s="241"/>
      <c r="O13" s="241"/>
      <c r="P13" s="241"/>
      <c r="Q13" s="241"/>
      <c r="R13" s="241"/>
      <c r="S13" s="241"/>
      <c r="T13" s="241"/>
      <c r="U13" s="241"/>
      <c r="V13" s="241"/>
      <c r="W13" s="241"/>
      <c r="X13" s="241"/>
      <c r="Y13" s="241"/>
      <c r="Z13" s="241"/>
      <c r="AA13" s="241">
        <v>502857.99999999919</v>
      </c>
      <c r="AB13" s="241">
        <v>465862.42342342401</v>
      </c>
      <c r="AC13" s="241">
        <v>465862.42342342401</v>
      </c>
      <c r="AD13" s="241">
        <v>619443.09999999881</v>
      </c>
    </row>
    <row r="14" spans="2:30">
      <c r="B14" s="89">
        <v>2017</v>
      </c>
      <c r="C14" s="241">
        <v>421713.99999999924</v>
      </c>
      <c r="D14" s="241">
        <v>379922.52252252353</v>
      </c>
      <c r="E14" s="241">
        <v>379922.52252252348</v>
      </c>
      <c r="F14" s="241">
        <v>421713.99999999924</v>
      </c>
      <c r="G14" s="241">
        <v>127550.00000000026</v>
      </c>
      <c r="H14" s="241">
        <v>127550.00000000026</v>
      </c>
      <c r="I14" s="241">
        <v>127550.00000000026</v>
      </c>
      <c r="J14" s="241">
        <v>242345.00000000058</v>
      </c>
      <c r="K14" s="241">
        <v>3282</v>
      </c>
      <c r="L14" s="241">
        <v>0</v>
      </c>
      <c r="M14" s="241">
        <v>0</v>
      </c>
      <c r="N14" s="241">
        <v>0</v>
      </c>
      <c r="O14" s="241"/>
      <c r="P14" s="241"/>
      <c r="Q14" s="241"/>
      <c r="R14" s="241"/>
      <c r="S14" s="241"/>
      <c r="T14" s="241"/>
      <c r="U14" s="241"/>
      <c r="V14" s="241"/>
      <c r="W14" s="241"/>
      <c r="X14" s="241"/>
      <c r="Y14" s="241"/>
      <c r="Z14" s="241"/>
      <c r="AA14" s="241">
        <v>552546.00000000012</v>
      </c>
      <c r="AB14" s="241">
        <v>507472.52252252394</v>
      </c>
      <c r="AC14" s="241">
        <v>507472.52252252394</v>
      </c>
      <c r="AD14" s="241">
        <v>664059.00000000198</v>
      </c>
    </row>
    <row r="15" spans="2:30">
      <c r="B15" s="89">
        <v>2018</v>
      </c>
      <c r="C15" s="241">
        <v>424200.00000000023</v>
      </c>
      <c r="D15" s="241">
        <v>382162.16216216155</v>
      </c>
      <c r="E15" s="241">
        <v>382162.16216216149</v>
      </c>
      <c r="F15" s="241">
        <v>424200.00000000023</v>
      </c>
      <c r="G15" s="241">
        <v>107052.99999999981</v>
      </c>
      <c r="H15" s="241">
        <v>107052.99999999981</v>
      </c>
      <c r="I15" s="241">
        <v>107052.99999999981</v>
      </c>
      <c r="J15" s="241">
        <v>203400.69999999943</v>
      </c>
      <c r="K15" s="241">
        <v>2084</v>
      </c>
      <c r="L15" s="241">
        <v>0</v>
      </c>
      <c r="M15" s="241">
        <v>0</v>
      </c>
      <c r="N15" s="241">
        <v>0</v>
      </c>
      <c r="O15" s="241"/>
      <c r="P15" s="241"/>
      <c r="Q15" s="241"/>
      <c r="R15" s="241"/>
      <c r="S15" s="241"/>
      <c r="T15" s="241"/>
      <c r="U15" s="241"/>
      <c r="V15" s="241"/>
      <c r="W15" s="241"/>
      <c r="X15" s="241"/>
      <c r="Y15" s="241"/>
      <c r="Z15" s="241"/>
      <c r="AA15" s="241">
        <v>533337</v>
      </c>
      <c r="AB15" s="241">
        <v>489215.16216216137</v>
      </c>
      <c r="AC15" s="241">
        <v>489215.16216216132</v>
      </c>
      <c r="AD15" s="241">
        <v>627600.69999999972</v>
      </c>
    </row>
    <row r="16" spans="2:30">
      <c r="B16" s="89">
        <v>2019</v>
      </c>
      <c r="C16" s="241">
        <v>384771.99999999936</v>
      </c>
      <c r="D16" s="241">
        <v>346641.44144144229</v>
      </c>
      <c r="E16" s="241">
        <v>346641.44144144229</v>
      </c>
      <c r="F16" s="241">
        <v>384771.99999999942</v>
      </c>
      <c r="G16" s="241">
        <v>109092.00000000023</v>
      </c>
      <c r="H16" s="241">
        <v>109092.00000000023</v>
      </c>
      <c r="I16" s="241">
        <v>109092.00000000023</v>
      </c>
      <c r="J16" s="241">
        <v>207274.79999999976</v>
      </c>
      <c r="K16" s="241">
        <v>1867</v>
      </c>
      <c r="L16" s="241">
        <v>0</v>
      </c>
      <c r="M16" s="241">
        <v>0</v>
      </c>
      <c r="N16" s="241">
        <v>0</v>
      </c>
      <c r="O16" s="241"/>
      <c r="P16" s="241"/>
      <c r="Q16" s="241"/>
      <c r="R16" s="241"/>
      <c r="S16" s="241"/>
      <c r="T16" s="241"/>
      <c r="U16" s="241"/>
      <c r="V16" s="241"/>
      <c r="W16" s="241"/>
      <c r="X16" s="241"/>
      <c r="Y16" s="241"/>
      <c r="Z16" s="241"/>
      <c r="AA16" s="241">
        <v>495730.99999999889</v>
      </c>
      <c r="AB16" s="241">
        <v>455733.44144144177</v>
      </c>
      <c r="AC16" s="241">
        <v>455733.44144144177</v>
      </c>
      <c r="AD16" s="241">
        <v>592046.79999999865</v>
      </c>
    </row>
    <row r="17" spans="2:30">
      <c r="B17" s="89">
        <v>2020</v>
      </c>
      <c r="C17" s="241">
        <v>380478.00000000047</v>
      </c>
      <c r="D17" s="241">
        <v>342772.97297297243</v>
      </c>
      <c r="E17" s="241">
        <v>342772.97297297238</v>
      </c>
      <c r="F17" s="241">
        <v>380478.00000000047</v>
      </c>
      <c r="G17" s="241">
        <v>114406.00000000009</v>
      </c>
      <c r="H17" s="241">
        <v>114406.00000000009</v>
      </c>
      <c r="I17" s="241">
        <v>114406.00000000009</v>
      </c>
      <c r="J17" s="241">
        <v>217371.4000000002</v>
      </c>
      <c r="K17" s="241">
        <v>1801</v>
      </c>
      <c r="L17" s="241">
        <v>0</v>
      </c>
      <c r="M17" s="241">
        <v>0</v>
      </c>
      <c r="N17" s="241">
        <v>0</v>
      </c>
      <c r="O17" s="241"/>
      <c r="P17" s="241"/>
      <c r="Q17" s="241"/>
      <c r="R17" s="241"/>
      <c r="S17" s="241"/>
      <c r="T17" s="241"/>
      <c r="U17" s="241"/>
      <c r="V17" s="241"/>
      <c r="W17" s="241"/>
      <c r="X17" s="241"/>
      <c r="Y17" s="241"/>
      <c r="Z17" s="241"/>
      <c r="AA17" s="241">
        <v>496684.99999999936</v>
      </c>
      <c r="AB17" s="241">
        <v>457178.97297297127</v>
      </c>
      <c r="AC17" s="241">
        <v>457178.97297297127</v>
      </c>
      <c r="AD17" s="241">
        <v>597849.40000000165</v>
      </c>
    </row>
    <row r="18" spans="2:30">
      <c r="B18" s="89">
        <v>2021</v>
      </c>
      <c r="C18" s="241">
        <v>459597.99999999977</v>
      </c>
      <c r="D18" s="241">
        <v>414052.25225225126</v>
      </c>
      <c r="E18" s="241">
        <v>414052.25225225126</v>
      </c>
      <c r="F18" s="241">
        <v>459597.99999999988</v>
      </c>
      <c r="G18" s="241">
        <v>120936.00000000015</v>
      </c>
      <c r="H18" s="241">
        <v>120936.00000000015</v>
      </c>
      <c r="I18" s="241">
        <v>120936.00000000015</v>
      </c>
      <c r="J18" s="241">
        <v>229778.39999999973</v>
      </c>
      <c r="K18" s="241">
        <v>0</v>
      </c>
      <c r="L18" s="241">
        <v>0</v>
      </c>
      <c r="M18" s="241">
        <v>0</v>
      </c>
      <c r="N18" s="241">
        <v>0</v>
      </c>
      <c r="O18" s="241"/>
      <c r="P18" s="241"/>
      <c r="Q18" s="241"/>
      <c r="R18" s="241"/>
      <c r="S18" s="241"/>
      <c r="T18" s="241"/>
      <c r="U18" s="241"/>
      <c r="V18" s="241"/>
      <c r="W18" s="241"/>
      <c r="X18" s="241"/>
      <c r="Y18" s="241"/>
      <c r="Z18" s="241"/>
      <c r="AA18" s="241">
        <v>580534.00000000058</v>
      </c>
      <c r="AB18" s="241">
        <v>534988.25225225231</v>
      </c>
      <c r="AC18" s="241">
        <v>534988.25225225231</v>
      </c>
      <c r="AD18" s="241">
        <v>689376.400000002</v>
      </c>
    </row>
    <row r="19" spans="2:30">
      <c r="B19" s="89">
        <v>2022</v>
      </c>
      <c r="C19" s="241">
        <v>393647.35483870917</v>
      </c>
      <c r="D19" s="241">
        <v>354637.25661145058</v>
      </c>
      <c r="E19" s="241">
        <v>354637.25661145052</v>
      </c>
      <c r="F19" s="241">
        <v>393647.35483871005</v>
      </c>
      <c r="G19" s="241">
        <v>125358.99999999997</v>
      </c>
      <c r="H19" s="241">
        <v>125358.99999999997</v>
      </c>
      <c r="I19" s="241">
        <v>125358.99999999997</v>
      </c>
      <c r="J19" s="241">
        <v>238182.10000000094</v>
      </c>
      <c r="K19" s="241">
        <v>0</v>
      </c>
      <c r="L19" s="241">
        <v>0</v>
      </c>
      <c r="M19" s="241">
        <v>0</v>
      </c>
      <c r="N19" s="241">
        <v>0</v>
      </c>
      <c r="O19" s="241"/>
      <c r="P19" s="241"/>
      <c r="Q19" s="241"/>
      <c r="R19" s="241"/>
      <c r="S19" s="241">
        <v>444.81657142857205</v>
      </c>
      <c r="T19" s="241">
        <v>0</v>
      </c>
      <c r="U19" s="241">
        <v>0</v>
      </c>
      <c r="V19" s="241">
        <v>0</v>
      </c>
      <c r="W19" s="241">
        <v>1560.7512981888658</v>
      </c>
      <c r="X19" s="241">
        <v>0</v>
      </c>
      <c r="Y19" s="241">
        <v>0</v>
      </c>
      <c r="Z19" s="241">
        <v>0</v>
      </c>
      <c r="AA19" s="241">
        <v>521011.92270832468</v>
      </c>
      <c r="AB19" s="241">
        <v>479996.25661144865</v>
      </c>
      <c r="AC19" s="241">
        <v>479996.2566114486</v>
      </c>
      <c r="AD19" s="241">
        <v>631829.45483871188</v>
      </c>
    </row>
    <row r="20" spans="2:30">
      <c r="B20" s="89">
        <v>2023</v>
      </c>
      <c r="C20" s="241">
        <v>280882.38709677372</v>
      </c>
      <c r="D20" s="241">
        <v>253047.19558267947</v>
      </c>
      <c r="E20" s="241">
        <v>253047.19558267933</v>
      </c>
      <c r="F20" s="241">
        <v>280882.38709677383</v>
      </c>
      <c r="G20" s="241">
        <v>123982.99999999985</v>
      </c>
      <c r="H20" s="241">
        <v>123982.99999999985</v>
      </c>
      <c r="I20" s="241">
        <v>123982.99999999985</v>
      </c>
      <c r="J20" s="241">
        <v>235567.70000000054</v>
      </c>
      <c r="K20" s="241">
        <v>1770.3477777777782</v>
      </c>
      <c r="L20" s="241">
        <v>0</v>
      </c>
      <c r="M20" s="241">
        <v>0</v>
      </c>
      <c r="N20" s="241">
        <v>0</v>
      </c>
      <c r="O20" s="241"/>
      <c r="P20" s="241"/>
      <c r="Q20" s="241"/>
      <c r="R20" s="241"/>
      <c r="S20" s="241">
        <v>436.40953968253984</v>
      </c>
      <c r="T20" s="241">
        <v>0</v>
      </c>
      <c r="U20" s="241">
        <v>0</v>
      </c>
      <c r="V20" s="241">
        <v>0</v>
      </c>
      <c r="W20" s="241">
        <v>1632.2134920634933</v>
      </c>
      <c r="X20" s="241">
        <v>0</v>
      </c>
      <c r="Y20" s="241">
        <v>0</v>
      </c>
      <c r="Z20" s="241">
        <v>0</v>
      </c>
      <c r="AA20" s="241">
        <v>408704.35790629743</v>
      </c>
      <c r="AB20" s="241">
        <v>377030.19558267941</v>
      </c>
      <c r="AC20" s="241">
        <v>377030.19558267924</v>
      </c>
      <c r="AD20" s="241">
        <v>516450.08709677402</v>
      </c>
    </row>
    <row r="21" spans="2:30">
      <c r="B21" s="89">
        <v>2024</v>
      </c>
      <c r="C21" s="241">
        <v>290115.25806451577</v>
      </c>
      <c r="D21" s="241">
        <v>261365.09735542</v>
      </c>
      <c r="E21" s="241">
        <v>261365.09735541983</v>
      </c>
      <c r="F21" s="241">
        <v>290115.25806451589</v>
      </c>
      <c r="G21" s="241">
        <v>122740.38709677407</v>
      </c>
      <c r="H21" s="241">
        <v>122740.38709677407</v>
      </c>
      <c r="I21" s="241">
        <v>122740.38709677407</v>
      </c>
      <c r="J21" s="241">
        <v>233206.73548387122</v>
      </c>
      <c r="K21" s="241">
        <v>1682.9444870634065</v>
      </c>
      <c r="L21" s="241">
        <v>0</v>
      </c>
      <c r="M21" s="241">
        <v>0</v>
      </c>
      <c r="N21" s="241">
        <v>0</v>
      </c>
      <c r="O21" s="241"/>
      <c r="P21" s="241"/>
      <c r="Q21" s="241"/>
      <c r="R21" s="241"/>
      <c r="S21" s="241">
        <v>433.32234227591618</v>
      </c>
      <c r="T21" s="241">
        <v>0</v>
      </c>
      <c r="U21" s="241">
        <v>0</v>
      </c>
      <c r="V21" s="241">
        <v>0</v>
      </c>
      <c r="W21" s="241">
        <v>1682.944487063409</v>
      </c>
      <c r="X21" s="241">
        <v>0</v>
      </c>
      <c r="Y21" s="241">
        <v>0</v>
      </c>
      <c r="Z21" s="241">
        <v>0</v>
      </c>
      <c r="AA21" s="241">
        <v>416654.8564776929</v>
      </c>
      <c r="AB21" s="241">
        <v>384105.48445219442</v>
      </c>
      <c r="AC21" s="241">
        <v>384105.48445219418</v>
      </c>
      <c r="AD21" s="241">
        <v>523321.99354838679</v>
      </c>
    </row>
    <row r="22" spans="2:30">
      <c r="B22" s="89">
        <v>2025</v>
      </c>
      <c r="C22" s="241">
        <v>293514.99999999983</v>
      </c>
      <c r="D22" s="241">
        <v>264427.92792792822</v>
      </c>
      <c r="E22" s="241">
        <v>264427.92792792822</v>
      </c>
      <c r="F22" s="241">
        <v>293514.99999999988</v>
      </c>
      <c r="G22" s="241">
        <v>127658.61290322569</v>
      </c>
      <c r="H22" s="241">
        <v>127658.61290322569</v>
      </c>
      <c r="I22" s="241">
        <v>127658.61290322569</v>
      </c>
      <c r="J22" s="241">
        <v>242551.36451612902</v>
      </c>
      <c r="K22" s="241">
        <v>1937.2257891866773</v>
      </c>
      <c r="L22" s="241">
        <v>0</v>
      </c>
      <c r="M22" s="241">
        <v>0</v>
      </c>
      <c r="N22" s="241">
        <v>0</v>
      </c>
      <c r="O22" s="241">
        <v>3943.0000000000077</v>
      </c>
      <c r="P22" s="241">
        <v>3943.0000000000077</v>
      </c>
      <c r="Q22" s="241">
        <v>3036.1100000000079</v>
      </c>
      <c r="R22" s="241">
        <v>3943.0000000000077</v>
      </c>
      <c r="S22" s="241">
        <v>400.99530206819924</v>
      </c>
      <c r="T22" s="241">
        <v>0</v>
      </c>
      <c r="U22" s="241">
        <v>0</v>
      </c>
      <c r="V22" s="241">
        <v>0</v>
      </c>
      <c r="W22" s="241">
        <v>1936.7173371119829</v>
      </c>
      <c r="X22" s="241">
        <v>0</v>
      </c>
      <c r="Y22" s="241">
        <v>0</v>
      </c>
      <c r="Z22" s="241">
        <v>0</v>
      </c>
      <c r="AA22" s="241">
        <v>429391.55133159307</v>
      </c>
      <c r="AB22" s="241">
        <v>396029.54083115445</v>
      </c>
      <c r="AC22" s="241">
        <v>395122.65083115443</v>
      </c>
      <c r="AD22" s="241">
        <v>540009.36451612844</v>
      </c>
    </row>
    <row r="23" spans="2:30">
      <c r="B23" s="89">
        <v>2026</v>
      </c>
      <c r="C23" s="241"/>
      <c r="D23" s="241"/>
      <c r="E23" s="241"/>
      <c r="F23" s="241"/>
      <c r="G23" s="241"/>
      <c r="H23" s="241"/>
      <c r="I23" s="241"/>
      <c r="J23" s="241"/>
      <c r="K23" s="241">
        <v>32.666666666666671</v>
      </c>
      <c r="L23" s="241">
        <v>0</v>
      </c>
      <c r="M23" s="241">
        <v>0</v>
      </c>
      <c r="N23" s="241">
        <v>0</v>
      </c>
      <c r="O23" s="241"/>
      <c r="P23" s="241"/>
      <c r="Q23" s="241"/>
      <c r="R23" s="241"/>
      <c r="S23" s="241">
        <v>8.2880000000001015</v>
      </c>
      <c r="T23" s="241">
        <v>0</v>
      </c>
      <c r="U23" s="241">
        <v>0</v>
      </c>
      <c r="V23" s="241">
        <v>0</v>
      </c>
      <c r="W23" s="241">
        <v>32.524333333333196</v>
      </c>
      <c r="X23" s="241">
        <v>0</v>
      </c>
      <c r="Y23" s="241">
        <v>0</v>
      </c>
      <c r="Z23" s="241">
        <v>0</v>
      </c>
      <c r="AA23" s="241">
        <v>73.478999999999942</v>
      </c>
      <c r="AB23" s="241">
        <v>0</v>
      </c>
      <c r="AC23" s="241">
        <v>0</v>
      </c>
      <c r="AD23" s="241">
        <v>0</v>
      </c>
    </row>
    <row r="24" spans="2:30">
      <c r="B24" s="89" t="s">
        <v>89</v>
      </c>
      <c r="C24" s="241">
        <v>5529297.9999999721</v>
      </c>
      <c r="D24" s="241">
        <v>4981349.5495495275</v>
      </c>
      <c r="E24" s="241">
        <v>4981349.5495495275</v>
      </c>
      <c r="F24" s="241">
        <v>5529297.9999999721</v>
      </c>
      <c r="G24" s="241">
        <v>2041444.0000000214</v>
      </c>
      <c r="H24" s="241">
        <v>2041444.0000000214</v>
      </c>
      <c r="I24" s="241">
        <v>2041444.0000000214</v>
      </c>
      <c r="J24" s="241">
        <v>3878743.6000000481</v>
      </c>
      <c r="K24" s="241">
        <v>14457.184720694544</v>
      </c>
      <c r="L24" s="241">
        <v>0</v>
      </c>
      <c r="M24" s="241">
        <v>0</v>
      </c>
      <c r="N24" s="241">
        <v>0</v>
      </c>
      <c r="O24" s="241">
        <v>3943.0000000000077</v>
      </c>
      <c r="P24" s="241">
        <v>3943.0000000000077</v>
      </c>
      <c r="Q24" s="241">
        <v>3036.1100000000079</v>
      </c>
      <c r="R24" s="241">
        <v>3943.0000000000077</v>
      </c>
      <c r="S24" s="241">
        <v>1723.8317554552359</v>
      </c>
      <c r="T24" s="241">
        <v>0</v>
      </c>
      <c r="U24" s="241">
        <v>0</v>
      </c>
      <c r="V24" s="241">
        <v>0</v>
      </c>
      <c r="W24" s="241">
        <v>6845.1509477610471</v>
      </c>
      <c r="X24" s="241">
        <v>0</v>
      </c>
      <c r="Y24" s="241">
        <v>0</v>
      </c>
      <c r="Z24" s="241">
        <v>0</v>
      </c>
      <c r="AA24" s="241">
        <v>7597711.1674238853</v>
      </c>
      <c r="AB24" s="241">
        <v>7026736.5495495312</v>
      </c>
      <c r="AC24" s="241">
        <v>7025829.6595495306</v>
      </c>
      <c r="AD24" s="241">
        <v>9411984.5999999344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6"/>
  <dimension ref="A2:BJ240"/>
  <sheetViews>
    <sheetView zoomScale="55" zoomScaleNormal="55" workbookViewId="0"/>
  </sheetViews>
  <sheetFormatPr baseColWidth="10" defaultColWidth="11.453125" defaultRowHeight="14.5"/>
  <cols>
    <col min="1" max="1" width="16.1796875" customWidth="1"/>
    <col min="2" max="2" width="9.54296875" customWidth="1"/>
    <col min="3" max="43" width="13.26953125" customWidth="1"/>
  </cols>
  <sheetData>
    <row r="2" spans="1:62" ht="18.5">
      <c r="C2" s="569" t="s">
        <v>101</v>
      </c>
      <c r="D2" s="570"/>
      <c r="E2" s="570"/>
      <c r="F2" s="570"/>
      <c r="G2" s="570"/>
      <c r="H2" s="570"/>
      <c r="I2" s="570"/>
      <c r="J2" s="570"/>
      <c r="K2" s="571"/>
    </row>
    <row r="3" spans="1:62" ht="15" thickBot="1">
      <c r="H3" s="172" t="s">
        <v>102</v>
      </c>
      <c r="N3">
        <v>2021</v>
      </c>
      <c r="X3">
        <v>2022</v>
      </c>
      <c r="AH3">
        <v>2023</v>
      </c>
      <c r="AR3">
        <v>2024</v>
      </c>
      <c r="BB3">
        <v>2025</v>
      </c>
    </row>
    <row r="4" spans="1:62" ht="73" thickBot="1">
      <c r="A4" s="280" t="s">
        <v>511</v>
      </c>
      <c r="C4" s="133" t="s">
        <v>103</v>
      </c>
      <c r="D4" s="134" t="s">
        <v>104</v>
      </c>
      <c r="E4" s="135" t="s">
        <v>105</v>
      </c>
      <c r="F4" s="136" t="s">
        <v>106</v>
      </c>
      <c r="G4" s="137" t="s">
        <v>107</v>
      </c>
      <c r="H4" s="173" t="s">
        <v>108</v>
      </c>
      <c r="I4" s="138" t="s">
        <v>109</v>
      </c>
      <c r="J4" s="138" t="s">
        <v>110</v>
      </c>
      <c r="K4" s="174" t="s">
        <v>111</v>
      </c>
      <c r="L4" s="139" t="s">
        <v>112</v>
      </c>
      <c r="M4" s="140"/>
      <c r="N4" s="134" t="s">
        <v>113</v>
      </c>
      <c r="O4" s="135" t="s">
        <v>105</v>
      </c>
      <c r="P4" s="141" t="s">
        <v>106</v>
      </c>
      <c r="Q4" s="142" t="s">
        <v>107</v>
      </c>
      <c r="R4" s="173" t="s">
        <v>108</v>
      </c>
      <c r="S4" s="138" t="s">
        <v>109</v>
      </c>
      <c r="T4" s="138" t="s">
        <v>110</v>
      </c>
      <c r="U4" s="138" t="s">
        <v>111</v>
      </c>
      <c r="V4" s="139" t="s">
        <v>112</v>
      </c>
      <c r="W4" s="140"/>
      <c r="X4" s="133" t="s">
        <v>114</v>
      </c>
      <c r="Y4" s="135" t="s">
        <v>105</v>
      </c>
      <c r="Z4" s="136" t="s">
        <v>106</v>
      </c>
      <c r="AA4" s="137" t="s">
        <v>107</v>
      </c>
      <c r="AB4" s="173" t="s">
        <v>108</v>
      </c>
      <c r="AC4" s="138" t="s">
        <v>109</v>
      </c>
      <c r="AD4" s="138" t="s">
        <v>110</v>
      </c>
      <c r="AE4" s="138" t="s">
        <v>111</v>
      </c>
      <c r="AF4" s="139" t="s">
        <v>112</v>
      </c>
      <c r="AG4" s="140"/>
      <c r="AH4" s="133" t="s">
        <v>115</v>
      </c>
      <c r="AI4" s="135" t="s">
        <v>105</v>
      </c>
      <c r="AJ4" s="136" t="s">
        <v>106</v>
      </c>
      <c r="AK4" s="137" t="s">
        <v>107</v>
      </c>
      <c r="AL4" s="173" t="s">
        <v>108</v>
      </c>
      <c r="AM4" s="138" t="s">
        <v>109</v>
      </c>
      <c r="AN4" s="138" t="s">
        <v>110</v>
      </c>
      <c r="AO4" s="138" t="s">
        <v>111</v>
      </c>
      <c r="AP4" s="139" t="s">
        <v>112</v>
      </c>
      <c r="AQ4" s="140"/>
      <c r="AR4" s="133" t="s">
        <v>116</v>
      </c>
      <c r="AS4" s="135" t="s">
        <v>105</v>
      </c>
      <c r="AT4" s="136" t="s">
        <v>106</v>
      </c>
      <c r="AU4" s="137" t="s">
        <v>107</v>
      </c>
      <c r="AV4" s="173" t="s">
        <v>108</v>
      </c>
      <c r="AW4" s="138" t="s">
        <v>109</v>
      </c>
      <c r="AX4" s="138" t="s">
        <v>110</v>
      </c>
      <c r="AY4" s="138" t="s">
        <v>111</v>
      </c>
      <c r="AZ4" s="139" t="s">
        <v>112</v>
      </c>
      <c r="BB4" s="133" t="s">
        <v>116</v>
      </c>
      <c r="BC4" s="135" t="s">
        <v>105</v>
      </c>
      <c r="BD4" s="136" t="s">
        <v>106</v>
      </c>
      <c r="BE4" s="137" t="s">
        <v>107</v>
      </c>
      <c r="BF4" s="173" t="s">
        <v>108</v>
      </c>
      <c r="BG4" s="138" t="s">
        <v>109</v>
      </c>
      <c r="BH4" s="138" t="s">
        <v>110</v>
      </c>
      <c r="BI4" s="138" t="s">
        <v>111</v>
      </c>
      <c r="BJ4" s="139" t="s">
        <v>112</v>
      </c>
    </row>
    <row r="5" spans="1:62">
      <c r="C5" t="str">
        <f>'CALCUL DEET'!D11</f>
        <v>Année</v>
      </c>
      <c r="D5" s="131" t="e">
        <f>'CALCUL DEET'!D18</f>
        <v>#N/A</v>
      </c>
      <c r="E5" s="131">
        <f>'CALCUL DEET'!D30</f>
        <v>0</v>
      </c>
      <c r="F5" s="131">
        <f>'CALCUL DEET'!D14</f>
        <v>0</v>
      </c>
      <c r="G5" s="121" t="e">
        <f>GETPIVOTDATA("Somme de Conso_mois_U ",#REF!,"ANNEE",C5,"Type","Consommation","Detail usage","General EF")</f>
        <v>#REF!</v>
      </c>
      <c r="H5" s="175">
        <f>IF('CALCUL DEET'!D30=0,0,SUM('CALCUL DEET'!D36:'CALCUL DEET'!D38))</f>
        <v>0</v>
      </c>
      <c r="I5" s="175">
        <f>'CALCUL DEET'!D35</f>
        <v>0</v>
      </c>
      <c r="J5" s="175">
        <f>IF('CALCUL DEET'!D30=0,0,SUM('CALCUL DEET'!D35:'CALCUL DEET'!D38))</f>
        <v>0</v>
      </c>
      <c r="K5" s="175">
        <f>'CALCUL DEET'!D33</f>
        <v>0</v>
      </c>
      <c r="L5" s="175" t="e">
        <f>(G5/(VLOOKUP(C5,Site!$B$8:$G$23,5,FALSE)+VLOOKUP(C5,Site!$B$8:$G$23,6,FALSE))*1000/(DATE(C5,12,31)-DATE(C5,1,1)+1))</f>
        <v>#REF!</v>
      </c>
      <c r="N5" s="131">
        <f>'CALCUL DEET'!F18</f>
        <v>0</v>
      </c>
      <c r="O5" s="131">
        <f>'CALCUL DEET'!F30</f>
        <v>414052.25225225126</v>
      </c>
      <c r="P5" s="131">
        <f>'CALCUL DEET'!F14</f>
        <v>120936.00000000015</v>
      </c>
      <c r="Q5" s="121" t="e">
        <f>GETPIVOTDATA("Somme de Conso_mois_U ",#REF!,"ANNEE",N3,"Type","Consommation","Detail usage","General EF")</f>
        <v>#REF!</v>
      </c>
      <c r="R5" s="175" t="e">
        <f>IF('CALCUL DEET'!F30=0,0,SUM('CALCUL DEET'!F36:'CALCUL DEET'!F38))</f>
        <v>#DIV/0!</v>
      </c>
      <c r="S5" s="175" t="e">
        <f>'CALCUL DEET'!F35</f>
        <v>#DIV/0!</v>
      </c>
      <c r="T5" s="175" t="e">
        <f>IF('CALCUL DEET'!F30=0,0,SUM('CALCUL DEET'!F35:'CALCUL DEET'!F38))</f>
        <v>#DIV/0!</v>
      </c>
      <c r="U5" s="175" t="e">
        <f>'CALCUL DEET'!F33</f>
        <v>#DIV/0!</v>
      </c>
      <c r="V5" s="175" t="e">
        <f>(Q5/(VLOOKUP(N3,Site!$B$8:$G$23,5,FALSE)+VLOOKUP(N3,Site!$B$8:$G$23,6,FALSE)))*1000/(DATE(N3,12,31)-DATE(N3,1,1)+1)</f>
        <v>#REF!</v>
      </c>
      <c r="X5" s="131">
        <f>'CALCUL DEET'!G18</f>
        <v>0</v>
      </c>
      <c r="Y5" s="131">
        <f>'CALCUL DEET'!G30</f>
        <v>354637.25661145058</v>
      </c>
      <c r="Z5" s="131">
        <f>'CALCUL DEET'!G14</f>
        <v>125358.99999999997</v>
      </c>
      <c r="AA5" s="121" t="e">
        <f>GETPIVOTDATA("Somme de Conso_mois_U ",#REF!,"ANNEE",X3,"Type","Consommation","Detail usage","General EF")</f>
        <v>#REF!</v>
      </c>
      <c r="AB5" s="175" t="e">
        <f>IF('CALCUL DEET'!G30=0,0,SUM('CALCUL DEET'!G36:'CALCUL DEET'!G38))</f>
        <v>#DIV/0!</v>
      </c>
      <c r="AC5" s="175" t="e">
        <f>'CALCUL DEET'!G35</f>
        <v>#DIV/0!</v>
      </c>
      <c r="AD5" s="175" t="e">
        <f>IF('CALCUL DEET'!G30=0,0,SUM('CALCUL DEET'!G35:'CALCUL DEET'!G38))</f>
        <v>#DIV/0!</v>
      </c>
      <c r="AE5" s="175" t="e">
        <f>'CALCUL DEET'!G33</f>
        <v>#DIV/0!</v>
      </c>
      <c r="AF5" s="175" t="e">
        <f>(AA5/(VLOOKUP(X3,Site!$B$8:$G$23,5,FALSE)+VLOOKUP(X3,Site!$B$8:$G$23,6,FALSE)))*1000/(DATE(X3,12,31)-DATE(X3,1,1)+1)</f>
        <v>#REF!</v>
      </c>
      <c r="AH5" s="131">
        <f>'CALCUL DEET'!H18</f>
        <v>0</v>
      </c>
      <c r="AI5" s="131">
        <f>'CALCUL DEET'!H30</f>
        <v>253047.19558267947</v>
      </c>
      <c r="AJ5" s="131">
        <f>'CALCUL DEET'!H14</f>
        <v>123982.99999999985</v>
      </c>
      <c r="AK5" s="121" t="e">
        <f>GETPIVOTDATA("Somme de Conso_mois_U ",#REF!,"ANNEE",AH3,"Type","Consommation","Detail usage","General EF")</f>
        <v>#REF!</v>
      </c>
      <c r="AL5" s="175" t="e">
        <f>IF('CALCUL DEET'!H30=0,0,SUM('CALCUL DEET'!H36:'CALCUL DEET'!H38))</f>
        <v>#DIV/0!</v>
      </c>
      <c r="AM5" s="175" t="e">
        <f>'CALCUL DEET'!H35</f>
        <v>#DIV/0!</v>
      </c>
      <c r="AN5" s="175" t="e">
        <f>IF('CALCUL DEET'!H30=0,0,SUM('CALCUL DEET'!H35:'CALCUL DEET'!H38))</f>
        <v>#DIV/0!</v>
      </c>
      <c r="AO5" s="175" t="e">
        <f>'CALCUL DEET'!H33</f>
        <v>#DIV/0!</v>
      </c>
      <c r="AP5" s="175" t="e">
        <f>(AK5/(VLOOKUP(AH3,Site!$B$8:$G$23,5,FALSE)+VLOOKUP(AH3,Site!$B$8:$G$23,6,FALSE)))*1000/(DATE(AH3,12,31)-DATE(AH3,1,1)+1)</f>
        <v>#REF!</v>
      </c>
      <c r="AR5" s="131">
        <f>'CALCUL DEET'!I18</f>
        <v>0</v>
      </c>
      <c r="AS5" s="131">
        <f>'CALCUL DEET'!I30</f>
        <v>261365.09735542</v>
      </c>
      <c r="AT5" s="131">
        <f>'CALCUL DEET'!I14</f>
        <v>122740.38709677407</v>
      </c>
      <c r="AU5" s="121" t="e">
        <f>GETPIVOTDATA("Somme de Conso_mois_U ",#REF!,"ANNEE",AR3,"Type","Consommation","Detail usage","General EF")</f>
        <v>#REF!</v>
      </c>
      <c r="AV5" s="175" t="e">
        <f>IF('CALCUL DEET'!I30=0,0,SUM('CALCUL DEET'!I36:'CALCUL DEET'!I38))</f>
        <v>#DIV/0!</v>
      </c>
      <c r="AW5" s="175" t="e">
        <f>'CALCUL DEET'!I35</f>
        <v>#DIV/0!</v>
      </c>
      <c r="AX5" s="175" t="e">
        <f>IF('CALCUL DEET'!I30=0,0,SUM('CALCUL DEET'!I35:'CALCUL DEET'!I38))</f>
        <v>#DIV/0!</v>
      </c>
      <c r="AY5" s="175" t="e">
        <f>'CALCUL DEET'!I33</f>
        <v>#DIV/0!</v>
      </c>
      <c r="AZ5" s="175" t="e">
        <f>(AU5/(VLOOKUP(AR3,Site!$B$8:$G$23,5,FALSE)+VLOOKUP(AR3,Site!$B$8:$G$23,6,FALSE)))*1000/(DATE(AR3,12,31)-DATE(AR3,1,1)+1)</f>
        <v>#REF!</v>
      </c>
      <c r="BB5" s="131">
        <f>'CALCUL DEET'!J18</f>
        <v>0</v>
      </c>
      <c r="BC5" s="131">
        <f>'CALCUL DEET'!J30</f>
        <v>264427.92792792822</v>
      </c>
      <c r="BD5" s="131">
        <f>'CALCUL DEET'!J14</f>
        <v>127658.61290322569</v>
      </c>
      <c r="BE5" s="121" t="e">
        <f>GETPIVOTDATA("Somme de Conso_mois_U ",#REF!,"ANNEE",BB3,"Type","Consommation","Detail usage","General EF")</f>
        <v>#REF!</v>
      </c>
      <c r="BF5" s="175" t="e">
        <f>IF('CALCUL DEET'!J30=0,0,SUM('CALCUL DEET'!J36:'CALCUL DEET'!J38))</f>
        <v>#DIV/0!</v>
      </c>
      <c r="BG5" s="175" t="e">
        <f>'CALCUL DEET'!J35</f>
        <v>#DIV/0!</v>
      </c>
      <c r="BH5" s="175" t="e">
        <f>IF('CALCUL DEET'!J30=0,0,SUM('CALCUL DEET'!J35:'CALCUL DEET'!J38))</f>
        <v>#DIV/0!</v>
      </c>
      <c r="BI5" s="175" t="e">
        <f>'CALCUL DEET'!J33</f>
        <v>#DIV/0!</v>
      </c>
      <c r="BJ5" s="175" t="e">
        <f>(BE5/(VLOOKUP(BB3,Site!$B$8:$G$23,5,FALSE)+VLOOKUP(BB3,Site!$B$8:$G$23,6,FALSE)))*1000/(DATE(BB3,12,31)-DATE(BB3,1,1)+1)</f>
        <v>#REF!</v>
      </c>
    </row>
    <row r="6" spans="1:62">
      <c r="K6" s="176" t="s">
        <v>117</v>
      </c>
    </row>
    <row r="7" spans="1:62" s="264" customFormat="1">
      <c r="F7" s="264">
        <v>2021</v>
      </c>
      <c r="G7" s="264">
        <v>2022</v>
      </c>
      <c r="H7" s="264">
        <v>2023</v>
      </c>
      <c r="I7" s="264">
        <v>2024</v>
      </c>
      <c r="J7" s="264">
        <v>2025</v>
      </c>
      <c r="K7" s="264">
        <v>2026</v>
      </c>
      <c r="N7" s="264">
        <v>2021</v>
      </c>
      <c r="O7" s="264">
        <v>2022</v>
      </c>
      <c r="P7" s="264">
        <v>2023</v>
      </c>
      <c r="Q7" s="264">
        <v>2024</v>
      </c>
      <c r="R7" s="264">
        <v>2025</v>
      </c>
      <c r="S7" s="264">
        <v>2026</v>
      </c>
      <c r="U7" s="264" t="str">
        <f>C10</f>
        <v>Année</v>
      </c>
      <c r="V7" s="264">
        <v>2021</v>
      </c>
      <c r="W7" s="264">
        <v>2022</v>
      </c>
      <c r="X7" s="264">
        <v>2023</v>
      </c>
      <c r="Y7" s="264">
        <v>2024</v>
      </c>
      <c r="Z7" s="264">
        <v>2025</v>
      </c>
      <c r="AA7" s="264">
        <v>2026</v>
      </c>
      <c r="AD7" s="264">
        <v>2021</v>
      </c>
      <c r="AE7" s="264">
        <v>2022</v>
      </c>
      <c r="AF7" s="264">
        <v>2023</v>
      </c>
      <c r="AG7" s="264">
        <v>2024</v>
      </c>
      <c r="AH7" s="264">
        <v>2025</v>
      </c>
      <c r="AI7" s="264">
        <v>2026</v>
      </c>
      <c r="AL7" s="264">
        <v>2021</v>
      </c>
      <c r="AM7" s="264">
        <v>2022</v>
      </c>
      <c r="AN7" s="264">
        <v>2023</v>
      </c>
      <c r="AO7" s="264">
        <v>2024</v>
      </c>
      <c r="AP7" s="264">
        <v>2025</v>
      </c>
      <c r="AQ7" s="264">
        <v>2026</v>
      </c>
    </row>
    <row r="8" spans="1:62" ht="72.5">
      <c r="A8" s="280" t="s">
        <v>510</v>
      </c>
      <c r="C8" s="279" t="s">
        <v>103</v>
      </c>
      <c r="D8" s="277"/>
      <c r="E8" s="278" t="s">
        <v>475</v>
      </c>
      <c r="F8" s="278" t="s">
        <v>476</v>
      </c>
      <c r="G8" s="278" t="s">
        <v>477</v>
      </c>
      <c r="H8" s="278" t="s">
        <v>478</v>
      </c>
      <c r="I8" s="278" t="s">
        <v>479</v>
      </c>
      <c r="J8" s="278" t="s">
        <v>480</v>
      </c>
      <c r="K8" s="278" t="s">
        <v>481</v>
      </c>
      <c r="L8" s="277"/>
      <c r="M8" s="278" t="s">
        <v>482</v>
      </c>
      <c r="N8" s="278" t="s">
        <v>483</v>
      </c>
      <c r="O8" s="278" t="s">
        <v>484</v>
      </c>
      <c r="P8" s="278" t="s">
        <v>485</v>
      </c>
      <c r="Q8" s="278" t="s">
        <v>486</v>
      </c>
      <c r="R8" s="278" t="s">
        <v>487</v>
      </c>
      <c r="S8" s="278" t="s">
        <v>488</v>
      </c>
      <c r="T8" s="277"/>
      <c r="U8" s="278" t="s">
        <v>489</v>
      </c>
      <c r="V8" s="278" t="s">
        <v>490</v>
      </c>
      <c r="W8" s="278" t="s">
        <v>491</v>
      </c>
      <c r="X8" s="278" t="s">
        <v>492</v>
      </c>
      <c r="Y8" s="278" t="s">
        <v>493</v>
      </c>
      <c r="Z8" s="278" t="s">
        <v>494</v>
      </c>
      <c r="AA8" s="278" t="s">
        <v>495</v>
      </c>
      <c r="AB8" s="277"/>
      <c r="AC8" s="278" t="s">
        <v>496</v>
      </c>
      <c r="AD8" s="278" t="s">
        <v>497</v>
      </c>
      <c r="AE8" s="278" t="s">
        <v>498</v>
      </c>
      <c r="AF8" s="278" t="s">
        <v>499</v>
      </c>
      <c r="AG8" s="278" t="s">
        <v>500</v>
      </c>
      <c r="AH8" s="278" t="s">
        <v>501</v>
      </c>
      <c r="AI8" s="278" t="s">
        <v>502</v>
      </c>
      <c r="AJ8" s="277"/>
      <c r="AK8" s="278" t="s">
        <v>503</v>
      </c>
      <c r="AL8" s="278" t="s">
        <v>504</v>
      </c>
      <c r="AM8" s="278" t="s">
        <v>505</v>
      </c>
      <c r="AN8" s="278" t="s">
        <v>506</v>
      </c>
      <c r="AO8" s="278" t="s">
        <v>507</v>
      </c>
      <c r="AP8" s="278" t="s">
        <v>508</v>
      </c>
      <c r="AQ8" s="278" t="s">
        <v>509</v>
      </c>
    </row>
    <row r="9" spans="1:62" s="264" customFormat="1">
      <c r="C9" s="279"/>
      <c r="D9" s="277"/>
      <c r="E9" s="281">
        <f>'CALCUL DEET'!D30</f>
        <v>0</v>
      </c>
      <c r="F9" s="281">
        <f>'CALCUL DEET'!F30</f>
        <v>414052.25225225126</v>
      </c>
      <c r="G9" s="281">
        <f>'CALCUL DEET'!G30</f>
        <v>354637.25661145058</v>
      </c>
      <c r="H9" s="281">
        <f>'CALCUL DEET'!H30</f>
        <v>253047.19558267947</v>
      </c>
      <c r="I9" s="281">
        <f>'CALCUL DEET'!I30</f>
        <v>261365.09735542</v>
      </c>
      <c r="J9" s="281">
        <f>'CALCUL DEET'!J30</f>
        <v>264427.92792792822</v>
      </c>
      <c r="K9" s="281">
        <f>'CALCUL DEET'!K30</f>
        <v>0</v>
      </c>
      <c r="L9" s="277"/>
      <c r="M9" s="278">
        <f>'CALCUL DEET'!D14</f>
        <v>0</v>
      </c>
      <c r="N9" s="281">
        <f>'CALCUL DEET'!F14</f>
        <v>120936.00000000015</v>
      </c>
      <c r="O9" s="281">
        <f>'CALCUL DEET'!G14</f>
        <v>125358.99999999997</v>
      </c>
      <c r="P9" s="281">
        <f>'CALCUL DEET'!H14</f>
        <v>123982.99999999985</v>
      </c>
      <c r="Q9" s="281">
        <f>'CALCUL DEET'!I14</f>
        <v>122740.38709677407</v>
      </c>
      <c r="R9" s="281">
        <f>'CALCUL DEET'!J14</f>
        <v>127658.61290322569</v>
      </c>
      <c r="S9" s="281">
        <f>'CALCUL DEET'!K14</f>
        <v>0</v>
      </c>
      <c r="T9" s="277"/>
      <c r="U9" s="278">
        <f>HLOOKUP(U7,'CALCUL DEET'!C11:N40,30,0)</f>
        <v>0</v>
      </c>
      <c r="V9" s="278">
        <f>HLOOKUP(V7,'CALCUL DEET'!D11:O40,30,0)</f>
        <v>0</v>
      </c>
      <c r="W9" s="278">
        <f>HLOOKUP(W7,'CALCUL DEET'!E11:P40,30,0)</f>
        <v>0</v>
      </c>
      <c r="X9" s="278">
        <f>HLOOKUP(X7,'CALCUL DEET'!F11:Q40,30,0)</f>
        <v>1770.3477777777782</v>
      </c>
      <c r="Y9" s="278">
        <f>HLOOKUP(Y7,'CALCUL DEET'!G11:R40,30,0)</f>
        <v>1682.9444870634065</v>
      </c>
      <c r="Z9" s="278">
        <f>HLOOKUP(Z7,'CALCUL DEET'!H11:S40,30,0)</f>
        <v>1937.2257891866773</v>
      </c>
      <c r="AA9" s="278">
        <f>HLOOKUP(AA7,'CALCUL DEET'!I11:T40,30,0)</f>
        <v>32.666666666666671</v>
      </c>
      <c r="AB9" s="277"/>
      <c r="AC9" s="278">
        <f>IF('CALCUL DEET'!D30=0,0,SUM('CALCUL DEET'!D36:'CALCUL DEET'!D38))</f>
        <v>0</v>
      </c>
      <c r="AD9" s="278" t="e">
        <f>IF('CALCUL DEET'!F30=0,0,SUM('CALCUL DEET'!F36:'CALCUL DEET'!F38))</f>
        <v>#DIV/0!</v>
      </c>
      <c r="AE9" s="278" t="e">
        <f>IF('CALCUL DEET'!G30=0,0,SUM('CALCUL DEET'!G36:'CALCUL DEET'!G38))</f>
        <v>#DIV/0!</v>
      </c>
      <c r="AF9" s="278" t="e">
        <f>IF('CALCUL DEET'!H30=0,0,SUM('CALCUL DEET'!H36:'CALCUL DEET'!H38))</f>
        <v>#DIV/0!</v>
      </c>
      <c r="AG9" s="278" t="e">
        <f>IF('CALCUL DEET'!I30=0,0,SUM('CALCUL DEET'!I36:'CALCUL DEET'!I38))</f>
        <v>#DIV/0!</v>
      </c>
      <c r="AH9" s="278" t="e">
        <f>IF('CALCUL DEET'!J30=0,0,SUM('CALCUL DEET'!J36:'CALCUL DEET'!J38))</f>
        <v>#DIV/0!</v>
      </c>
      <c r="AI9" s="278">
        <f>IF('CALCUL DEET'!K30=0,0,SUM('CALCUL DEET'!K36:'CALCUL DEET'!K38))</f>
        <v>0</v>
      </c>
      <c r="AJ9" s="277"/>
      <c r="AK9" s="278">
        <f>'CALCUL DEET'!D35</f>
        <v>0</v>
      </c>
      <c r="AL9" s="278" t="e">
        <f>'CALCUL DEET'!F35</f>
        <v>#DIV/0!</v>
      </c>
      <c r="AM9" s="278" t="e">
        <f>'CALCUL DEET'!G35</f>
        <v>#DIV/0!</v>
      </c>
      <c r="AN9" s="278" t="e">
        <f>'CALCUL DEET'!H35</f>
        <v>#DIV/0!</v>
      </c>
      <c r="AO9" s="278" t="e">
        <f>'CALCUL DEET'!I35</f>
        <v>#DIV/0!</v>
      </c>
      <c r="AP9" s="278" t="e">
        <f>'CALCUL DEET'!J35</f>
        <v>#DIV/0!</v>
      </c>
      <c r="AQ9" s="278">
        <f>'CALCUL DEET'!K35</f>
        <v>0</v>
      </c>
    </row>
    <row r="10" spans="1:62" s="264" customFormat="1" ht="29">
      <c r="A10" s="283" t="s">
        <v>512</v>
      </c>
      <c r="C10" s="576" t="str">
        <f>'CALCUL DEET'!D11</f>
        <v>Année</v>
      </c>
      <c r="D10" s="290"/>
      <c r="E10" s="577" t="str">
        <f t="shared" ref="E10:K10" si="0">IF($A$12&lt;E7,"",IF(E9=0,"",E9))</f>
        <v/>
      </c>
      <c r="F10" s="577">
        <f t="shared" si="0"/>
        <v>414052.25225225126</v>
      </c>
      <c r="G10" s="577">
        <f t="shared" si="0"/>
        <v>354637.25661145058</v>
      </c>
      <c r="H10" s="577">
        <f t="shared" si="0"/>
        <v>253047.19558267947</v>
      </c>
      <c r="I10" s="577">
        <f t="shared" si="0"/>
        <v>261365.09735542</v>
      </c>
      <c r="J10" s="577">
        <f t="shared" si="0"/>
        <v>264427.92792792822</v>
      </c>
      <c r="K10" s="577" t="str">
        <f t="shared" si="0"/>
        <v/>
      </c>
      <c r="L10" s="290"/>
      <c r="M10" s="577" t="str">
        <f t="shared" ref="M10:S10" si="1">IF($A$12&lt;M7,"",IF(M9=0,"",M9))</f>
        <v/>
      </c>
      <c r="N10" s="577">
        <f t="shared" si="1"/>
        <v>120936.00000000015</v>
      </c>
      <c r="O10" s="577">
        <f t="shared" si="1"/>
        <v>125358.99999999997</v>
      </c>
      <c r="P10" s="577">
        <f t="shared" si="1"/>
        <v>123982.99999999985</v>
      </c>
      <c r="Q10" s="577">
        <f t="shared" si="1"/>
        <v>122740.38709677407</v>
      </c>
      <c r="R10" s="577">
        <f t="shared" si="1"/>
        <v>127658.61290322569</v>
      </c>
      <c r="S10" s="577" t="str">
        <f t="shared" si="1"/>
        <v/>
      </c>
      <c r="T10" s="290"/>
      <c r="U10" s="577" t="str">
        <f>IF($A$12&lt;U7,"",IF(U9=0,"",U9))</f>
        <v/>
      </c>
      <c r="V10" s="577" t="str">
        <f t="shared" ref="V10:AA10" si="2">IF($A$12&lt;V7,"",IF(V9=0,"",V9))</f>
        <v/>
      </c>
      <c r="W10" s="577" t="str">
        <f t="shared" si="2"/>
        <v/>
      </c>
      <c r="X10" s="577">
        <f t="shared" si="2"/>
        <v>1770.3477777777782</v>
      </c>
      <c r="Y10" s="577">
        <f t="shared" si="2"/>
        <v>1682.9444870634065</v>
      </c>
      <c r="Z10" s="577">
        <f t="shared" si="2"/>
        <v>1937.2257891866773</v>
      </c>
      <c r="AA10" s="577" t="str">
        <f t="shared" si="2"/>
        <v/>
      </c>
      <c r="AB10" s="290"/>
      <c r="AC10" s="577" t="str">
        <f t="shared" ref="AC10:AI10" si="3">IF($A$12&lt;AC7,"",IF(AC9=0,"",AC9))</f>
        <v/>
      </c>
      <c r="AD10" s="577" t="e">
        <f t="shared" si="3"/>
        <v>#DIV/0!</v>
      </c>
      <c r="AE10" s="577" t="e">
        <f t="shared" si="3"/>
        <v>#DIV/0!</v>
      </c>
      <c r="AF10" s="577" t="e">
        <f t="shared" si="3"/>
        <v>#DIV/0!</v>
      </c>
      <c r="AG10" s="577" t="e">
        <f t="shared" si="3"/>
        <v>#DIV/0!</v>
      </c>
      <c r="AH10" s="577" t="e">
        <f t="shared" si="3"/>
        <v>#DIV/0!</v>
      </c>
      <c r="AI10" s="577" t="str">
        <f t="shared" si="3"/>
        <v/>
      </c>
      <c r="AJ10" s="290"/>
      <c r="AK10" s="577" t="str">
        <f t="shared" ref="AK10:AQ10" si="4">IF($A$12&lt;AK7,"",IF(AK9=0,"0",AK9))</f>
        <v>0</v>
      </c>
      <c r="AL10" s="577" t="e">
        <f t="shared" si="4"/>
        <v>#DIV/0!</v>
      </c>
      <c r="AM10" s="577" t="e">
        <f t="shared" si="4"/>
        <v>#DIV/0!</v>
      </c>
      <c r="AN10" s="577" t="e">
        <f t="shared" si="4"/>
        <v>#DIV/0!</v>
      </c>
      <c r="AO10" s="577" t="e">
        <f t="shared" si="4"/>
        <v>#DIV/0!</v>
      </c>
      <c r="AP10" s="577" t="e">
        <f t="shared" si="4"/>
        <v>#DIV/0!</v>
      </c>
      <c r="AQ10" s="577" t="str">
        <f t="shared" si="4"/>
        <v/>
      </c>
      <c r="AR10" s="290"/>
    </row>
    <row r="11" spans="1:62">
      <c r="A11" s="283"/>
    </row>
    <row r="12" spans="1:62">
      <c r="A12" s="282">
        <f>'CALCUL DEET'!$R$14</f>
        <v>2025</v>
      </c>
      <c r="R12" s="276"/>
      <c r="S12" s="276"/>
      <c r="T12" s="276"/>
      <c r="U12" s="276"/>
      <c r="V12" s="276"/>
      <c r="W12" s="276"/>
      <c r="X12" s="276"/>
      <c r="Y12" s="276"/>
      <c r="Z12" s="276"/>
      <c r="AA12" s="276"/>
      <c r="AP12" s="222"/>
    </row>
    <row r="13" spans="1:62" s="276" customFormat="1" ht="18.5">
      <c r="A13" s="286"/>
      <c r="C13" s="285"/>
      <c r="D13" s="285"/>
      <c r="E13" s="285"/>
      <c r="F13" s="285"/>
      <c r="G13" s="285"/>
      <c r="H13" s="285"/>
      <c r="I13" s="285"/>
      <c r="J13" s="285"/>
      <c r="K13" s="285"/>
    </row>
    <row r="14" spans="1:62" s="276" customFormat="1" ht="18.5">
      <c r="A14" s="286"/>
      <c r="C14" s="569" t="s">
        <v>118</v>
      </c>
      <c r="D14" s="570"/>
      <c r="E14" s="570"/>
      <c r="F14" s="570"/>
      <c r="G14" s="570"/>
      <c r="H14" s="570"/>
      <c r="I14" s="570"/>
      <c r="J14" s="570"/>
      <c r="K14" s="571"/>
    </row>
    <row r="15" spans="1:62">
      <c r="R15" s="276"/>
      <c r="S15" s="276"/>
      <c r="T15" s="276"/>
      <c r="U15" s="276"/>
      <c r="V15" s="276"/>
      <c r="W15" s="276"/>
      <c r="X15" s="276"/>
      <c r="Y15" s="276"/>
      <c r="Z15" s="276"/>
      <c r="AA15" s="276"/>
    </row>
    <row r="16" spans="1:62">
      <c r="C16" t="s">
        <v>119</v>
      </c>
      <c r="R16" s="276"/>
      <c r="S16" s="276"/>
      <c r="T16" s="276"/>
      <c r="U16" s="276"/>
      <c r="V16" s="276"/>
      <c r="W16" s="276"/>
      <c r="X16" s="276"/>
      <c r="Y16" s="276"/>
      <c r="Z16" s="276"/>
      <c r="AA16" s="276"/>
    </row>
    <row r="17" spans="1:41">
      <c r="R17" s="276"/>
      <c r="S17" s="276"/>
      <c r="T17" s="276"/>
      <c r="U17" s="276"/>
      <c r="V17" s="276"/>
      <c r="W17" s="276"/>
      <c r="X17" s="276"/>
      <c r="Y17" s="276"/>
      <c r="Z17" s="276"/>
      <c r="AA17" s="276"/>
    </row>
    <row r="18" spans="1:41">
      <c r="C18" t="s">
        <v>120</v>
      </c>
      <c r="R18" s="276"/>
      <c r="S18" s="276"/>
      <c r="T18" s="276"/>
      <c r="U18" s="276"/>
      <c r="V18" s="276"/>
      <c r="W18" s="276"/>
      <c r="X18" s="276"/>
      <c r="Y18" s="276"/>
      <c r="Z18" s="276"/>
      <c r="AA18" s="276"/>
    </row>
    <row r="19" spans="1:41">
      <c r="C19" t="s">
        <v>121</v>
      </c>
      <c r="R19" s="276"/>
      <c r="S19" s="276"/>
      <c r="T19" s="276"/>
      <c r="U19" s="276"/>
      <c r="V19" s="276"/>
      <c r="W19" s="276"/>
      <c r="X19" s="276"/>
      <c r="Y19" s="276"/>
      <c r="Z19" s="276"/>
      <c r="AA19" s="276"/>
    </row>
    <row r="20" spans="1:41">
      <c r="C20" t="s">
        <v>122</v>
      </c>
      <c r="R20" s="276"/>
      <c r="S20" s="276"/>
      <c r="T20" s="276"/>
      <c r="U20" s="276"/>
      <c r="V20" s="276"/>
      <c r="W20" s="276"/>
      <c r="X20" s="276"/>
      <c r="Y20" s="276"/>
      <c r="Z20" s="276"/>
      <c r="AA20" s="276"/>
    </row>
    <row r="21" spans="1:41" s="93" customFormat="1">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row>
    <row r="22" spans="1:41" ht="25.5" customHeight="1" thickBot="1">
      <c r="A22" s="93"/>
      <c r="B22" s="93">
        <v>2010</v>
      </c>
      <c r="C22" s="93">
        <v>2011</v>
      </c>
      <c r="D22" s="93">
        <v>2012</v>
      </c>
      <c r="E22" s="93">
        <v>2013</v>
      </c>
      <c r="F22" s="93">
        <v>2014</v>
      </c>
      <c r="G22" s="93">
        <v>2015</v>
      </c>
      <c r="H22" s="93">
        <v>2016</v>
      </c>
      <c r="I22" s="93">
        <v>2017</v>
      </c>
      <c r="J22" s="93">
        <v>2018</v>
      </c>
      <c r="K22" s="93">
        <v>2019</v>
      </c>
      <c r="L22" s="93">
        <v>2020</v>
      </c>
      <c r="M22" s="93">
        <v>2021</v>
      </c>
      <c r="N22" s="93">
        <v>2022</v>
      </c>
      <c r="O22" s="93">
        <v>2023</v>
      </c>
      <c r="P22" s="93">
        <v>2024</v>
      </c>
      <c r="Q22" s="93">
        <v>2025</v>
      </c>
      <c r="R22" s="93">
        <v>2026</v>
      </c>
      <c r="S22" s="93"/>
      <c r="T22" s="93"/>
      <c r="U22" s="93"/>
      <c r="V22" s="93"/>
      <c r="W22" s="93"/>
      <c r="X22" s="93"/>
      <c r="Y22" s="93"/>
      <c r="Z22" s="93"/>
      <c r="AA22" s="93"/>
      <c r="AB22" s="93"/>
      <c r="AC22" s="93"/>
      <c r="AD22" s="93"/>
      <c r="AE22" s="93"/>
      <c r="AF22" s="93"/>
      <c r="AG22" s="93"/>
      <c r="AH22" s="93"/>
      <c r="AI22" s="93"/>
      <c r="AJ22" s="93"/>
      <c r="AK22" s="93"/>
      <c r="AL22" s="93"/>
      <c r="AM22" s="93"/>
      <c r="AN22" s="93"/>
      <c r="AO22" s="93"/>
    </row>
    <row r="23" spans="1:41" ht="24.5">
      <c r="A23" s="166" t="s">
        <v>123</v>
      </c>
      <c r="B23" s="111"/>
      <c r="C23" s="112"/>
      <c r="D23" s="112"/>
      <c r="E23" s="112"/>
      <c r="F23" s="112"/>
      <c r="G23" s="112"/>
      <c r="H23" s="112"/>
      <c r="I23" s="112"/>
      <c r="J23" s="112"/>
      <c r="K23" s="112"/>
      <c r="L23" s="112"/>
      <c r="M23" s="112"/>
      <c r="N23" s="112"/>
      <c r="O23" s="112"/>
      <c r="P23" s="112"/>
      <c r="Q23" s="112"/>
      <c r="R23" s="112"/>
    </row>
    <row r="24" spans="1:41">
      <c r="A24" t="s">
        <v>124</v>
      </c>
      <c r="B24" s="113"/>
      <c r="C24" s="114"/>
      <c r="D24" s="114"/>
      <c r="E24" s="114"/>
      <c r="F24" s="114"/>
      <c r="G24" s="114"/>
      <c r="H24" s="114"/>
      <c r="I24" s="114"/>
      <c r="J24" s="114"/>
      <c r="K24" s="114"/>
      <c r="L24" s="114"/>
      <c r="M24" s="114"/>
      <c r="N24" s="114"/>
      <c r="O24" s="114"/>
      <c r="P24" s="114"/>
      <c r="Q24" s="114"/>
      <c r="R24" s="114"/>
    </row>
    <row r="25" spans="1:41">
      <c r="A25" t="s">
        <v>125</v>
      </c>
      <c r="B25" s="113"/>
      <c r="C25" s="114"/>
      <c r="D25" s="114"/>
      <c r="E25" s="114"/>
      <c r="F25" s="114"/>
      <c r="G25" s="114"/>
      <c r="H25" s="114"/>
      <c r="I25" s="114"/>
      <c r="J25" s="114"/>
      <c r="K25" s="114"/>
      <c r="L25" s="114"/>
      <c r="M25" s="114"/>
      <c r="N25" s="114"/>
      <c r="O25" s="114"/>
      <c r="P25" s="114"/>
      <c r="Q25" s="114"/>
      <c r="R25" s="114"/>
    </row>
    <row r="26" spans="1:41">
      <c r="A26" t="s">
        <v>126</v>
      </c>
      <c r="B26" s="113"/>
      <c r="C26" s="114"/>
      <c r="D26" s="114"/>
      <c r="E26" s="114"/>
      <c r="F26" s="114"/>
      <c r="G26" s="114"/>
      <c r="H26" s="114"/>
      <c r="I26" s="114"/>
      <c r="J26" s="114"/>
      <c r="K26" s="114"/>
      <c r="L26" s="114"/>
      <c r="M26" s="114"/>
      <c r="N26" s="114"/>
      <c r="O26" s="114"/>
      <c r="P26" s="114"/>
      <c r="Q26" s="114"/>
      <c r="R26" s="114"/>
    </row>
    <row r="27" spans="1:41">
      <c r="A27" t="s">
        <v>127</v>
      </c>
      <c r="B27" s="113"/>
      <c r="C27" s="114"/>
      <c r="D27" s="114"/>
      <c r="E27" s="114"/>
      <c r="F27" s="114"/>
      <c r="G27" s="114"/>
      <c r="H27" s="114"/>
      <c r="I27" s="114"/>
      <c r="J27" s="114"/>
      <c r="K27" s="114"/>
      <c r="L27" s="114"/>
      <c r="M27" s="114"/>
      <c r="N27" s="114"/>
      <c r="O27" s="114"/>
      <c r="P27" s="114"/>
      <c r="Q27" s="114"/>
      <c r="R27" s="114"/>
    </row>
    <row r="28" spans="1:41">
      <c r="A28" t="s">
        <v>128</v>
      </c>
      <c r="B28" s="113"/>
      <c r="C28" s="114"/>
      <c r="D28" s="114"/>
      <c r="E28" s="114"/>
      <c r="F28" s="114"/>
      <c r="G28" s="114"/>
      <c r="H28" s="114"/>
      <c r="I28" s="114"/>
      <c r="J28" s="114"/>
      <c r="K28" s="114"/>
      <c r="L28" s="114"/>
      <c r="M28" s="114"/>
      <c r="N28" s="114"/>
      <c r="O28" s="114"/>
      <c r="P28" s="114"/>
      <c r="Q28" s="114"/>
      <c r="R28" s="114"/>
    </row>
    <row r="29" spans="1:41">
      <c r="A29" t="s">
        <v>129</v>
      </c>
      <c r="B29" s="113"/>
      <c r="C29" s="114"/>
      <c r="D29" s="114"/>
      <c r="E29" s="114"/>
      <c r="F29" s="114"/>
      <c r="G29" s="114"/>
      <c r="H29" s="114"/>
      <c r="I29" s="114"/>
      <c r="J29" s="114"/>
      <c r="K29" s="114"/>
      <c r="L29" s="114"/>
      <c r="M29" s="114"/>
      <c r="N29" s="114"/>
      <c r="O29" s="114"/>
      <c r="P29" s="114"/>
      <c r="Q29" s="114"/>
      <c r="R29" s="114"/>
    </row>
    <row r="30" spans="1:41">
      <c r="A30" t="s">
        <v>130</v>
      </c>
      <c r="B30" s="113"/>
      <c r="C30" s="114"/>
      <c r="D30" s="114"/>
      <c r="E30" s="114"/>
      <c r="F30" s="114"/>
      <c r="G30" s="114"/>
      <c r="H30" s="114"/>
      <c r="I30" s="114"/>
      <c r="J30" s="114"/>
      <c r="K30" s="114"/>
      <c r="L30" s="114"/>
      <c r="M30" s="114"/>
      <c r="N30" s="114"/>
      <c r="O30" s="114"/>
      <c r="P30" s="114"/>
      <c r="Q30" s="114"/>
      <c r="R30" s="114"/>
    </row>
    <row r="31" spans="1:41">
      <c r="A31" t="s">
        <v>131</v>
      </c>
      <c r="B31" s="113"/>
      <c r="C31" s="114"/>
      <c r="D31" s="114"/>
      <c r="E31" s="114"/>
      <c r="F31" s="114"/>
      <c r="G31" s="114"/>
      <c r="H31" s="114"/>
      <c r="I31" s="114"/>
      <c r="J31" s="114"/>
      <c r="K31" s="114"/>
      <c r="L31" s="114"/>
      <c r="M31" s="114"/>
      <c r="N31" s="114"/>
      <c r="O31" s="114"/>
      <c r="P31" s="114"/>
      <c r="Q31" s="114"/>
      <c r="R31" s="114"/>
    </row>
    <row r="32" spans="1:41">
      <c r="A32" t="s">
        <v>132</v>
      </c>
      <c r="B32" s="113"/>
      <c r="C32" s="114"/>
      <c r="D32" s="114"/>
      <c r="E32" s="114"/>
      <c r="F32" s="114"/>
      <c r="G32" s="114"/>
      <c r="H32" s="114"/>
      <c r="I32" s="114"/>
      <c r="J32" s="114"/>
      <c r="K32" s="114"/>
      <c r="L32" s="114"/>
      <c r="M32" s="114"/>
      <c r="N32" s="114"/>
      <c r="O32" s="114"/>
      <c r="P32" s="114"/>
      <c r="Q32" s="114"/>
      <c r="R32" s="114"/>
    </row>
    <row r="33" spans="1:18">
      <c r="A33" t="s">
        <v>133</v>
      </c>
      <c r="B33" s="113"/>
      <c r="C33" s="114"/>
      <c r="D33" s="114"/>
      <c r="E33" s="114"/>
      <c r="F33" s="114"/>
      <c r="G33" s="114"/>
      <c r="H33" s="114"/>
      <c r="I33" s="114"/>
      <c r="J33" s="114"/>
      <c r="K33" s="114"/>
      <c r="L33" s="114"/>
      <c r="M33" s="114"/>
      <c r="N33" s="114"/>
      <c r="O33" s="114"/>
      <c r="P33" s="114"/>
      <c r="Q33" s="114"/>
      <c r="R33" s="114"/>
    </row>
    <row r="34" spans="1:18" ht="15" thickBot="1">
      <c r="A34" t="s">
        <v>134</v>
      </c>
      <c r="B34" s="113"/>
      <c r="C34" s="115"/>
      <c r="D34" s="115"/>
      <c r="E34" s="115"/>
      <c r="F34" s="115"/>
      <c r="G34" s="115"/>
      <c r="H34" s="115"/>
      <c r="I34" s="115"/>
      <c r="J34" s="115"/>
      <c r="K34" s="115"/>
      <c r="L34" s="115"/>
      <c r="M34" s="115"/>
      <c r="N34" s="115"/>
      <c r="O34" s="115"/>
      <c r="P34" s="115"/>
      <c r="Q34" s="115"/>
      <c r="R34" s="115"/>
    </row>
    <row r="36" spans="1:18">
      <c r="B36" t="s">
        <v>135</v>
      </c>
      <c r="F36" t="s">
        <v>136</v>
      </c>
      <c r="I36" t="s">
        <v>137</v>
      </c>
    </row>
    <row r="37" spans="1:18">
      <c r="B37" s="167">
        <f>B23</f>
        <v>0</v>
      </c>
      <c r="C37" s="116">
        <v>1</v>
      </c>
      <c r="D37" s="572">
        <f>B22</f>
        <v>2010</v>
      </c>
      <c r="F37" s="167">
        <f>B23/12</f>
        <v>0</v>
      </c>
      <c r="I37">
        <v>2010</v>
      </c>
      <c r="J37" s="167">
        <f>B23</f>
        <v>0</v>
      </c>
    </row>
    <row r="38" spans="1:18">
      <c r="B38" s="167">
        <f t="shared" ref="B38:B48" si="5">B24</f>
        <v>0</v>
      </c>
      <c r="C38" s="116">
        <v>2</v>
      </c>
      <c r="D38" s="572"/>
      <c r="F38" s="167">
        <f>F37</f>
        <v>0</v>
      </c>
      <c r="J38" s="167">
        <f>B24</f>
        <v>0</v>
      </c>
    </row>
    <row r="39" spans="1:18">
      <c r="B39" s="167">
        <f t="shared" si="5"/>
        <v>0</v>
      </c>
      <c r="C39" s="116">
        <v>3</v>
      </c>
      <c r="D39" s="572"/>
      <c r="F39" s="167">
        <f>F38</f>
        <v>0</v>
      </c>
      <c r="I39">
        <v>2011</v>
      </c>
      <c r="J39" s="167">
        <f>C23</f>
        <v>0</v>
      </c>
    </row>
    <row r="40" spans="1:18">
      <c r="B40" s="167">
        <f t="shared" si="5"/>
        <v>0</v>
      </c>
      <c r="C40" s="116">
        <v>4</v>
      </c>
      <c r="D40" s="572"/>
      <c r="F40" s="167">
        <f t="shared" ref="F40:F48" si="6">F39</f>
        <v>0</v>
      </c>
      <c r="J40" s="167">
        <f>C24</f>
        <v>0</v>
      </c>
    </row>
    <row r="41" spans="1:18">
      <c r="B41" s="167">
        <f t="shared" si="5"/>
        <v>0</v>
      </c>
      <c r="C41" s="116">
        <v>5</v>
      </c>
      <c r="D41" s="572"/>
      <c r="F41" s="167">
        <f t="shared" si="6"/>
        <v>0</v>
      </c>
      <c r="I41">
        <v>2012</v>
      </c>
      <c r="J41" s="167">
        <f>D23</f>
        <v>0</v>
      </c>
    </row>
    <row r="42" spans="1:18">
      <c r="B42" s="167">
        <f t="shared" si="5"/>
        <v>0</v>
      </c>
      <c r="C42" s="116">
        <v>6</v>
      </c>
      <c r="D42" s="572"/>
      <c r="F42" s="167">
        <f t="shared" si="6"/>
        <v>0</v>
      </c>
      <c r="J42" s="167">
        <f>D24</f>
        <v>0</v>
      </c>
    </row>
    <row r="43" spans="1:18">
      <c r="B43" s="167">
        <f t="shared" si="5"/>
        <v>0</v>
      </c>
      <c r="C43" s="116">
        <v>7</v>
      </c>
      <c r="D43" s="572"/>
      <c r="F43" s="167">
        <f t="shared" si="6"/>
        <v>0</v>
      </c>
      <c r="I43">
        <v>2013</v>
      </c>
      <c r="J43" s="167">
        <f>E23</f>
        <v>0</v>
      </c>
    </row>
    <row r="44" spans="1:18">
      <c r="B44" s="167">
        <f t="shared" si="5"/>
        <v>0</v>
      </c>
      <c r="C44" s="116">
        <v>8</v>
      </c>
      <c r="D44" s="572"/>
      <c r="F44" s="167">
        <f t="shared" si="6"/>
        <v>0</v>
      </c>
      <c r="J44" s="167">
        <f>E24</f>
        <v>0</v>
      </c>
    </row>
    <row r="45" spans="1:18">
      <c r="B45" s="167">
        <f t="shared" si="5"/>
        <v>0</v>
      </c>
      <c r="C45" s="116">
        <v>9</v>
      </c>
      <c r="D45" s="572"/>
      <c r="F45" s="167">
        <f t="shared" si="6"/>
        <v>0</v>
      </c>
      <c r="I45">
        <v>2014</v>
      </c>
      <c r="J45" s="167">
        <f>F23</f>
        <v>0</v>
      </c>
    </row>
    <row r="46" spans="1:18">
      <c r="B46" s="167">
        <f t="shared" si="5"/>
        <v>0</v>
      </c>
      <c r="C46" s="116">
        <v>10</v>
      </c>
      <c r="D46" s="572"/>
      <c r="F46" s="167">
        <f t="shared" si="6"/>
        <v>0</v>
      </c>
      <c r="J46" s="167">
        <f>F24</f>
        <v>0</v>
      </c>
    </row>
    <row r="47" spans="1:18">
      <c r="B47" s="167">
        <f t="shared" si="5"/>
        <v>0</v>
      </c>
      <c r="C47" s="116">
        <v>11</v>
      </c>
      <c r="D47" s="572"/>
      <c r="F47" s="167">
        <f t="shared" si="6"/>
        <v>0</v>
      </c>
      <c r="I47">
        <v>2015</v>
      </c>
      <c r="J47" s="167">
        <f>G23</f>
        <v>0</v>
      </c>
    </row>
    <row r="48" spans="1:18">
      <c r="B48" s="167">
        <f t="shared" si="5"/>
        <v>0</v>
      </c>
      <c r="C48" s="116">
        <v>12</v>
      </c>
      <c r="D48" s="572"/>
      <c r="F48" s="167">
        <f t="shared" si="6"/>
        <v>0</v>
      </c>
      <c r="J48" s="167">
        <f>G24</f>
        <v>0</v>
      </c>
    </row>
    <row r="49" spans="2:10">
      <c r="B49" s="167">
        <f>C23</f>
        <v>0</v>
      </c>
      <c r="C49" s="116">
        <v>1</v>
      </c>
      <c r="D49" s="572">
        <f>C22</f>
        <v>2011</v>
      </c>
      <c r="F49" s="167">
        <f>C23/12</f>
        <v>0</v>
      </c>
      <c r="I49">
        <v>2016</v>
      </c>
      <c r="J49" s="167">
        <f>H23</f>
        <v>0</v>
      </c>
    </row>
    <row r="50" spans="2:10">
      <c r="B50" s="167">
        <f t="shared" ref="B50:B60" si="7">C24</f>
        <v>0</v>
      </c>
      <c r="C50" s="116">
        <v>2</v>
      </c>
      <c r="D50" s="572"/>
      <c r="F50" s="167">
        <f t="shared" ref="F50:F113" si="8">F49</f>
        <v>0</v>
      </c>
      <c r="J50" s="167">
        <f>H24</f>
        <v>0</v>
      </c>
    </row>
    <row r="51" spans="2:10">
      <c r="B51" s="167">
        <f t="shared" si="7"/>
        <v>0</v>
      </c>
      <c r="C51" s="116">
        <v>3</v>
      </c>
      <c r="D51" s="572"/>
      <c r="F51" s="167">
        <f t="shared" si="8"/>
        <v>0</v>
      </c>
      <c r="I51">
        <v>2017</v>
      </c>
      <c r="J51" s="167">
        <f>I23</f>
        <v>0</v>
      </c>
    </row>
    <row r="52" spans="2:10">
      <c r="B52" s="167">
        <f t="shared" si="7"/>
        <v>0</v>
      </c>
      <c r="C52" s="116">
        <v>4</v>
      </c>
      <c r="D52" s="572"/>
      <c r="F52" s="167">
        <f t="shared" si="8"/>
        <v>0</v>
      </c>
      <c r="J52" s="167">
        <f>I24</f>
        <v>0</v>
      </c>
    </row>
    <row r="53" spans="2:10">
      <c r="B53" s="167">
        <f t="shared" si="7"/>
        <v>0</v>
      </c>
      <c r="C53" s="116">
        <v>5</v>
      </c>
      <c r="D53" s="572"/>
      <c r="F53" s="167">
        <f t="shared" si="8"/>
        <v>0</v>
      </c>
      <c r="I53">
        <v>2018</v>
      </c>
      <c r="J53" s="167">
        <f>J23</f>
        <v>0</v>
      </c>
    </row>
    <row r="54" spans="2:10">
      <c r="B54" s="167">
        <f t="shared" si="7"/>
        <v>0</v>
      </c>
      <c r="C54" s="116">
        <v>6</v>
      </c>
      <c r="D54" s="572"/>
      <c r="F54" s="167">
        <f t="shared" si="8"/>
        <v>0</v>
      </c>
      <c r="J54" s="167">
        <f>J24</f>
        <v>0</v>
      </c>
    </row>
    <row r="55" spans="2:10">
      <c r="B55" s="167">
        <f t="shared" si="7"/>
        <v>0</v>
      </c>
      <c r="C55" s="116">
        <v>7</v>
      </c>
      <c r="D55" s="572"/>
      <c r="F55" s="167">
        <f t="shared" si="8"/>
        <v>0</v>
      </c>
      <c r="I55">
        <v>2019</v>
      </c>
      <c r="J55" s="167">
        <f>K23</f>
        <v>0</v>
      </c>
    </row>
    <row r="56" spans="2:10">
      <c r="B56" s="167">
        <f t="shared" si="7"/>
        <v>0</v>
      </c>
      <c r="C56" s="116">
        <v>8</v>
      </c>
      <c r="D56" s="572"/>
      <c r="F56" s="167">
        <f t="shared" si="8"/>
        <v>0</v>
      </c>
      <c r="J56" s="167">
        <f>K24</f>
        <v>0</v>
      </c>
    </row>
    <row r="57" spans="2:10">
      <c r="B57" s="167">
        <f t="shared" si="7"/>
        <v>0</v>
      </c>
      <c r="C57" s="116">
        <v>9</v>
      </c>
      <c r="D57" s="572"/>
      <c r="F57" s="167">
        <f t="shared" si="8"/>
        <v>0</v>
      </c>
      <c r="I57">
        <v>2020</v>
      </c>
      <c r="J57" s="167">
        <f>L23</f>
        <v>0</v>
      </c>
    </row>
    <row r="58" spans="2:10">
      <c r="B58" s="167">
        <f t="shared" si="7"/>
        <v>0</v>
      </c>
      <c r="C58" s="116">
        <v>10</v>
      </c>
      <c r="D58" s="572"/>
      <c r="F58" s="167">
        <f t="shared" si="8"/>
        <v>0</v>
      </c>
      <c r="J58" s="167">
        <f>L24</f>
        <v>0</v>
      </c>
    </row>
    <row r="59" spans="2:10">
      <c r="B59" s="167">
        <f t="shared" si="7"/>
        <v>0</v>
      </c>
      <c r="C59" s="116">
        <v>11</v>
      </c>
      <c r="D59" s="572"/>
      <c r="F59" s="167">
        <f t="shared" si="8"/>
        <v>0</v>
      </c>
      <c r="I59">
        <v>2021</v>
      </c>
      <c r="J59" s="167">
        <f>M23</f>
        <v>0</v>
      </c>
    </row>
    <row r="60" spans="2:10">
      <c r="B60" s="167">
        <f t="shared" si="7"/>
        <v>0</v>
      </c>
      <c r="C60" s="116">
        <v>12</v>
      </c>
      <c r="D60" s="572"/>
      <c r="F60" s="167">
        <f t="shared" si="8"/>
        <v>0</v>
      </c>
      <c r="J60" s="167">
        <f>M24</f>
        <v>0</v>
      </c>
    </row>
    <row r="61" spans="2:10">
      <c r="B61" s="167">
        <f>D23</f>
        <v>0</v>
      </c>
      <c r="C61" s="116">
        <v>1</v>
      </c>
      <c r="D61" s="572">
        <f>D22</f>
        <v>2012</v>
      </c>
      <c r="F61" s="167">
        <f>D23/12</f>
        <v>0</v>
      </c>
      <c r="I61">
        <v>2022</v>
      </c>
      <c r="J61" s="167">
        <f>N23</f>
        <v>0</v>
      </c>
    </row>
    <row r="62" spans="2:10">
      <c r="B62" s="167">
        <f t="shared" ref="B62:B72" si="9">D24</f>
        <v>0</v>
      </c>
      <c r="C62" s="116">
        <v>2</v>
      </c>
      <c r="D62" s="572"/>
      <c r="F62" s="167">
        <f>F61</f>
        <v>0</v>
      </c>
      <c r="J62" s="167">
        <f>N24</f>
        <v>0</v>
      </c>
    </row>
    <row r="63" spans="2:10">
      <c r="B63" s="167">
        <f t="shared" si="9"/>
        <v>0</v>
      </c>
      <c r="C63" s="116">
        <v>3</v>
      </c>
      <c r="D63" s="572"/>
      <c r="F63" s="167">
        <f>F62</f>
        <v>0</v>
      </c>
      <c r="I63">
        <v>2023</v>
      </c>
      <c r="J63" s="167">
        <f>O23</f>
        <v>0</v>
      </c>
    </row>
    <row r="64" spans="2:10">
      <c r="B64" s="167">
        <f t="shared" si="9"/>
        <v>0</v>
      </c>
      <c r="C64" s="116">
        <v>4</v>
      </c>
      <c r="D64" s="572"/>
      <c r="F64" s="167">
        <f t="shared" si="8"/>
        <v>0</v>
      </c>
      <c r="J64" s="167">
        <f>O24</f>
        <v>0</v>
      </c>
    </row>
    <row r="65" spans="2:10">
      <c r="B65" s="167">
        <f t="shared" si="9"/>
        <v>0</v>
      </c>
      <c r="C65" s="116">
        <v>5</v>
      </c>
      <c r="D65" s="572"/>
      <c r="F65" s="167">
        <f t="shared" si="8"/>
        <v>0</v>
      </c>
      <c r="I65">
        <v>2024</v>
      </c>
      <c r="J65" s="167">
        <f>P23</f>
        <v>0</v>
      </c>
    </row>
    <row r="66" spans="2:10">
      <c r="B66" s="167">
        <f t="shared" si="9"/>
        <v>0</v>
      </c>
      <c r="C66" s="116">
        <v>6</v>
      </c>
      <c r="D66" s="572"/>
      <c r="F66" s="167">
        <f t="shared" si="8"/>
        <v>0</v>
      </c>
      <c r="J66" s="167">
        <f>P24</f>
        <v>0</v>
      </c>
    </row>
    <row r="67" spans="2:10">
      <c r="B67" s="167">
        <f t="shared" si="9"/>
        <v>0</v>
      </c>
      <c r="C67" s="116">
        <v>7</v>
      </c>
      <c r="D67" s="572"/>
      <c r="F67" s="167">
        <f t="shared" si="8"/>
        <v>0</v>
      </c>
    </row>
    <row r="68" spans="2:10">
      <c r="B68" s="167">
        <f t="shared" si="9"/>
        <v>0</v>
      </c>
      <c r="C68" s="116">
        <v>8</v>
      </c>
      <c r="D68" s="572"/>
      <c r="F68" s="167">
        <f t="shared" si="8"/>
        <v>0</v>
      </c>
    </row>
    <row r="69" spans="2:10">
      <c r="B69" s="167">
        <f t="shared" si="9"/>
        <v>0</v>
      </c>
      <c r="C69" s="116">
        <v>9</v>
      </c>
      <c r="D69" s="572"/>
      <c r="F69" s="167">
        <f t="shared" si="8"/>
        <v>0</v>
      </c>
    </row>
    <row r="70" spans="2:10">
      <c r="B70" s="167">
        <f t="shared" si="9"/>
        <v>0</v>
      </c>
      <c r="C70" s="116">
        <v>10</v>
      </c>
      <c r="D70" s="572"/>
      <c r="F70" s="167">
        <f t="shared" si="8"/>
        <v>0</v>
      </c>
    </row>
    <row r="71" spans="2:10">
      <c r="B71" s="167">
        <f t="shared" si="9"/>
        <v>0</v>
      </c>
      <c r="C71" s="116">
        <v>11</v>
      </c>
      <c r="D71" s="572"/>
      <c r="F71" s="167">
        <f t="shared" si="8"/>
        <v>0</v>
      </c>
    </row>
    <row r="72" spans="2:10">
      <c r="B72" s="167">
        <f t="shared" si="9"/>
        <v>0</v>
      </c>
      <c r="C72" s="116">
        <v>12</v>
      </c>
      <c r="D72" s="572"/>
      <c r="F72" s="167">
        <f t="shared" si="8"/>
        <v>0</v>
      </c>
    </row>
    <row r="73" spans="2:10">
      <c r="B73" s="167">
        <f>E23</f>
        <v>0</v>
      </c>
      <c r="C73" s="116">
        <v>1</v>
      </c>
      <c r="D73" s="572">
        <f>E22</f>
        <v>2013</v>
      </c>
      <c r="F73" s="167">
        <f>E23/12</f>
        <v>0</v>
      </c>
    </row>
    <row r="74" spans="2:10">
      <c r="B74" s="167">
        <f t="shared" ref="B74:B84" si="10">E24</f>
        <v>0</v>
      </c>
      <c r="C74" s="116">
        <v>2</v>
      </c>
      <c r="D74" s="572"/>
      <c r="F74" s="167">
        <f>F73</f>
        <v>0</v>
      </c>
    </row>
    <row r="75" spans="2:10">
      <c r="B75" s="167">
        <f t="shared" si="10"/>
        <v>0</v>
      </c>
      <c r="C75" s="116">
        <v>3</v>
      </c>
      <c r="D75" s="572"/>
      <c r="F75" s="167">
        <f>F74</f>
        <v>0</v>
      </c>
    </row>
    <row r="76" spans="2:10">
      <c r="B76" s="167">
        <f t="shared" si="10"/>
        <v>0</v>
      </c>
      <c r="C76" s="116">
        <v>4</v>
      </c>
      <c r="D76" s="572"/>
      <c r="F76" s="167">
        <f t="shared" si="8"/>
        <v>0</v>
      </c>
    </row>
    <row r="77" spans="2:10">
      <c r="B77" s="167">
        <f t="shared" si="10"/>
        <v>0</v>
      </c>
      <c r="C77" s="116">
        <v>5</v>
      </c>
      <c r="D77" s="572"/>
      <c r="F77" s="167">
        <f t="shared" si="8"/>
        <v>0</v>
      </c>
    </row>
    <row r="78" spans="2:10">
      <c r="B78" s="167">
        <f t="shared" si="10"/>
        <v>0</v>
      </c>
      <c r="C78" s="116">
        <v>6</v>
      </c>
      <c r="D78" s="572"/>
      <c r="F78" s="167">
        <f t="shared" si="8"/>
        <v>0</v>
      </c>
    </row>
    <row r="79" spans="2:10">
      <c r="B79" s="167">
        <f t="shared" si="10"/>
        <v>0</v>
      </c>
      <c r="C79" s="116">
        <v>7</v>
      </c>
      <c r="D79" s="572"/>
      <c r="F79" s="167">
        <f t="shared" si="8"/>
        <v>0</v>
      </c>
    </row>
    <row r="80" spans="2:10">
      <c r="B80" s="167">
        <f t="shared" si="10"/>
        <v>0</v>
      </c>
      <c r="C80" s="116">
        <v>8</v>
      </c>
      <c r="D80" s="572"/>
      <c r="F80" s="167">
        <f t="shared" si="8"/>
        <v>0</v>
      </c>
    </row>
    <row r="81" spans="2:6">
      <c r="B81" s="167">
        <f t="shared" si="10"/>
        <v>0</v>
      </c>
      <c r="C81" s="116">
        <v>9</v>
      </c>
      <c r="D81" s="572"/>
      <c r="F81" s="167">
        <f t="shared" si="8"/>
        <v>0</v>
      </c>
    </row>
    <row r="82" spans="2:6">
      <c r="B82" s="167">
        <f t="shared" si="10"/>
        <v>0</v>
      </c>
      <c r="C82" s="116">
        <v>10</v>
      </c>
      <c r="D82" s="572"/>
      <c r="F82" s="167">
        <f t="shared" si="8"/>
        <v>0</v>
      </c>
    </row>
    <row r="83" spans="2:6">
      <c r="B83" s="167">
        <f t="shared" si="10"/>
        <v>0</v>
      </c>
      <c r="C83" s="116">
        <v>11</v>
      </c>
      <c r="D83" s="572"/>
      <c r="F83" s="167">
        <f t="shared" si="8"/>
        <v>0</v>
      </c>
    </row>
    <row r="84" spans="2:6">
      <c r="B84" s="167">
        <f t="shared" si="10"/>
        <v>0</v>
      </c>
      <c r="C84" s="116">
        <v>12</v>
      </c>
      <c r="D84" s="572"/>
      <c r="F84" s="167">
        <f t="shared" si="8"/>
        <v>0</v>
      </c>
    </row>
    <row r="85" spans="2:6">
      <c r="B85" s="167">
        <f>F23</f>
        <v>0</v>
      </c>
      <c r="C85" s="116">
        <v>1</v>
      </c>
      <c r="D85" s="572">
        <f>F22</f>
        <v>2014</v>
      </c>
      <c r="F85" s="167">
        <f>F23/12</f>
        <v>0</v>
      </c>
    </row>
    <row r="86" spans="2:6">
      <c r="B86" s="167">
        <f t="shared" ref="B86:B96" si="11">F24</f>
        <v>0</v>
      </c>
      <c r="C86" s="116">
        <v>2</v>
      </c>
      <c r="D86" s="572"/>
      <c r="F86" s="167">
        <f>F85</f>
        <v>0</v>
      </c>
    </row>
    <row r="87" spans="2:6">
      <c r="B87" s="167">
        <f t="shared" si="11"/>
        <v>0</v>
      </c>
      <c r="C87" s="116">
        <v>3</v>
      </c>
      <c r="D87" s="572"/>
      <c r="F87" s="167">
        <f>F86</f>
        <v>0</v>
      </c>
    </row>
    <row r="88" spans="2:6">
      <c r="B88" s="167">
        <f t="shared" si="11"/>
        <v>0</v>
      </c>
      <c r="C88" s="116">
        <v>4</v>
      </c>
      <c r="D88" s="572"/>
      <c r="F88" s="167">
        <f t="shared" si="8"/>
        <v>0</v>
      </c>
    </row>
    <row r="89" spans="2:6">
      <c r="B89" s="167">
        <f t="shared" si="11"/>
        <v>0</v>
      </c>
      <c r="C89" s="116">
        <v>5</v>
      </c>
      <c r="D89" s="572"/>
      <c r="F89" s="167">
        <f t="shared" si="8"/>
        <v>0</v>
      </c>
    </row>
    <row r="90" spans="2:6">
      <c r="B90" s="167">
        <f t="shared" si="11"/>
        <v>0</v>
      </c>
      <c r="C90" s="116">
        <v>6</v>
      </c>
      <c r="D90" s="572"/>
      <c r="F90" s="167">
        <f t="shared" si="8"/>
        <v>0</v>
      </c>
    </row>
    <row r="91" spans="2:6">
      <c r="B91" s="167">
        <f t="shared" si="11"/>
        <v>0</v>
      </c>
      <c r="C91" s="116">
        <v>7</v>
      </c>
      <c r="D91" s="572"/>
      <c r="F91" s="167">
        <f t="shared" si="8"/>
        <v>0</v>
      </c>
    </row>
    <row r="92" spans="2:6">
      <c r="B92" s="167">
        <f t="shared" si="11"/>
        <v>0</v>
      </c>
      <c r="C92" s="116">
        <v>8</v>
      </c>
      <c r="D92" s="572"/>
      <c r="F92" s="167">
        <f t="shared" si="8"/>
        <v>0</v>
      </c>
    </row>
    <row r="93" spans="2:6">
      <c r="B93" s="167">
        <f t="shared" si="11"/>
        <v>0</v>
      </c>
      <c r="C93" s="116">
        <v>9</v>
      </c>
      <c r="D93" s="572"/>
      <c r="F93" s="167">
        <f t="shared" si="8"/>
        <v>0</v>
      </c>
    </row>
    <row r="94" spans="2:6">
      <c r="B94" s="167">
        <f t="shared" si="11"/>
        <v>0</v>
      </c>
      <c r="C94" s="116">
        <v>10</v>
      </c>
      <c r="D94" s="572"/>
      <c r="F94" s="167">
        <f t="shared" si="8"/>
        <v>0</v>
      </c>
    </row>
    <row r="95" spans="2:6">
      <c r="B95" s="167">
        <f t="shared" si="11"/>
        <v>0</v>
      </c>
      <c r="C95" s="116">
        <v>11</v>
      </c>
      <c r="D95" s="572"/>
      <c r="F95" s="167">
        <f t="shared" si="8"/>
        <v>0</v>
      </c>
    </row>
    <row r="96" spans="2:6">
      <c r="B96" s="167">
        <f t="shared" si="11"/>
        <v>0</v>
      </c>
      <c r="C96" s="116">
        <v>12</v>
      </c>
      <c r="D96" s="572"/>
      <c r="F96" s="167">
        <f t="shared" si="8"/>
        <v>0</v>
      </c>
    </row>
    <row r="97" spans="2:6">
      <c r="B97" s="167">
        <f>G23</f>
        <v>0</v>
      </c>
      <c r="C97" s="116">
        <v>1</v>
      </c>
      <c r="D97" s="572">
        <f>G22</f>
        <v>2015</v>
      </c>
      <c r="F97" s="167">
        <f>G23/12</f>
        <v>0</v>
      </c>
    </row>
    <row r="98" spans="2:6">
      <c r="B98" s="167">
        <f t="shared" ref="B98:B108" si="12">G24</f>
        <v>0</v>
      </c>
      <c r="C98" s="116">
        <v>2</v>
      </c>
      <c r="D98" s="572"/>
      <c r="F98" s="167">
        <f>F97</f>
        <v>0</v>
      </c>
    </row>
    <row r="99" spans="2:6">
      <c r="B99" s="167">
        <f t="shared" si="12"/>
        <v>0</v>
      </c>
      <c r="C99" s="116">
        <v>3</v>
      </c>
      <c r="D99" s="572"/>
      <c r="F99" s="167">
        <f>F98</f>
        <v>0</v>
      </c>
    </row>
    <row r="100" spans="2:6">
      <c r="B100" s="167">
        <f t="shared" si="12"/>
        <v>0</v>
      </c>
      <c r="C100" s="116">
        <v>4</v>
      </c>
      <c r="D100" s="572"/>
      <c r="F100" s="167">
        <f t="shared" si="8"/>
        <v>0</v>
      </c>
    </row>
    <row r="101" spans="2:6">
      <c r="B101" s="167">
        <f t="shared" si="12"/>
        <v>0</v>
      </c>
      <c r="C101" s="116">
        <v>5</v>
      </c>
      <c r="D101" s="572"/>
      <c r="F101" s="167">
        <f t="shared" si="8"/>
        <v>0</v>
      </c>
    </row>
    <row r="102" spans="2:6">
      <c r="B102" s="167">
        <f t="shared" si="12"/>
        <v>0</v>
      </c>
      <c r="C102" s="116">
        <v>6</v>
      </c>
      <c r="D102" s="572"/>
      <c r="F102" s="167">
        <f t="shared" si="8"/>
        <v>0</v>
      </c>
    </row>
    <row r="103" spans="2:6">
      <c r="B103" s="167">
        <f t="shared" si="12"/>
        <v>0</v>
      </c>
      <c r="C103" s="116">
        <v>7</v>
      </c>
      <c r="D103" s="572"/>
      <c r="F103" s="167">
        <f t="shared" si="8"/>
        <v>0</v>
      </c>
    </row>
    <row r="104" spans="2:6">
      <c r="B104" s="167">
        <f t="shared" si="12"/>
        <v>0</v>
      </c>
      <c r="C104" s="116">
        <v>8</v>
      </c>
      <c r="D104" s="572"/>
      <c r="F104" s="167">
        <f t="shared" si="8"/>
        <v>0</v>
      </c>
    </row>
    <row r="105" spans="2:6">
      <c r="B105" s="167">
        <f t="shared" si="12"/>
        <v>0</v>
      </c>
      <c r="C105" s="116">
        <v>9</v>
      </c>
      <c r="D105" s="572"/>
      <c r="F105" s="167">
        <f t="shared" si="8"/>
        <v>0</v>
      </c>
    </row>
    <row r="106" spans="2:6">
      <c r="B106" s="167">
        <f t="shared" si="12"/>
        <v>0</v>
      </c>
      <c r="C106" s="116">
        <v>10</v>
      </c>
      <c r="D106" s="572"/>
      <c r="F106" s="167">
        <f t="shared" si="8"/>
        <v>0</v>
      </c>
    </row>
    <row r="107" spans="2:6">
      <c r="B107" s="167">
        <f t="shared" si="12"/>
        <v>0</v>
      </c>
      <c r="C107" s="116">
        <v>11</v>
      </c>
      <c r="D107" s="572"/>
      <c r="F107" s="167">
        <f t="shared" si="8"/>
        <v>0</v>
      </c>
    </row>
    <row r="108" spans="2:6">
      <c r="B108" s="167">
        <f t="shared" si="12"/>
        <v>0</v>
      </c>
      <c r="C108" s="116">
        <v>12</v>
      </c>
      <c r="D108" s="572"/>
      <c r="F108" s="167">
        <f t="shared" si="8"/>
        <v>0</v>
      </c>
    </row>
    <row r="109" spans="2:6">
      <c r="B109" s="167">
        <f>H23</f>
        <v>0</v>
      </c>
      <c r="C109" s="116">
        <v>1</v>
      </c>
      <c r="D109" s="572">
        <f>H22</f>
        <v>2016</v>
      </c>
      <c r="F109" s="167">
        <f>H23/12</f>
        <v>0</v>
      </c>
    </row>
    <row r="110" spans="2:6">
      <c r="B110" s="167">
        <f t="shared" ref="B110:B120" si="13">H24</f>
        <v>0</v>
      </c>
      <c r="C110" s="116">
        <v>2</v>
      </c>
      <c r="D110" s="572"/>
      <c r="F110" s="167">
        <f>F109</f>
        <v>0</v>
      </c>
    </row>
    <row r="111" spans="2:6">
      <c r="B111" s="167">
        <f t="shared" si="13"/>
        <v>0</v>
      </c>
      <c r="C111" s="116">
        <v>3</v>
      </c>
      <c r="D111" s="572"/>
      <c r="F111" s="167">
        <f>F110</f>
        <v>0</v>
      </c>
    </row>
    <row r="112" spans="2:6">
      <c r="B112" s="167">
        <f t="shared" si="13"/>
        <v>0</v>
      </c>
      <c r="C112" s="116">
        <v>4</v>
      </c>
      <c r="D112" s="572"/>
      <c r="F112" s="167">
        <f t="shared" si="8"/>
        <v>0</v>
      </c>
    </row>
    <row r="113" spans="2:6">
      <c r="B113" s="167">
        <f t="shared" si="13"/>
        <v>0</v>
      </c>
      <c r="C113" s="116">
        <v>5</v>
      </c>
      <c r="D113" s="572"/>
      <c r="F113" s="167">
        <f t="shared" si="8"/>
        <v>0</v>
      </c>
    </row>
    <row r="114" spans="2:6">
      <c r="B114" s="167">
        <f t="shared" si="13"/>
        <v>0</v>
      </c>
      <c r="C114" s="116">
        <v>6</v>
      </c>
      <c r="D114" s="572"/>
      <c r="F114" s="167">
        <f t="shared" ref="F114:F177" si="14">F113</f>
        <v>0</v>
      </c>
    </row>
    <row r="115" spans="2:6">
      <c r="B115" s="167">
        <f t="shared" si="13"/>
        <v>0</v>
      </c>
      <c r="C115" s="116">
        <v>7</v>
      </c>
      <c r="D115" s="572"/>
      <c r="F115" s="167">
        <f t="shared" si="14"/>
        <v>0</v>
      </c>
    </row>
    <row r="116" spans="2:6">
      <c r="B116" s="167">
        <f t="shared" si="13"/>
        <v>0</v>
      </c>
      <c r="C116" s="116">
        <v>8</v>
      </c>
      <c r="D116" s="572"/>
      <c r="F116" s="167">
        <f t="shared" si="14"/>
        <v>0</v>
      </c>
    </row>
    <row r="117" spans="2:6">
      <c r="B117" s="167">
        <f t="shared" si="13"/>
        <v>0</v>
      </c>
      <c r="C117" s="116">
        <v>9</v>
      </c>
      <c r="D117" s="572"/>
      <c r="F117" s="167">
        <f t="shared" si="14"/>
        <v>0</v>
      </c>
    </row>
    <row r="118" spans="2:6">
      <c r="B118" s="167">
        <f t="shared" si="13"/>
        <v>0</v>
      </c>
      <c r="C118" s="116">
        <v>10</v>
      </c>
      <c r="D118" s="572"/>
      <c r="F118" s="167">
        <f t="shared" si="14"/>
        <v>0</v>
      </c>
    </row>
    <row r="119" spans="2:6">
      <c r="B119" s="167">
        <f t="shared" si="13"/>
        <v>0</v>
      </c>
      <c r="C119" s="116">
        <v>11</v>
      </c>
      <c r="D119" s="572"/>
      <c r="F119" s="167">
        <f t="shared" si="14"/>
        <v>0</v>
      </c>
    </row>
    <row r="120" spans="2:6">
      <c r="B120" s="167">
        <f t="shared" si="13"/>
        <v>0</v>
      </c>
      <c r="C120" s="116">
        <v>12</v>
      </c>
      <c r="D120" s="572"/>
      <c r="F120" s="167">
        <f t="shared" si="14"/>
        <v>0</v>
      </c>
    </row>
    <row r="121" spans="2:6">
      <c r="B121" s="167">
        <f>I23</f>
        <v>0</v>
      </c>
      <c r="C121" s="116">
        <v>1</v>
      </c>
      <c r="D121" s="572">
        <f>I22</f>
        <v>2017</v>
      </c>
      <c r="F121" s="167">
        <f>I23/12</f>
        <v>0</v>
      </c>
    </row>
    <row r="122" spans="2:6">
      <c r="B122" s="167">
        <f t="shared" ref="B122:B132" si="15">I24</f>
        <v>0</v>
      </c>
      <c r="C122" s="116">
        <v>2</v>
      </c>
      <c r="D122" s="572"/>
      <c r="F122" s="167">
        <f>F121</f>
        <v>0</v>
      </c>
    </row>
    <row r="123" spans="2:6">
      <c r="B123" s="167">
        <f t="shared" si="15"/>
        <v>0</v>
      </c>
      <c r="C123" s="116">
        <v>3</v>
      </c>
      <c r="D123" s="572"/>
      <c r="F123" s="167">
        <f>F122</f>
        <v>0</v>
      </c>
    </row>
    <row r="124" spans="2:6">
      <c r="B124" s="167">
        <f t="shared" si="15"/>
        <v>0</v>
      </c>
      <c r="C124" s="116">
        <v>4</v>
      </c>
      <c r="D124" s="572"/>
      <c r="F124" s="167">
        <f t="shared" si="14"/>
        <v>0</v>
      </c>
    </row>
    <row r="125" spans="2:6">
      <c r="B125" s="167">
        <f t="shared" si="15"/>
        <v>0</v>
      </c>
      <c r="C125" s="116">
        <v>5</v>
      </c>
      <c r="D125" s="572"/>
      <c r="F125" s="167">
        <f t="shared" si="14"/>
        <v>0</v>
      </c>
    </row>
    <row r="126" spans="2:6">
      <c r="B126" s="167">
        <f t="shared" si="15"/>
        <v>0</v>
      </c>
      <c r="C126" s="116">
        <v>6</v>
      </c>
      <c r="D126" s="572"/>
      <c r="F126" s="167">
        <f t="shared" si="14"/>
        <v>0</v>
      </c>
    </row>
    <row r="127" spans="2:6">
      <c r="B127" s="167">
        <f t="shared" si="15"/>
        <v>0</v>
      </c>
      <c r="C127" s="116">
        <v>7</v>
      </c>
      <c r="D127" s="572"/>
      <c r="F127" s="167">
        <f t="shared" si="14"/>
        <v>0</v>
      </c>
    </row>
    <row r="128" spans="2:6">
      <c r="B128" s="167">
        <f t="shared" si="15"/>
        <v>0</v>
      </c>
      <c r="C128" s="116">
        <v>8</v>
      </c>
      <c r="D128" s="572"/>
      <c r="F128" s="167">
        <f t="shared" si="14"/>
        <v>0</v>
      </c>
    </row>
    <row r="129" spans="2:6">
      <c r="B129" s="167">
        <f t="shared" si="15"/>
        <v>0</v>
      </c>
      <c r="C129" s="116">
        <v>9</v>
      </c>
      <c r="D129" s="572"/>
      <c r="F129" s="167">
        <f t="shared" si="14"/>
        <v>0</v>
      </c>
    </row>
    <row r="130" spans="2:6">
      <c r="B130" s="167">
        <f t="shared" si="15"/>
        <v>0</v>
      </c>
      <c r="C130" s="116">
        <v>10</v>
      </c>
      <c r="D130" s="572"/>
      <c r="F130" s="167">
        <f t="shared" si="14"/>
        <v>0</v>
      </c>
    </row>
    <row r="131" spans="2:6">
      <c r="B131" s="167">
        <f t="shared" si="15"/>
        <v>0</v>
      </c>
      <c r="C131" s="116">
        <v>11</v>
      </c>
      <c r="D131" s="572"/>
      <c r="F131" s="167">
        <f t="shared" si="14"/>
        <v>0</v>
      </c>
    </row>
    <row r="132" spans="2:6">
      <c r="B132" s="167">
        <f t="shared" si="15"/>
        <v>0</v>
      </c>
      <c r="C132" s="116">
        <v>12</v>
      </c>
      <c r="D132" s="572"/>
      <c r="F132" s="167">
        <f t="shared" si="14"/>
        <v>0</v>
      </c>
    </row>
    <row r="133" spans="2:6">
      <c r="B133" s="167">
        <f>J23</f>
        <v>0</v>
      </c>
      <c r="C133" s="116">
        <v>1</v>
      </c>
      <c r="D133" s="572">
        <f>J22</f>
        <v>2018</v>
      </c>
      <c r="F133" s="167">
        <f>J23/12</f>
        <v>0</v>
      </c>
    </row>
    <row r="134" spans="2:6">
      <c r="B134" s="167">
        <f t="shared" ref="B134:B144" si="16">J24</f>
        <v>0</v>
      </c>
      <c r="C134" s="116">
        <v>2</v>
      </c>
      <c r="D134" s="572"/>
      <c r="F134" s="167">
        <f>F133</f>
        <v>0</v>
      </c>
    </row>
    <row r="135" spans="2:6">
      <c r="B135" s="167">
        <f t="shared" si="16"/>
        <v>0</v>
      </c>
      <c r="C135" s="116">
        <v>3</v>
      </c>
      <c r="D135" s="572"/>
      <c r="F135" s="167">
        <f>F134</f>
        <v>0</v>
      </c>
    </row>
    <row r="136" spans="2:6">
      <c r="B136" s="167">
        <f t="shared" si="16"/>
        <v>0</v>
      </c>
      <c r="C136" s="116">
        <v>4</v>
      </c>
      <c r="D136" s="572"/>
      <c r="F136" s="167">
        <f t="shared" si="14"/>
        <v>0</v>
      </c>
    </row>
    <row r="137" spans="2:6">
      <c r="B137" s="167">
        <f t="shared" si="16"/>
        <v>0</v>
      </c>
      <c r="C137" s="116">
        <v>5</v>
      </c>
      <c r="D137" s="572"/>
      <c r="F137" s="167">
        <f t="shared" si="14"/>
        <v>0</v>
      </c>
    </row>
    <row r="138" spans="2:6">
      <c r="B138" s="167">
        <f t="shared" si="16"/>
        <v>0</v>
      </c>
      <c r="C138" s="116">
        <v>6</v>
      </c>
      <c r="D138" s="572"/>
      <c r="F138" s="167">
        <f t="shared" si="14"/>
        <v>0</v>
      </c>
    </row>
    <row r="139" spans="2:6">
      <c r="B139" s="167">
        <f t="shared" si="16"/>
        <v>0</v>
      </c>
      <c r="C139" s="116">
        <v>7</v>
      </c>
      <c r="D139" s="572"/>
      <c r="F139" s="167">
        <f t="shared" si="14"/>
        <v>0</v>
      </c>
    </row>
    <row r="140" spans="2:6">
      <c r="B140" s="167">
        <f t="shared" si="16"/>
        <v>0</v>
      </c>
      <c r="C140" s="116">
        <v>8</v>
      </c>
      <c r="D140" s="572"/>
      <c r="F140" s="167">
        <f t="shared" si="14"/>
        <v>0</v>
      </c>
    </row>
    <row r="141" spans="2:6">
      <c r="B141" s="167">
        <f t="shared" si="16"/>
        <v>0</v>
      </c>
      <c r="C141" s="116">
        <v>9</v>
      </c>
      <c r="D141" s="572"/>
      <c r="F141" s="167">
        <f t="shared" si="14"/>
        <v>0</v>
      </c>
    </row>
    <row r="142" spans="2:6">
      <c r="B142" s="167">
        <f t="shared" si="16"/>
        <v>0</v>
      </c>
      <c r="C142" s="116">
        <v>10</v>
      </c>
      <c r="D142" s="572"/>
      <c r="F142" s="167">
        <f t="shared" si="14"/>
        <v>0</v>
      </c>
    </row>
    <row r="143" spans="2:6">
      <c r="B143" s="167">
        <f t="shared" si="16"/>
        <v>0</v>
      </c>
      <c r="C143" s="116">
        <v>11</v>
      </c>
      <c r="D143" s="572"/>
      <c r="F143" s="167">
        <f t="shared" si="14"/>
        <v>0</v>
      </c>
    </row>
    <row r="144" spans="2:6">
      <c r="B144" s="167">
        <f t="shared" si="16"/>
        <v>0</v>
      </c>
      <c r="C144" s="116">
        <v>12</v>
      </c>
      <c r="D144" s="572"/>
      <c r="F144" s="167">
        <f t="shared" si="14"/>
        <v>0</v>
      </c>
    </row>
    <row r="145" spans="2:6">
      <c r="B145" s="167">
        <f>K23</f>
        <v>0</v>
      </c>
      <c r="C145" s="116">
        <v>1</v>
      </c>
      <c r="D145" s="572">
        <f>K22</f>
        <v>2019</v>
      </c>
      <c r="F145" s="167">
        <f>K23/12</f>
        <v>0</v>
      </c>
    </row>
    <row r="146" spans="2:6">
      <c r="B146" s="167">
        <f t="shared" ref="B146:B156" si="17">K24</f>
        <v>0</v>
      </c>
      <c r="C146" s="116">
        <v>2</v>
      </c>
      <c r="D146" s="572"/>
      <c r="F146" s="167">
        <f>F145</f>
        <v>0</v>
      </c>
    </row>
    <row r="147" spans="2:6">
      <c r="B147" s="167">
        <f t="shared" si="17"/>
        <v>0</v>
      </c>
      <c r="C147" s="116">
        <v>3</v>
      </c>
      <c r="D147" s="572"/>
      <c r="F147" s="167">
        <f>F146</f>
        <v>0</v>
      </c>
    </row>
    <row r="148" spans="2:6">
      <c r="B148" s="167">
        <f t="shared" si="17"/>
        <v>0</v>
      </c>
      <c r="C148" s="116">
        <v>4</v>
      </c>
      <c r="D148" s="572"/>
      <c r="F148" s="167">
        <f t="shared" si="14"/>
        <v>0</v>
      </c>
    </row>
    <row r="149" spans="2:6">
      <c r="B149" s="167">
        <f t="shared" si="17"/>
        <v>0</v>
      </c>
      <c r="C149" s="116">
        <v>5</v>
      </c>
      <c r="D149" s="572"/>
      <c r="F149" s="167">
        <f t="shared" si="14"/>
        <v>0</v>
      </c>
    </row>
    <row r="150" spans="2:6">
      <c r="B150" s="167">
        <f t="shared" si="17"/>
        <v>0</v>
      </c>
      <c r="C150" s="116">
        <v>6</v>
      </c>
      <c r="D150" s="572"/>
      <c r="F150" s="167">
        <f t="shared" si="14"/>
        <v>0</v>
      </c>
    </row>
    <row r="151" spans="2:6">
      <c r="B151" s="167">
        <f t="shared" si="17"/>
        <v>0</v>
      </c>
      <c r="C151" s="116">
        <v>7</v>
      </c>
      <c r="D151" s="572"/>
      <c r="F151" s="167">
        <f t="shared" si="14"/>
        <v>0</v>
      </c>
    </row>
    <row r="152" spans="2:6">
      <c r="B152" s="167">
        <f t="shared" si="17"/>
        <v>0</v>
      </c>
      <c r="C152" s="116">
        <v>8</v>
      </c>
      <c r="D152" s="572"/>
      <c r="F152" s="167">
        <f t="shared" si="14"/>
        <v>0</v>
      </c>
    </row>
    <row r="153" spans="2:6">
      <c r="B153" s="167">
        <f t="shared" si="17"/>
        <v>0</v>
      </c>
      <c r="C153" s="116">
        <v>9</v>
      </c>
      <c r="D153" s="572"/>
      <c r="F153" s="167">
        <f t="shared" si="14"/>
        <v>0</v>
      </c>
    </row>
    <row r="154" spans="2:6">
      <c r="B154" s="167">
        <f t="shared" si="17"/>
        <v>0</v>
      </c>
      <c r="C154" s="116">
        <v>10</v>
      </c>
      <c r="D154" s="572"/>
      <c r="F154" s="167">
        <f t="shared" si="14"/>
        <v>0</v>
      </c>
    </row>
    <row r="155" spans="2:6">
      <c r="B155" s="167">
        <f t="shared" si="17"/>
        <v>0</v>
      </c>
      <c r="C155" s="116">
        <v>11</v>
      </c>
      <c r="D155" s="572"/>
      <c r="F155" s="167">
        <f t="shared" si="14"/>
        <v>0</v>
      </c>
    </row>
    <row r="156" spans="2:6">
      <c r="B156" s="167">
        <f t="shared" si="17"/>
        <v>0</v>
      </c>
      <c r="C156" s="116">
        <v>12</v>
      </c>
      <c r="D156" s="572"/>
      <c r="F156" s="167">
        <f t="shared" si="14"/>
        <v>0</v>
      </c>
    </row>
    <row r="157" spans="2:6">
      <c r="B157" s="167">
        <f>L23</f>
        <v>0</v>
      </c>
      <c r="C157" s="116">
        <v>1</v>
      </c>
      <c r="D157" s="572">
        <f>L22</f>
        <v>2020</v>
      </c>
      <c r="F157" s="167">
        <f>L23/12</f>
        <v>0</v>
      </c>
    </row>
    <row r="158" spans="2:6">
      <c r="B158" s="167">
        <f t="shared" ref="B158:B168" si="18">L24</f>
        <v>0</v>
      </c>
      <c r="C158" s="116">
        <v>2</v>
      </c>
      <c r="D158" s="572"/>
      <c r="F158" s="167">
        <f>F157</f>
        <v>0</v>
      </c>
    </row>
    <row r="159" spans="2:6">
      <c r="B159" s="167">
        <f t="shared" si="18"/>
        <v>0</v>
      </c>
      <c r="C159" s="116">
        <v>3</v>
      </c>
      <c r="D159" s="572"/>
      <c r="F159" s="167">
        <f>F158</f>
        <v>0</v>
      </c>
    </row>
    <row r="160" spans="2:6">
      <c r="B160" s="167">
        <f t="shared" si="18"/>
        <v>0</v>
      </c>
      <c r="C160" s="116">
        <v>4</v>
      </c>
      <c r="D160" s="572"/>
      <c r="F160" s="167">
        <f t="shared" si="14"/>
        <v>0</v>
      </c>
    </row>
    <row r="161" spans="2:6">
      <c r="B161" s="167">
        <f t="shared" si="18"/>
        <v>0</v>
      </c>
      <c r="C161" s="116">
        <v>5</v>
      </c>
      <c r="D161" s="572"/>
      <c r="F161" s="167">
        <f t="shared" si="14"/>
        <v>0</v>
      </c>
    </row>
    <row r="162" spans="2:6">
      <c r="B162" s="167">
        <f t="shared" si="18"/>
        <v>0</v>
      </c>
      <c r="C162" s="116">
        <v>6</v>
      </c>
      <c r="D162" s="572"/>
      <c r="F162" s="167">
        <f t="shared" si="14"/>
        <v>0</v>
      </c>
    </row>
    <row r="163" spans="2:6">
      <c r="B163" s="167">
        <f t="shared" si="18"/>
        <v>0</v>
      </c>
      <c r="C163" s="116">
        <v>7</v>
      </c>
      <c r="D163" s="572"/>
      <c r="F163" s="167">
        <f t="shared" si="14"/>
        <v>0</v>
      </c>
    </row>
    <row r="164" spans="2:6">
      <c r="B164" s="167">
        <f t="shared" si="18"/>
        <v>0</v>
      </c>
      <c r="C164" s="116">
        <v>8</v>
      </c>
      <c r="D164" s="572"/>
      <c r="F164" s="167">
        <f t="shared" si="14"/>
        <v>0</v>
      </c>
    </row>
    <row r="165" spans="2:6">
      <c r="B165" s="167">
        <f t="shared" si="18"/>
        <v>0</v>
      </c>
      <c r="C165" s="116">
        <v>9</v>
      </c>
      <c r="D165" s="572"/>
      <c r="F165" s="167">
        <f t="shared" si="14"/>
        <v>0</v>
      </c>
    </row>
    <row r="166" spans="2:6">
      <c r="B166" s="167">
        <f t="shared" si="18"/>
        <v>0</v>
      </c>
      <c r="C166" s="116">
        <v>10</v>
      </c>
      <c r="D166" s="572"/>
      <c r="F166" s="167">
        <f t="shared" si="14"/>
        <v>0</v>
      </c>
    </row>
    <row r="167" spans="2:6">
      <c r="B167" s="167">
        <f t="shared" si="18"/>
        <v>0</v>
      </c>
      <c r="C167" s="116">
        <v>11</v>
      </c>
      <c r="D167" s="572"/>
      <c r="F167" s="167">
        <f t="shared" si="14"/>
        <v>0</v>
      </c>
    </row>
    <row r="168" spans="2:6">
      <c r="B168" s="167">
        <f t="shared" si="18"/>
        <v>0</v>
      </c>
      <c r="C168" s="116">
        <v>12</v>
      </c>
      <c r="D168" s="572"/>
      <c r="F168" s="167">
        <f t="shared" si="14"/>
        <v>0</v>
      </c>
    </row>
    <row r="169" spans="2:6">
      <c r="B169" s="167">
        <f>M23</f>
        <v>0</v>
      </c>
      <c r="C169" s="116">
        <v>1</v>
      </c>
      <c r="D169" s="572">
        <f>M22</f>
        <v>2021</v>
      </c>
      <c r="F169" s="167">
        <f>M23/12</f>
        <v>0</v>
      </c>
    </row>
    <row r="170" spans="2:6">
      <c r="B170" s="167">
        <f t="shared" ref="B170:B180" si="19">M24</f>
        <v>0</v>
      </c>
      <c r="C170" s="116">
        <v>2</v>
      </c>
      <c r="D170" s="572"/>
      <c r="F170" s="167">
        <f>F169</f>
        <v>0</v>
      </c>
    </row>
    <row r="171" spans="2:6">
      <c r="B171" s="167">
        <f t="shared" si="19"/>
        <v>0</v>
      </c>
      <c r="C171" s="116">
        <v>3</v>
      </c>
      <c r="D171" s="572"/>
      <c r="F171" s="167">
        <f>F170</f>
        <v>0</v>
      </c>
    </row>
    <row r="172" spans="2:6">
      <c r="B172" s="167">
        <f t="shared" si="19"/>
        <v>0</v>
      </c>
      <c r="C172" s="116">
        <v>4</v>
      </c>
      <c r="D172" s="572"/>
      <c r="F172" s="167">
        <f t="shared" si="14"/>
        <v>0</v>
      </c>
    </row>
    <row r="173" spans="2:6">
      <c r="B173" s="167">
        <f t="shared" si="19"/>
        <v>0</v>
      </c>
      <c r="C173" s="116">
        <v>5</v>
      </c>
      <c r="D173" s="572"/>
      <c r="F173" s="167">
        <f t="shared" si="14"/>
        <v>0</v>
      </c>
    </row>
    <row r="174" spans="2:6">
      <c r="B174" s="167">
        <f t="shared" si="19"/>
        <v>0</v>
      </c>
      <c r="C174" s="116">
        <v>6</v>
      </c>
      <c r="D174" s="572"/>
      <c r="F174" s="167">
        <f t="shared" si="14"/>
        <v>0</v>
      </c>
    </row>
    <row r="175" spans="2:6">
      <c r="B175" s="167">
        <f t="shared" si="19"/>
        <v>0</v>
      </c>
      <c r="C175" s="116">
        <v>7</v>
      </c>
      <c r="D175" s="572"/>
      <c r="F175" s="167">
        <f t="shared" si="14"/>
        <v>0</v>
      </c>
    </row>
    <row r="176" spans="2:6">
      <c r="B176" s="167">
        <f t="shared" si="19"/>
        <v>0</v>
      </c>
      <c r="C176" s="116">
        <v>8</v>
      </c>
      <c r="D176" s="572"/>
      <c r="F176" s="167">
        <f t="shared" si="14"/>
        <v>0</v>
      </c>
    </row>
    <row r="177" spans="2:6">
      <c r="B177" s="167">
        <f t="shared" si="19"/>
        <v>0</v>
      </c>
      <c r="C177" s="116">
        <v>9</v>
      </c>
      <c r="D177" s="572"/>
      <c r="F177" s="167">
        <f t="shared" si="14"/>
        <v>0</v>
      </c>
    </row>
    <row r="178" spans="2:6">
      <c r="B178" s="167">
        <f t="shared" si="19"/>
        <v>0</v>
      </c>
      <c r="C178" s="116">
        <v>10</v>
      </c>
      <c r="D178" s="572"/>
      <c r="F178" s="167">
        <f t="shared" ref="F178:F216" si="20">F177</f>
        <v>0</v>
      </c>
    </row>
    <row r="179" spans="2:6">
      <c r="B179" s="167">
        <f t="shared" si="19"/>
        <v>0</v>
      </c>
      <c r="C179" s="116">
        <v>11</v>
      </c>
      <c r="D179" s="572"/>
      <c r="F179" s="167">
        <f t="shared" si="20"/>
        <v>0</v>
      </c>
    </row>
    <row r="180" spans="2:6">
      <c r="B180" s="167">
        <f t="shared" si="19"/>
        <v>0</v>
      </c>
      <c r="C180" s="116">
        <v>12</v>
      </c>
      <c r="D180" s="572"/>
      <c r="F180" s="167">
        <f t="shared" si="20"/>
        <v>0</v>
      </c>
    </row>
    <row r="181" spans="2:6">
      <c r="B181" s="167">
        <f>N23</f>
        <v>0</v>
      </c>
      <c r="C181" s="116">
        <v>1</v>
      </c>
      <c r="D181" s="572">
        <f>N22</f>
        <v>2022</v>
      </c>
      <c r="F181" s="167">
        <f>N23/12</f>
        <v>0</v>
      </c>
    </row>
    <row r="182" spans="2:6">
      <c r="B182" s="167">
        <f t="shared" ref="B182:B192" si="21">N24</f>
        <v>0</v>
      </c>
      <c r="C182" s="116">
        <v>2</v>
      </c>
      <c r="D182" s="572"/>
      <c r="F182" s="167">
        <f>F181</f>
        <v>0</v>
      </c>
    </row>
    <row r="183" spans="2:6">
      <c r="B183" s="167">
        <f t="shared" si="21"/>
        <v>0</v>
      </c>
      <c r="C183" s="116">
        <v>3</v>
      </c>
      <c r="D183" s="572"/>
      <c r="F183" s="167">
        <f>F182</f>
        <v>0</v>
      </c>
    </row>
    <row r="184" spans="2:6">
      <c r="B184" s="167">
        <f t="shared" si="21"/>
        <v>0</v>
      </c>
      <c r="C184" s="116">
        <v>4</v>
      </c>
      <c r="D184" s="572"/>
      <c r="F184" s="167">
        <f t="shared" si="20"/>
        <v>0</v>
      </c>
    </row>
    <row r="185" spans="2:6">
      <c r="B185" s="167">
        <f t="shared" si="21"/>
        <v>0</v>
      </c>
      <c r="C185" s="116">
        <v>5</v>
      </c>
      <c r="D185" s="572"/>
      <c r="F185" s="167">
        <f t="shared" si="20"/>
        <v>0</v>
      </c>
    </row>
    <row r="186" spans="2:6">
      <c r="B186" s="167">
        <f t="shared" si="21"/>
        <v>0</v>
      </c>
      <c r="C186" s="116">
        <v>6</v>
      </c>
      <c r="D186" s="572"/>
      <c r="F186" s="167">
        <f t="shared" si="20"/>
        <v>0</v>
      </c>
    </row>
    <row r="187" spans="2:6">
      <c r="B187" s="167">
        <f t="shared" si="21"/>
        <v>0</v>
      </c>
      <c r="C187" s="116">
        <v>7</v>
      </c>
      <c r="D187" s="572"/>
      <c r="F187" s="167">
        <f t="shared" si="20"/>
        <v>0</v>
      </c>
    </row>
    <row r="188" spans="2:6">
      <c r="B188" s="167">
        <f t="shared" si="21"/>
        <v>0</v>
      </c>
      <c r="C188" s="116">
        <v>8</v>
      </c>
      <c r="D188" s="572"/>
      <c r="F188" s="167">
        <f t="shared" si="20"/>
        <v>0</v>
      </c>
    </row>
    <row r="189" spans="2:6">
      <c r="B189" s="167">
        <f t="shared" si="21"/>
        <v>0</v>
      </c>
      <c r="C189" s="116">
        <v>9</v>
      </c>
      <c r="D189" s="572"/>
      <c r="F189" s="167">
        <f t="shared" si="20"/>
        <v>0</v>
      </c>
    </row>
    <row r="190" spans="2:6">
      <c r="B190" s="167">
        <f t="shared" si="21"/>
        <v>0</v>
      </c>
      <c r="C190" s="116">
        <v>10</v>
      </c>
      <c r="D190" s="572"/>
      <c r="F190" s="167">
        <f t="shared" si="20"/>
        <v>0</v>
      </c>
    </row>
    <row r="191" spans="2:6">
      <c r="B191" s="167">
        <f t="shared" si="21"/>
        <v>0</v>
      </c>
      <c r="C191" s="116">
        <v>11</v>
      </c>
      <c r="D191" s="572"/>
      <c r="F191" s="167">
        <f t="shared" si="20"/>
        <v>0</v>
      </c>
    </row>
    <row r="192" spans="2:6">
      <c r="B192" s="167">
        <f t="shared" si="21"/>
        <v>0</v>
      </c>
      <c r="C192" s="116">
        <v>12</v>
      </c>
      <c r="D192" s="572"/>
      <c r="F192" s="167">
        <f t="shared" si="20"/>
        <v>0</v>
      </c>
    </row>
    <row r="193" spans="2:6">
      <c r="B193" s="167">
        <f>O23</f>
        <v>0</v>
      </c>
      <c r="C193" s="116">
        <v>1</v>
      </c>
      <c r="D193" s="572">
        <f>O22</f>
        <v>2023</v>
      </c>
      <c r="F193" s="167">
        <f>O23/12</f>
        <v>0</v>
      </c>
    </row>
    <row r="194" spans="2:6">
      <c r="B194" s="167">
        <f t="shared" ref="B194:B204" si="22">O24</f>
        <v>0</v>
      </c>
      <c r="C194" s="116">
        <v>2</v>
      </c>
      <c r="D194" s="572"/>
      <c r="F194" s="167">
        <f>F193</f>
        <v>0</v>
      </c>
    </row>
    <row r="195" spans="2:6">
      <c r="B195" s="167">
        <f t="shared" si="22"/>
        <v>0</v>
      </c>
      <c r="C195" s="116">
        <v>3</v>
      </c>
      <c r="D195" s="572"/>
      <c r="F195" s="167">
        <f>F194</f>
        <v>0</v>
      </c>
    </row>
    <row r="196" spans="2:6">
      <c r="B196" s="167">
        <f t="shared" si="22"/>
        <v>0</v>
      </c>
      <c r="C196" s="116">
        <v>4</v>
      </c>
      <c r="D196" s="572"/>
      <c r="F196" s="167">
        <f t="shared" si="20"/>
        <v>0</v>
      </c>
    </row>
    <row r="197" spans="2:6">
      <c r="B197" s="167">
        <f t="shared" si="22"/>
        <v>0</v>
      </c>
      <c r="C197" s="116">
        <v>5</v>
      </c>
      <c r="D197" s="572"/>
      <c r="F197" s="167">
        <f t="shared" si="20"/>
        <v>0</v>
      </c>
    </row>
    <row r="198" spans="2:6">
      <c r="B198" s="167">
        <f t="shared" si="22"/>
        <v>0</v>
      </c>
      <c r="C198" s="116">
        <v>6</v>
      </c>
      <c r="D198" s="572"/>
      <c r="F198" s="167">
        <f t="shared" si="20"/>
        <v>0</v>
      </c>
    </row>
    <row r="199" spans="2:6">
      <c r="B199" s="167">
        <f t="shared" si="22"/>
        <v>0</v>
      </c>
      <c r="C199" s="116">
        <v>7</v>
      </c>
      <c r="D199" s="572"/>
      <c r="F199" s="167">
        <f t="shared" si="20"/>
        <v>0</v>
      </c>
    </row>
    <row r="200" spans="2:6">
      <c r="B200" s="167">
        <f t="shared" si="22"/>
        <v>0</v>
      </c>
      <c r="C200" s="116">
        <v>8</v>
      </c>
      <c r="D200" s="572"/>
      <c r="F200" s="167">
        <f t="shared" si="20"/>
        <v>0</v>
      </c>
    </row>
    <row r="201" spans="2:6">
      <c r="B201" s="167">
        <f t="shared" si="22"/>
        <v>0</v>
      </c>
      <c r="C201" s="116">
        <v>9</v>
      </c>
      <c r="D201" s="572"/>
      <c r="F201" s="167">
        <f t="shared" si="20"/>
        <v>0</v>
      </c>
    </row>
    <row r="202" spans="2:6">
      <c r="B202" s="167">
        <f t="shared" si="22"/>
        <v>0</v>
      </c>
      <c r="C202" s="116">
        <v>10</v>
      </c>
      <c r="D202" s="572"/>
      <c r="F202" s="167">
        <f t="shared" si="20"/>
        <v>0</v>
      </c>
    </row>
    <row r="203" spans="2:6">
      <c r="B203" s="167">
        <f t="shared" si="22"/>
        <v>0</v>
      </c>
      <c r="C203" s="116">
        <v>11</v>
      </c>
      <c r="D203" s="572"/>
      <c r="F203" s="167">
        <f t="shared" si="20"/>
        <v>0</v>
      </c>
    </row>
    <row r="204" spans="2:6">
      <c r="B204" s="167">
        <f t="shared" si="22"/>
        <v>0</v>
      </c>
      <c r="C204" s="116">
        <v>12</v>
      </c>
      <c r="D204" s="572"/>
      <c r="F204" s="167">
        <f t="shared" si="20"/>
        <v>0</v>
      </c>
    </row>
    <row r="205" spans="2:6">
      <c r="B205" s="167">
        <f>'Aide CME'!P23</f>
        <v>0</v>
      </c>
      <c r="C205" s="116">
        <v>1</v>
      </c>
      <c r="D205" s="572">
        <f>P22</f>
        <v>2024</v>
      </c>
      <c r="F205" s="167">
        <f>P23/12</f>
        <v>0</v>
      </c>
    </row>
    <row r="206" spans="2:6">
      <c r="B206" s="167">
        <f>'Aide CME'!P24</f>
        <v>0</v>
      </c>
      <c r="C206" s="116">
        <v>2</v>
      </c>
      <c r="D206" s="572"/>
      <c r="F206" s="167">
        <f>F205</f>
        <v>0</v>
      </c>
    </row>
    <row r="207" spans="2:6">
      <c r="B207" s="167">
        <f>'Aide CME'!P25</f>
        <v>0</v>
      </c>
      <c r="C207" s="116">
        <v>3</v>
      </c>
      <c r="D207" s="572"/>
      <c r="F207" s="167">
        <f>F206</f>
        <v>0</v>
      </c>
    </row>
    <row r="208" spans="2:6">
      <c r="B208" s="167">
        <f>'Aide CME'!P26</f>
        <v>0</v>
      </c>
      <c r="C208" s="116">
        <v>4</v>
      </c>
      <c r="D208" s="572"/>
      <c r="F208" s="167">
        <f t="shared" si="20"/>
        <v>0</v>
      </c>
    </row>
    <row r="209" spans="2:6">
      <c r="B209" s="167">
        <f>'Aide CME'!P27</f>
        <v>0</v>
      </c>
      <c r="C209" s="116">
        <v>5</v>
      </c>
      <c r="D209" s="572"/>
      <c r="F209" s="167">
        <f t="shared" si="20"/>
        <v>0</v>
      </c>
    </row>
    <row r="210" spans="2:6">
      <c r="B210" s="167">
        <f>'Aide CME'!P28</f>
        <v>0</v>
      </c>
      <c r="C210" s="116">
        <v>6</v>
      </c>
      <c r="D210" s="572"/>
      <c r="F210" s="167">
        <f t="shared" si="20"/>
        <v>0</v>
      </c>
    </row>
    <row r="211" spans="2:6">
      <c r="B211" s="167">
        <f>'Aide CME'!P29</f>
        <v>0</v>
      </c>
      <c r="C211" s="116">
        <v>7</v>
      </c>
      <c r="D211" s="572"/>
      <c r="F211" s="167">
        <f t="shared" si="20"/>
        <v>0</v>
      </c>
    </row>
    <row r="212" spans="2:6">
      <c r="B212" s="167">
        <f>'Aide CME'!P30</f>
        <v>0</v>
      </c>
      <c r="C212" s="116">
        <v>8</v>
      </c>
      <c r="D212" s="572"/>
      <c r="F212" s="167">
        <f t="shared" si="20"/>
        <v>0</v>
      </c>
    </row>
    <row r="213" spans="2:6">
      <c r="B213" s="167">
        <f>'Aide CME'!P31</f>
        <v>0</v>
      </c>
      <c r="C213" s="116">
        <v>9</v>
      </c>
      <c r="D213" s="572"/>
      <c r="F213" s="167">
        <f t="shared" si="20"/>
        <v>0</v>
      </c>
    </row>
    <row r="214" spans="2:6">
      <c r="B214" s="167">
        <f>'Aide CME'!P32</f>
        <v>0</v>
      </c>
      <c r="C214" s="116">
        <v>10</v>
      </c>
      <c r="D214" s="572"/>
      <c r="F214" s="167">
        <f t="shared" si="20"/>
        <v>0</v>
      </c>
    </row>
    <row r="215" spans="2:6">
      <c r="B215" s="167">
        <f>'Aide CME'!P33</f>
        <v>0</v>
      </c>
      <c r="C215" s="116">
        <v>11</v>
      </c>
      <c r="D215" s="572"/>
      <c r="F215" s="167">
        <f t="shared" si="20"/>
        <v>0</v>
      </c>
    </row>
    <row r="216" spans="2:6">
      <c r="B216" s="167">
        <f>'Aide CME'!P34</f>
        <v>0</v>
      </c>
      <c r="C216" s="116">
        <v>12</v>
      </c>
      <c r="D216" s="572"/>
      <c r="F216" s="167">
        <f t="shared" si="20"/>
        <v>0</v>
      </c>
    </row>
    <row r="217" spans="2:6">
      <c r="B217" s="167">
        <f>'Aide CME'!Q23</f>
        <v>0</v>
      </c>
      <c r="C217" s="116">
        <v>1</v>
      </c>
      <c r="D217" s="572">
        <f>Q22</f>
        <v>2025</v>
      </c>
      <c r="F217" s="167">
        <f>Q23/12</f>
        <v>0</v>
      </c>
    </row>
    <row r="218" spans="2:6">
      <c r="B218" s="167">
        <f>'Aide CME'!Q24</f>
        <v>0</v>
      </c>
      <c r="C218" s="116">
        <v>2</v>
      </c>
      <c r="D218" s="572"/>
      <c r="F218" s="167">
        <f>F217</f>
        <v>0</v>
      </c>
    </row>
    <row r="219" spans="2:6">
      <c r="B219" s="167">
        <f>'Aide CME'!Q25</f>
        <v>0</v>
      </c>
      <c r="C219" s="116">
        <v>3</v>
      </c>
      <c r="D219" s="572"/>
      <c r="F219" s="167">
        <f t="shared" ref="F219:F228" si="23">F218</f>
        <v>0</v>
      </c>
    </row>
    <row r="220" spans="2:6">
      <c r="B220" s="167">
        <f>'Aide CME'!Q26</f>
        <v>0</v>
      </c>
      <c r="C220" s="116">
        <v>4</v>
      </c>
      <c r="D220" s="572"/>
      <c r="F220" s="167">
        <f t="shared" si="23"/>
        <v>0</v>
      </c>
    </row>
    <row r="221" spans="2:6">
      <c r="B221" s="167">
        <f>'Aide CME'!Q27</f>
        <v>0</v>
      </c>
      <c r="C221" s="116">
        <v>5</v>
      </c>
      <c r="D221" s="572"/>
      <c r="F221" s="167">
        <f t="shared" si="23"/>
        <v>0</v>
      </c>
    </row>
    <row r="222" spans="2:6">
      <c r="B222" s="167">
        <f>'Aide CME'!Q28</f>
        <v>0</v>
      </c>
      <c r="C222" s="116">
        <v>6</v>
      </c>
      <c r="D222" s="572"/>
      <c r="F222" s="167">
        <f t="shared" si="23"/>
        <v>0</v>
      </c>
    </row>
    <row r="223" spans="2:6">
      <c r="B223" s="167">
        <f>'Aide CME'!Q29</f>
        <v>0</v>
      </c>
      <c r="C223" s="116">
        <v>7</v>
      </c>
      <c r="D223" s="572"/>
      <c r="F223" s="167">
        <f t="shared" si="23"/>
        <v>0</v>
      </c>
    </row>
    <row r="224" spans="2:6">
      <c r="B224" s="167">
        <f>'Aide CME'!Q30</f>
        <v>0</v>
      </c>
      <c r="C224" s="116">
        <v>8</v>
      </c>
      <c r="D224" s="572"/>
      <c r="F224" s="167">
        <f t="shared" si="23"/>
        <v>0</v>
      </c>
    </row>
    <row r="225" spans="2:6">
      <c r="B225" s="167">
        <f>'Aide CME'!Q31</f>
        <v>0</v>
      </c>
      <c r="C225" s="116">
        <v>9</v>
      </c>
      <c r="D225" s="572"/>
      <c r="F225" s="167">
        <f t="shared" si="23"/>
        <v>0</v>
      </c>
    </row>
    <row r="226" spans="2:6">
      <c r="B226" s="167">
        <f>'Aide CME'!Q32</f>
        <v>0</v>
      </c>
      <c r="C226" s="116">
        <v>10</v>
      </c>
      <c r="D226" s="572"/>
      <c r="F226" s="167">
        <f t="shared" si="23"/>
        <v>0</v>
      </c>
    </row>
    <row r="227" spans="2:6">
      <c r="B227" s="167">
        <f>'Aide CME'!Q33</f>
        <v>0</v>
      </c>
      <c r="C227" s="116">
        <v>11</v>
      </c>
      <c r="D227" s="572"/>
      <c r="F227" s="167">
        <f t="shared" si="23"/>
        <v>0</v>
      </c>
    </row>
    <row r="228" spans="2:6">
      <c r="B228" s="167">
        <f>'Aide CME'!Q34</f>
        <v>0</v>
      </c>
      <c r="C228" s="116">
        <v>12</v>
      </c>
      <c r="D228" s="572"/>
      <c r="F228" s="167">
        <f t="shared" si="23"/>
        <v>0</v>
      </c>
    </row>
    <row r="229" spans="2:6">
      <c r="B229" s="167">
        <f>'Aide CME'!R23</f>
        <v>0</v>
      </c>
      <c r="C229" s="116">
        <v>1</v>
      </c>
      <c r="D229" s="572">
        <f>R22</f>
        <v>2026</v>
      </c>
      <c r="F229" s="167">
        <f>R23/12</f>
        <v>0</v>
      </c>
    </row>
    <row r="230" spans="2:6">
      <c r="B230" s="167">
        <f>'Aide CME'!R24</f>
        <v>0</v>
      </c>
      <c r="C230" s="116">
        <v>2</v>
      </c>
      <c r="D230" s="572"/>
      <c r="F230" s="167">
        <f>F229</f>
        <v>0</v>
      </c>
    </row>
    <row r="231" spans="2:6">
      <c r="B231" s="167">
        <f>'Aide CME'!R25</f>
        <v>0</v>
      </c>
      <c r="C231" s="116">
        <v>3</v>
      </c>
      <c r="D231" s="572"/>
      <c r="F231" s="167">
        <f t="shared" ref="F231:F240" si="24">F230</f>
        <v>0</v>
      </c>
    </row>
    <row r="232" spans="2:6">
      <c r="B232" s="167">
        <f>'Aide CME'!R26</f>
        <v>0</v>
      </c>
      <c r="C232" s="116">
        <v>4</v>
      </c>
      <c r="D232" s="572"/>
      <c r="F232" s="167">
        <f t="shared" si="24"/>
        <v>0</v>
      </c>
    </row>
    <row r="233" spans="2:6">
      <c r="B233" s="167">
        <f>'Aide CME'!R27</f>
        <v>0</v>
      </c>
      <c r="C233" s="116">
        <v>5</v>
      </c>
      <c r="D233" s="572"/>
      <c r="F233" s="167">
        <f t="shared" si="24"/>
        <v>0</v>
      </c>
    </row>
    <row r="234" spans="2:6">
      <c r="B234" s="167">
        <f>'Aide CME'!R28</f>
        <v>0</v>
      </c>
      <c r="C234" s="116">
        <v>6</v>
      </c>
      <c r="D234" s="572"/>
      <c r="F234" s="167">
        <f t="shared" si="24"/>
        <v>0</v>
      </c>
    </row>
    <row r="235" spans="2:6">
      <c r="B235" s="167">
        <f>'Aide CME'!R29</f>
        <v>0</v>
      </c>
      <c r="C235" s="116">
        <v>7</v>
      </c>
      <c r="D235" s="572"/>
      <c r="F235" s="167">
        <f t="shared" si="24"/>
        <v>0</v>
      </c>
    </row>
    <row r="236" spans="2:6">
      <c r="B236" s="167">
        <f>'Aide CME'!R30</f>
        <v>0</v>
      </c>
      <c r="C236" s="116">
        <v>8</v>
      </c>
      <c r="D236" s="572"/>
      <c r="F236" s="167">
        <f t="shared" si="24"/>
        <v>0</v>
      </c>
    </row>
    <row r="237" spans="2:6">
      <c r="B237" s="167">
        <f>'Aide CME'!R31</f>
        <v>0</v>
      </c>
      <c r="C237" s="116">
        <v>9</v>
      </c>
      <c r="D237" s="572"/>
      <c r="F237" s="167">
        <f t="shared" si="24"/>
        <v>0</v>
      </c>
    </row>
    <row r="238" spans="2:6">
      <c r="B238" s="167">
        <f>'Aide CME'!R32</f>
        <v>0</v>
      </c>
      <c r="C238" s="116">
        <v>10</v>
      </c>
      <c r="D238" s="572"/>
      <c r="F238" s="167">
        <f t="shared" si="24"/>
        <v>0</v>
      </c>
    </row>
    <row r="239" spans="2:6">
      <c r="B239" s="167">
        <f>'Aide CME'!R33</f>
        <v>0</v>
      </c>
      <c r="C239" s="116">
        <v>11</v>
      </c>
      <c r="D239" s="572"/>
      <c r="F239" s="167">
        <f t="shared" si="24"/>
        <v>0</v>
      </c>
    </row>
    <row r="240" spans="2:6">
      <c r="B240" s="167">
        <f>'Aide CME'!R34</f>
        <v>0</v>
      </c>
      <c r="C240" s="116">
        <v>12</v>
      </c>
      <c r="D240" s="572"/>
      <c r="F240" s="167">
        <f t="shared" si="24"/>
        <v>0</v>
      </c>
    </row>
  </sheetData>
  <mergeCells count="19">
    <mergeCell ref="D109:D120"/>
    <mergeCell ref="D217:D228"/>
    <mergeCell ref="D229:D240"/>
    <mergeCell ref="C2:K2"/>
    <mergeCell ref="D205:D216"/>
    <mergeCell ref="D145:D156"/>
    <mergeCell ref="D157:D168"/>
    <mergeCell ref="D169:D180"/>
    <mergeCell ref="D181:D192"/>
    <mergeCell ref="D193:D204"/>
    <mergeCell ref="D121:D132"/>
    <mergeCell ref="D133:D144"/>
    <mergeCell ref="C14:K14"/>
    <mergeCell ref="D37:D48"/>
    <mergeCell ref="D49:D60"/>
    <mergeCell ref="D61:D72"/>
    <mergeCell ref="D73:D84"/>
    <mergeCell ref="D85:D96"/>
    <mergeCell ref="D97:D108"/>
  </mergeCells>
  <pageMargins left="0.7" right="0.7" top="0.75" bottom="0.75" header="0.3" footer="0.3"/>
  <pageSetup paperSize="9" orientation="portrait" horizontalDpi="4294967293"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4"/>
  <dimension ref="A1:O243"/>
  <sheetViews>
    <sheetView workbookViewId="0">
      <selection activeCell="B4" sqref="B4"/>
    </sheetView>
  </sheetViews>
  <sheetFormatPr baseColWidth="10" defaultColWidth="0" defaultRowHeight="14.5" zeroHeight="1"/>
  <cols>
    <col min="1" max="1" width="16.54296875" customWidth="1"/>
    <col min="2" max="2" width="15" style="237" customWidth="1"/>
    <col min="3" max="3" width="11.54296875" style="229" customWidth="1"/>
    <col min="4" max="4" width="13.81640625" customWidth="1"/>
    <col min="5" max="5" width="11.26953125" customWidth="1"/>
    <col min="6" max="6" width="11.54296875" hidden="1" customWidth="1"/>
    <col min="7" max="8" width="11.453125" hidden="1" customWidth="1"/>
    <col min="9" max="9" width="10.90625" customWidth="1"/>
    <col min="10" max="10" width="25.6328125" style="226" customWidth="1"/>
    <col min="11" max="11" width="26.90625" customWidth="1"/>
    <col min="12" max="12" width="17.1796875" customWidth="1"/>
    <col min="13" max="13" width="11.453125" customWidth="1"/>
    <col min="14" max="14" width="21.54296875" customWidth="1"/>
    <col min="15" max="15" width="11.54296875" style="38" customWidth="1"/>
    <col min="16" max="16384" width="11.453125" hidden="1"/>
  </cols>
  <sheetData>
    <row r="1" spans="1:15" ht="33.75" customHeight="1">
      <c r="A1" s="57" t="s">
        <v>401</v>
      </c>
      <c r="B1" s="235" t="s">
        <v>402</v>
      </c>
      <c r="C1" s="132" t="s">
        <v>403</v>
      </c>
      <c r="D1" s="59" t="str">
        <f>CONCATENATE("Montant ",Controle_des_données!$A$40)</f>
        <v>Montant TTC</v>
      </c>
      <c r="E1" s="30" t="s">
        <v>218</v>
      </c>
      <c r="F1" s="29" t="s">
        <v>404</v>
      </c>
      <c r="G1" s="30" t="s">
        <v>405</v>
      </c>
      <c r="H1" s="30" t="s">
        <v>406</v>
      </c>
      <c r="I1" s="30" t="s">
        <v>407</v>
      </c>
      <c r="J1" s="188" t="s">
        <v>408</v>
      </c>
      <c r="K1" s="178" t="s">
        <v>19</v>
      </c>
      <c r="L1" s="186" t="str">
        <f>IF(Site!C38="", "Compteur 1",Site!C38)</f>
        <v>Elec Générale (Factures)</v>
      </c>
      <c r="N1" s="38"/>
      <c r="O1"/>
    </row>
    <row r="2" spans="1:15" ht="20.25" hidden="1" customHeight="1">
      <c r="A2" s="57" t="s">
        <v>401</v>
      </c>
      <c r="B2" s="235" t="s">
        <v>402</v>
      </c>
      <c r="C2" s="132" t="s">
        <v>403</v>
      </c>
      <c r="D2" s="59" t="s">
        <v>437</v>
      </c>
      <c r="E2" s="30" t="s">
        <v>218</v>
      </c>
      <c r="F2" s="29" t="s">
        <v>404</v>
      </c>
      <c r="G2" s="30" t="s">
        <v>405</v>
      </c>
      <c r="H2" s="30" t="s">
        <v>406</v>
      </c>
      <c r="I2" s="215" t="s">
        <v>407</v>
      </c>
      <c r="J2" s="188"/>
      <c r="K2" s="178"/>
      <c r="L2" s="186"/>
      <c r="M2" s="187"/>
      <c r="N2" s="38"/>
      <c r="O2"/>
    </row>
    <row r="3" spans="1:15" hidden="1">
      <c r="A3" s="3"/>
      <c r="B3" s="462">
        <f t="shared" ref="B3" si="0">A4-1</f>
        <v>40178</v>
      </c>
      <c r="C3" s="463"/>
      <c r="D3" s="275"/>
      <c r="E3" s="38"/>
      <c r="F3">
        <f t="shared" ref="F3:F66" si="1">IFERROR(B3-A3+1,"")</f>
        <v>40179</v>
      </c>
      <c r="G3">
        <f>IFERROR(IF(Str_TypeDonneesCpt=Cpt_Index,Tab_Compteur_1[[#This Row],[Index]],Tab_Compteur_1[[#This Row],[Quantité]])/Tab_Compteur_1[[#This Row],[Delta Jour]],0)</f>
        <v>0</v>
      </c>
      <c r="H3">
        <f>IFERROR(Tab_Compteur_1[[#This Row],[Montant]]/Tab_Compteur_1[[#This Row],[Delta Jour]],"")</f>
        <v>0</v>
      </c>
      <c r="I3" s="215">
        <f>G3</f>
        <v>0</v>
      </c>
      <c r="J3" s="38"/>
      <c r="K3" s="38"/>
      <c r="L3" s="38"/>
      <c r="M3" s="38"/>
      <c r="N3" s="38"/>
      <c r="O3"/>
    </row>
    <row r="4" spans="1:15">
      <c r="A4" s="465">
        <f>Site!I38</f>
        <v>40179</v>
      </c>
      <c r="B4" s="236"/>
      <c r="C4" s="196"/>
      <c r="D4" s="195"/>
      <c r="E4" s="193"/>
      <c r="F4">
        <f t="shared" si="1"/>
        <v>-40178</v>
      </c>
      <c r="G4" s="225">
        <f>IF(IFERROR(IF(Str_TypeDonneesCpt1=Cpt_Index,Tab_Compteur_1[[#This Row],[Index]]-M4,Tab_Compteur_1[[#This Row],[Quantité]])/Tab_Compteur_1[[#This Row],[Delta Jour]],"")&lt;0,"",IFERROR(IF(Str_TypeDonneesCpt1=Cpt_Index,Tab_Compteur_1[[#This Row],[Index]]-M4,Tab_Compteur_1[[#This Row],[Quantité]])/Tab_Compteur_1[[#This Row],[Delta Jour]],""))</f>
        <v>0</v>
      </c>
      <c r="H4">
        <f>IFERROR(Tab_Compteur_1[[#This Row],[Montant]]/Tab_Compteur_1[[#This Row],[Delta Jour]],"")</f>
        <v>0</v>
      </c>
      <c r="I4" s="215">
        <f>G4</f>
        <v>0</v>
      </c>
      <c r="J4" s="192"/>
      <c r="K4" s="223" t="s">
        <v>409</v>
      </c>
      <c r="L4" s="178"/>
      <c r="M4" s="224">
        <v>0</v>
      </c>
      <c r="N4" s="38"/>
      <c r="O4"/>
    </row>
    <row r="5" spans="1:15">
      <c r="A5" s="501">
        <f>IFERROR(B4+1,0)</f>
        <v>1</v>
      </c>
      <c r="B5" s="236"/>
      <c r="C5" s="196"/>
      <c r="D5" s="195"/>
      <c r="E5" s="193"/>
      <c r="F5">
        <f t="shared" si="1"/>
        <v>0</v>
      </c>
      <c r="G5" t="str">
        <f>IF(IFERROR(IF(Str_TypeDonneesCpt1=Cpt_Index,Tab_Compteur_1[[#This Row],[Index]]-E4,Tab_Compteur_1[[#This Row],[Quantité]])/Tab_Compteur_1[[#This Row],[Delta Jour]],"")&lt;0,"",IFERROR(IF(Str_TypeDonneesCpt1=Cpt_Index,Tab_Compteur_1[[#This Row],[Index]]-E4,Tab_Compteur_1[[#This Row],[Quantité]])/Tab_Compteur_1[[#This Row],[Delta Jour]],""))</f>
        <v/>
      </c>
      <c r="H5" t="str">
        <f>IFERROR(Tab_Compteur_1[[#This Row],[Montant]]/Tab_Compteur_1[[#This Row],[Delta Jour]],"")</f>
        <v/>
      </c>
      <c r="I5" s="215" t="str">
        <f t="shared" ref="I5:I68" si="2">G5</f>
        <v/>
      </c>
      <c r="J5" s="193"/>
      <c r="L5" s="102"/>
      <c r="M5" s="38"/>
      <c r="N5" s="38"/>
      <c r="O5"/>
    </row>
    <row r="6" spans="1:15">
      <c r="A6" s="501">
        <f t="shared" ref="A6:A69" si="3">IFERROR(B5+1,0)</f>
        <v>1</v>
      </c>
      <c r="B6" s="236"/>
      <c r="C6" s="196"/>
      <c r="D6" s="195"/>
      <c r="E6" s="193"/>
      <c r="F6">
        <f t="shared" si="1"/>
        <v>0</v>
      </c>
      <c r="G6" t="str">
        <f>IF(IFERROR(IF(Str_TypeDonneesCpt1=Cpt_Index,Tab_Compteur_1[[#This Row],[Index]]-E5,Tab_Compteur_1[[#This Row],[Quantité]])/Tab_Compteur_1[[#This Row],[Delta Jour]],"")&lt;0,"",IFERROR(IF(Str_TypeDonneesCpt1=Cpt_Index,Tab_Compteur_1[[#This Row],[Index]]-E5,Tab_Compteur_1[[#This Row],[Quantité]])/Tab_Compteur_1[[#This Row],[Delta Jour]],""))</f>
        <v/>
      </c>
      <c r="H6" t="str">
        <f>IFERROR(Tab_Compteur_1[[#This Row],[Montant]]/Tab_Compteur_1[[#This Row],[Delta Jour]],"")</f>
        <v/>
      </c>
      <c r="I6" s="215" t="str">
        <f t="shared" si="2"/>
        <v/>
      </c>
      <c r="J6" s="213"/>
      <c r="K6" s="38"/>
      <c r="L6" s="38"/>
      <c r="M6" s="38"/>
      <c r="N6" s="38"/>
      <c r="O6"/>
    </row>
    <row r="7" spans="1:15" ht="15" customHeight="1">
      <c r="A7" s="501">
        <f t="shared" si="3"/>
        <v>1</v>
      </c>
      <c r="B7" s="236"/>
      <c r="C7" s="196"/>
      <c r="D7" s="195"/>
      <c r="E7" s="193"/>
      <c r="F7">
        <f t="shared" si="1"/>
        <v>0</v>
      </c>
      <c r="G7" t="str">
        <f>IF(IFERROR(IF(Str_TypeDonneesCpt1=Cpt_Index,Tab_Compteur_1[[#This Row],[Index]]-E6,Tab_Compteur_1[[#This Row],[Quantité]])/Tab_Compteur_1[[#This Row],[Delta Jour]],"")&lt;0,"",IFERROR(IF(Str_TypeDonneesCpt1=Cpt_Index,Tab_Compteur_1[[#This Row],[Index]]-E6,Tab_Compteur_1[[#This Row],[Quantité]])/Tab_Compteur_1[[#This Row],[Delta Jour]],""))</f>
        <v/>
      </c>
      <c r="H7" t="str">
        <f>IFERROR(Tab_Compteur_1[[#This Row],[Montant]]/Tab_Compteur_1[[#This Row],[Delta Jour]],"")</f>
        <v/>
      </c>
      <c r="I7" s="215" t="str">
        <f t="shared" si="2"/>
        <v/>
      </c>
      <c r="J7" s="192"/>
      <c r="K7" s="519"/>
      <c r="L7" s="519"/>
      <c r="N7" s="38"/>
      <c r="O7"/>
    </row>
    <row r="8" spans="1:15">
      <c r="A8" s="501">
        <f t="shared" si="3"/>
        <v>1</v>
      </c>
      <c r="B8" s="236"/>
      <c r="C8" s="196"/>
      <c r="D8" s="195"/>
      <c r="E8" s="193"/>
      <c r="F8">
        <f t="shared" si="1"/>
        <v>0</v>
      </c>
      <c r="G8" t="str">
        <f>IF(IFERROR(IF(Str_TypeDonneesCpt1=Cpt_Index,Tab_Compteur_1[[#This Row],[Index]]-E7,Tab_Compteur_1[[#This Row],[Quantité]])/Tab_Compteur_1[[#This Row],[Delta Jour]],"")&lt;0,"",IFERROR(IF(Str_TypeDonneesCpt1=Cpt_Index,Tab_Compteur_1[[#This Row],[Index]]-E7,Tab_Compteur_1[[#This Row],[Quantité]])/Tab_Compteur_1[[#This Row],[Delta Jour]],""))</f>
        <v/>
      </c>
      <c r="H8" t="str">
        <f>IFERROR(Tab_Compteur_1[[#This Row],[Montant]]/Tab_Compteur_1[[#This Row],[Delta Jour]],"")</f>
        <v/>
      </c>
      <c r="I8" s="215" t="str">
        <f t="shared" si="2"/>
        <v/>
      </c>
      <c r="J8" s="192"/>
      <c r="K8" s="38"/>
      <c r="L8" s="38"/>
      <c r="M8" s="38"/>
      <c r="N8" s="38"/>
      <c r="O8"/>
    </row>
    <row r="9" spans="1:15">
      <c r="A9" s="501">
        <f t="shared" si="3"/>
        <v>1</v>
      </c>
      <c r="B9" s="236"/>
      <c r="C9" s="196"/>
      <c r="D9" s="195"/>
      <c r="E9" s="193"/>
      <c r="F9">
        <f t="shared" si="1"/>
        <v>0</v>
      </c>
      <c r="G9" t="str">
        <f>IF(IFERROR(IF(Str_TypeDonneesCpt1=Cpt_Index,Tab_Compteur_1[[#This Row],[Index]]-E8,Tab_Compteur_1[[#This Row],[Quantité]])/Tab_Compteur_1[[#This Row],[Delta Jour]],"")&lt;0,"",IFERROR(IF(Str_TypeDonneesCpt1=Cpt_Index,Tab_Compteur_1[[#This Row],[Index]]-E8,Tab_Compteur_1[[#This Row],[Quantité]])/Tab_Compteur_1[[#This Row],[Delta Jour]],""))</f>
        <v/>
      </c>
      <c r="H9" t="str">
        <f>IFERROR(Tab_Compteur_1[[#This Row],[Montant]]/Tab_Compteur_1[[#This Row],[Delta Jour]],"")</f>
        <v/>
      </c>
      <c r="I9" s="215" t="str">
        <f t="shared" si="2"/>
        <v/>
      </c>
      <c r="J9" s="192"/>
      <c r="K9" s="292" t="s">
        <v>927</v>
      </c>
      <c r="L9" s="38"/>
      <c r="M9" s="38"/>
      <c r="N9" s="38"/>
      <c r="O9"/>
    </row>
    <row r="10" spans="1:15" ht="15" customHeight="1">
      <c r="A10" s="501">
        <f t="shared" si="3"/>
        <v>1</v>
      </c>
      <c r="B10" s="236"/>
      <c r="C10" s="196"/>
      <c r="D10" s="195"/>
      <c r="E10" s="193"/>
      <c r="F10">
        <f t="shared" si="1"/>
        <v>0</v>
      </c>
      <c r="G10" t="str">
        <f>IF(IFERROR(IF(Str_TypeDonneesCpt1=Cpt_Index,Tab_Compteur_1[[#This Row],[Index]]-E9,Tab_Compteur_1[[#This Row],[Quantité]])/Tab_Compteur_1[[#This Row],[Delta Jour]],"")&lt;0,"",IFERROR(IF(Str_TypeDonneesCpt1=Cpt_Index,Tab_Compteur_1[[#This Row],[Index]]-E9,Tab_Compteur_1[[#This Row],[Quantité]])/Tab_Compteur_1[[#This Row],[Delta Jour]],""))</f>
        <v/>
      </c>
      <c r="H10" t="str">
        <f>IFERROR(Tab_Compteur_1[[#This Row],[Montant]]/Tab_Compteur_1[[#This Row],[Delta Jour]],"")</f>
        <v/>
      </c>
      <c r="I10" s="215" t="str">
        <f t="shared" si="2"/>
        <v/>
      </c>
      <c r="J10" s="214"/>
      <c r="K10" s="223" t="s">
        <v>914</v>
      </c>
      <c r="L10" s="178" t="s">
        <v>917</v>
      </c>
      <c r="M10" s="497"/>
      <c r="N10" s="38"/>
      <c r="O10"/>
    </row>
    <row r="11" spans="1:15">
      <c r="A11" s="501">
        <f t="shared" si="3"/>
        <v>1</v>
      </c>
      <c r="B11" s="236"/>
      <c r="C11" s="196"/>
      <c r="D11" s="195"/>
      <c r="E11" s="193"/>
      <c r="F11">
        <f t="shared" si="1"/>
        <v>0</v>
      </c>
      <c r="G11" t="str">
        <f>IF(IFERROR(IF(Str_TypeDonneesCpt1=Cpt_Index,Tab_Compteur_1[[#This Row],[Index]]-E10,Tab_Compteur_1[[#This Row],[Quantité]])/Tab_Compteur_1[[#This Row],[Delta Jour]],"")&lt;0,"",IFERROR(IF(Str_TypeDonneesCpt1=Cpt_Index,Tab_Compteur_1[[#This Row],[Index]]-E10,Tab_Compteur_1[[#This Row],[Quantité]])/Tab_Compteur_1[[#This Row],[Delta Jour]],""))</f>
        <v/>
      </c>
      <c r="H11" t="str">
        <f>IFERROR(Tab_Compteur_1[[#This Row],[Montant]]/Tab_Compteur_1[[#This Row],[Delta Jour]],"")</f>
        <v/>
      </c>
      <c r="I11" s="215" t="str">
        <f t="shared" si="2"/>
        <v/>
      </c>
      <c r="J11" s="214"/>
      <c r="K11" s="498">
        <v>2020</v>
      </c>
      <c r="L11" s="500"/>
      <c r="N11" s="38"/>
      <c r="O11"/>
    </row>
    <row r="12" spans="1:15">
      <c r="A12" s="501">
        <f t="shared" si="3"/>
        <v>1</v>
      </c>
      <c r="B12" s="236"/>
      <c r="C12" s="196"/>
      <c r="D12" s="195"/>
      <c r="E12" s="193"/>
      <c r="F12">
        <f t="shared" si="1"/>
        <v>0</v>
      </c>
      <c r="G12" t="str">
        <f>IF(IFERROR(IF(Str_TypeDonneesCpt1=Cpt_Index,Tab_Compteur_1[[#This Row],[Index]]-E11,Tab_Compteur_1[[#This Row],[Quantité]])/Tab_Compteur_1[[#This Row],[Delta Jour]],"")&lt;0,"",IFERROR(IF(Str_TypeDonneesCpt1=Cpt_Index,Tab_Compteur_1[[#This Row],[Index]]-E11,Tab_Compteur_1[[#This Row],[Quantité]])/Tab_Compteur_1[[#This Row],[Delta Jour]],""))</f>
        <v/>
      </c>
      <c r="H12" t="str">
        <f>IFERROR(Tab_Compteur_1[[#This Row],[Montant]]/Tab_Compteur_1[[#This Row],[Delta Jour]],"")</f>
        <v/>
      </c>
      <c r="I12" s="215" t="str">
        <f t="shared" si="2"/>
        <v/>
      </c>
      <c r="J12" s="214"/>
      <c r="K12" s="498">
        <v>2021</v>
      </c>
      <c r="L12" s="500"/>
      <c r="N12" s="38"/>
      <c r="O12"/>
    </row>
    <row r="13" spans="1:15">
      <c r="A13" s="501">
        <f t="shared" si="3"/>
        <v>1</v>
      </c>
      <c r="B13" s="236"/>
      <c r="C13" s="196"/>
      <c r="D13" s="195"/>
      <c r="E13" s="193"/>
      <c r="F13">
        <f t="shared" si="1"/>
        <v>0</v>
      </c>
      <c r="G13" t="str">
        <f>IF(IFERROR(IF(Str_TypeDonneesCpt1=Cpt_Index,Tab_Compteur_1[[#This Row],[Index]]-E12,Tab_Compteur_1[[#This Row],[Quantité]])/Tab_Compteur_1[[#This Row],[Delta Jour]],"")&lt;0,"",IFERROR(IF(Str_TypeDonneesCpt1=Cpt_Index,Tab_Compteur_1[[#This Row],[Index]]-E12,Tab_Compteur_1[[#This Row],[Quantité]])/Tab_Compteur_1[[#This Row],[Delta Jour]],""))</f>
        <v/>
      </c>
      <c r="H13" t="str">
        <f>IFERROR(Tab_Compteur_1[[#This Row],[Montant]]/Tab_Compteur_1[[#This Row],[Delta Jour]],"")</f>
        <v/>
      </c>
      <c r="I13" s="215" t="str">
        <f t="shared" si="2"/>
        <v/>
      </c>
      <c r="J13" s="214"/>
      <c r="K13" s="498">
        <v>2022</v>
      </c>
      <c r="L13" s="500"/>
      <c r="N13" s="38"/>
      <c r="O13"/>
    </row>
    <row r="14" spans="1:15">
      <c r="A14" s="501">
        <f t="shared" si="3"/>
        <v>1</v>
      </c>
      <c r="B14" s="236"/>
      <c r="C14" s="196"/>
      <c r="D14" s="195"/>
      <c r="E14" s="193"/>
      <c r="F14">
        <f t="shared" si="1"/>
        <v>0</v>
      </c>
      <c r="G14" t="str">
        <f>IF(IFERROR(IF(Str_TypeDonneesCpt1=Cpt_Index,Tab_Compteur_1[[#This Row],[Index]]-E13,Tab_Compteur_1[[#This Row],[Quantité]])/Tab_Compteur_1[[#This Row],[Delta Jour]],"")&lt;0,"",IFERROR(IF(Str_TypeDonneesCpt1=Cpt_Index,Tab_Compteur_1[[#This Row],[Index]]-E13,Tab_Compteur_1[[#This Row],[Quantité]])/Tab_Compteur_1[[#This Row],[Delta Jour]],""))</f>
        <v/>
      </c>
      <c r="H14" t="str">
        <f>IFERROR(Tab_Compteur_1[[#This Row],[Montant]]/Tab_Compteur_1[[#This Row],[Delta Jour]],"")</f>
        <v/>
      </c>
      <c r="I14" s="215" t="str">
        <f t="shared" si="2"/>
        <v/>
      </c>
      <c r="J14" s="214"/>
      <c r="K14" s="498">
        <v>2023</v>
      </c>
      <c r="L14" s="500"/>
      <c r="N14" s="38"/>
      <c r="O14"/>
    </row>
    <row r="15" spans="1:15">
      <c r="A15" s="501">
        <f t="shared" si="3"/>
        <v>1</v>
      </c>
      <c r="B15" s="236"/>
      <c r="C15" s="196"/>
      <c r="D15" s="195"/>
      <c r="E15" s="201"/>
      <c r="F15">
        <f t="shared" si="1"/>
        <v>0</v>
      </c>
      <c r="G15" t="str">
        <f>IF(IFERROR(IF(Str_TypeDonneesCpt1=Cpt_Index,Tab_Compteur_1[[#This Row],[Index]]-E14,Tab_Compteur_1[[#This Row],[Quantité]])/Tab_Compteur_1[[#This Row],[Delta Jour]],"")&lt;0,"",IFERROR(IF(Str_TypeDonneesCpt1=Cpt_Index,Tab_Compteur_1[[#This Row],[Index]]-E14,Tab_Compteur_1[[#This Row],[Quantité]])/Tab_Compteur_1[[#This Row],[Delta Jour]],""))</f>
        <v/>
      </c>
      <c r="H15" t="str">
        <f>IFERROR(Tab_Compteur_1[[#This Row],[Montant]]/Tab_Compteur_1[[#This Row],[Delta Jour]],"")</f>
        <v/>
      </c>
      <c r="I15" s="215" t="str">
        <f t="shared" si="2"/>
        <v/>
      </c>
      <c r="J15" s="214"/>
      <c r="K15" s="498">
        <v>2024</v>
      </c>
      <c r="L15" s="500"/>
      <c r="N15" s="38"/>
      <c r="O15"/>
    </row>
    <row r="16" spans="1:15">
      <c r="A16" s="501">
        <f t="shared" si="3"/>
        <v>1</v>
      </c>
      <c r="B16" s="236"/>
      <c r="C16" s="196"/>
      <c r="D16" s="195"/>
      <c r="E16" s="201"/>
      <c r="F16">
        <f t="shared" si="1"/>
        <v>0</v>
      </c>
      <c r="G16" t="str">
        <f>IF(IFERROR(IF(Str_TypeDonneesCpt1=Cpt_Index,Tab_Compteur_1[[#This Row],[Index]]-E15,Tab_Compteur_1[[#This Row],[Quantité]])/Tab_Compteur_1[[#This Row],[Delta Jour]],"")&lt;0,"",IFERROR(IF(Str_TypeDonneesCpt1=Cpt_Index,Tab_Compteur_1[[#This Row],[Index]]-E15,Tab_Compteur_1[[#This Row],[Quantité]])/Tab_Compteur_1[[#This Row],[Delta Jour]],""))</f>
        <v/>
      </c>
      <c r="H16" t="str">
        <f>IFERROR(Tab_Compteur_1[[#This Row],[Montant]]/Tab_Compteur_1[[#This Row],[Delta Jour]],"")</f>
        <v/>
      </c>
      <c r="I16" s="215" t="str">
        <f t="shared" si="2"/>
        <v/>
      </c>
      <c r="J16" s="214"/>
      <c r="K16" s="498">
        <v>2025</v>
      </c>
      <c r="L16" s="500"/>
      <c r="N16" s="38"/>
      <c r="O16"/>
    </row>
    <row r="17" spans="1:15">
      <c r="A17" s="501">
        <f t="shared" si="3"/>
        <v>1</v>
      </c>
      <c r="B17" s="236"/>
      <c r="C17" s="196"/>
      <c r="D17" s="195"/>
      <c r="E17" s="201"/>
      <c r="F17">
        <f t="shared" si="1"/>
        <v>0</v>
      </c>
      <c r="G17" t="str">
        <f>IF(IFERROR(IF(Str_TypeDonneesCpt1=Cpt_Index,Tab_Compteur_1[[#This Row],[Index]]-E16,Tab_Compteur_1[[#This Row],[Quantité]])/Tab_Compteur_1[[#This Row],[Delta Jour]],"")&lt;0,"",IFERROR(IF(Str_TypeDonneesCpt1=Cpt_Index,Tab_Compteur_1[[#This Row],[Index]]-E16,Tab_Compteur_1[[#This Row],[Quantité]])/Tab_Compteur_1[[#This Row],[Delta Jour]],""))</f>
        <v/>
      </c>
      <c r="H17" t="str">
        <f>IFERROR(Tab_Compteur_1[[#This Row],[Montant]]/Tab_Compteur_1[[#This Row],[Delta Jour]],"")</f>
        <v/>
      </c>
      <c r="I17" s="215" t="str">
        <f t="shared" si="2"/>
        <v/>
      </c>
      <c r="J17" s="214"/>
      <c r="K17" s="498">
        <v>2026</v>
      </c>
      <c r="L17" s="500"/>
      <c r="N17" s="38"/>
      <c r="O17"/>
    </row>
    <row r="18" spans="1:15">
      <c r="A18" s="501">
        <f t="shared" si="3"/>
        <v>1</v>
      </c>
      <c r="B18" s="236"/>
      <c r="C18" s="196"/>
      <c r="D18" s="195"/>
      <c r="E18" s="201"/>
      <c r="F18">
        <f t="shared" si="1"/>
        <v>0</v>
      </c>
      <c r="G18" t="str">
        <f>IF(IFERROR(IF(Str_TypeDonneesCpt1=Cpt_Index,Tab_Compteur_1[[#This Row],[Index]]-E17,Tab_Compteur_1[[#This Row],[Quantité]])/Tab_Compteur_1[[#This Row],[Delta Jour]],"")&lt;0,"",IFERROR(IF(Str_TypeDonneesCpt1=Cpt_Index,Tab_Compteur_1[[#This Row],[Index]]-E17,Tab_Compteur_1[[#This Row],[Quantité]])/Tab_Compteur_1[[#This Row],[Delta Jour]],""))</f>
        <v/>
      </c>
      <c r="H18" t="str">
        <f>IFERROR(Tab_Compteur_1[[#This Row],[Montant]]/Tab_Compteur_1[[#This Row],[Delta Jour]],"")</f>
        <v/>
      </c>
      <c r="I18" s="215" t="str">
        <f t="shared" si="2"/>
        <v/>
      </c>
      <c r="J18" s="214"/>
      <c r="K18" s="498">
        <v>2027</v>
      </c>
      <c r="L18" s="500"/>
      <c r="N18" s="38"/>
      <c r="O18"/>
    </row>
    <row r="19" spans="1:15">
      <c r="A19" s="501">
        <f t="shared" si="3"/>
        <v>1</v>
      </c>
      <c r="B19" s="236"/>
      <c r="C19" s="196"/>
      <c r="D19" s="195"/>
      <c r="E19" s="201"/>
      <c r="F19">
        <f t="shared" si="1"/>
        <v>0</v>
      </c>
      <c r="G19" t="str">
        <f>IF(IFERROR(IF(Str_TypeDonneesCpt1=Cpt_Index,Tab_Compteur_1[[#This Row],[Index]]-E18,Tab_Compteur_1[[#This Row],[Quantité]])/Tab_Compteur_1[[#This Row],[Delta Jour]],"")&lt;0,"",IFERROR(IF(Str_TypeDonneesCpt1=Cpt_Index,Tab_Compteur_1[[#This Row],[Index]]-E18,Tab_Compteur_1[[#This Row],[Quantité]])/Tab_Compteur_1[[#This Row],[Delta Jour]],""))</f>
        <v/>
      </c>
      <c r="H19" t="str">
        <f>IFERROR(Tab_Compteur_1[[#This Row],[Montant]]/Tab_Compteur_1[[#This Row],[Delta Jour]],"")</f>
        <v/>
      </c>
      <c r="I19" s="215" t="str">
        <f t="shared" si="2"/>
        <v/>
      </c>
      <c r="J19" s="214"/>
      <c r="K19" s="498">
        <v>2028</v>
      </c>
      <c r="L19" s="500"/>
      <c r="N19" s="38"/>
      <c r="O19"/>
    </row>
    <row r="20" spans="1:15">
      <c r="A20" s="501">
        <f t="shared" si="3"/>
        <v>1</v>
      </c>
      <c r="B20" s="236"/>
      <c r="C20" s="196"/>
      <c r="D20" s="195"/>
      <c r="E20" s="201"/>
      <c r="F20">
        <f t="shared" si="1"/>
        <v>0</v>
      </c>
      <c r="G20" t="str">
        <f>IF(IFERROR(IF(Str_TypeDonneesCpt1=Cpt_Index,Tab_Compteur_1[[#This Row],[Index]]-E19,Tab_Compteur_1[[#This Row],[Quantité]])/Tab_Compteur_1[[#This Row],[Delta Jour]],"")&lt;0,"",IFERROR(IF(Str_TypeDonneesCpt1=Cpt_Index,Tab_Compteur_1[[#This Row],[Index]]-E19,Tab_Compteur_1[[#This Row],[Quantité]])/Tab_Compteur_1[[#This Row],[Delta Jour]],""))</f>
        <v/>
      </c>
      <c r="H20" t="str">
        <f>IFERROR(Tab_Compteur_1[[#This Row],[Montant]]/Tab_Compteur_1[[#This Row],[Delta Jour]],"")</f>
        <v/>
      </c>
      <c r="I20" s="215" t="str">
        <f t="shared" si="2"/>
        <v/>
      </c>
      <c r="J20" s="214"/>
      <c r="K20" s="498">
        <v>2029</v>
      </c>
      <c r="L20" s="500"/>
      <c r="N20" s="38"/>
      <c r="O20"/>
    </row>
    <row r="21" spans="1:15">
      <c r="A21" s="501">
        <f t="shared" si="3"/>
        <v>1</v>
      </c>
      <c r="B21" s="236"/>
      <c r="C21" s="196"/>
      <c r="D21" s="195"/>
      <c r="E21" s="201"/>
      <c r="F21">
        <f t="shared" si="1"/>
        <v>0</v>
      </c>
      <c r="G21" t="str">
        <f>IF(IFERROR(IF(Str_TypeDonneesCpt1=Cpt_Index,Tab_Compteur_1[[#This Row],[Index]]-E20,Tab_Compteur_1[[#This Row],[Quantité]])/Tab_Compteur_1[[#This Row],[Delta Jour]],"")&lt;0,"",IFERROR(IF(Str_TypeDonneesCpt1=Cpt_Index,Tab_Compteur_1[[#This Row],[Index]]-E20,Tab_Compteur_1[[#This Row],[Quantité]])/Tab_Compteur_1[[#This Row],[Delta Jour]],""))</f>
        <v/>
      </c>
      <c r="H21" t="str">
        <f>IFERROR(Tab_Compteur_1[[#This Row],[Montant]]/Tab_Compteur_1[[#This Row],[Delta Jour]],"")</f>
        <v/>
      </c>
      <c r="I21" s="215" t="str">
        <f t="shared" si="2"/>
        <v/>
      </c>
      <c r="J21" s="214"/>
      <c r="K21" s="498">
        <v>2030</v>
      </c>
      <c r="L21" s="500"/>
      <c r="N21" s="38"/>
      <c r="O21"/>
    </row>
    <row r="22" spans="1:15">
      <c r="A22" s="501">
        <f t="shared" si="3"/>
        <v>1</v>
      </c>
      <c r="B22" s="236"/>
      <c r="C22" s="196"/>
      <c r="D22" s="195"/>
      <c r="E22" s="201"/>
      <c r="F22">
        <f t="shared" si="1"/>
        <v>0</v>
      </c>
      <c r="G22" t="str">
        <f>IF(IFERROR(IF(Str_TypeDonneesCpt1=Cpt_Index,Tab_Compteur_1[[#This Row],[Index]]-E21,Tab_Compteur_1[[#This Row],[Quantité]])/Tab_Compteur_1[[#This Row],[Delta Jour]],"")&lt;0,"",IFERROR(IF(Str_TypeDonneesCpt1=Cpt_Index,Tab_Compteur_1[[#This Row],[Index]]-E21,Tab_Compteur_1[[#This Row],[Quantité]])/Tab_Compteur_1[[#This Row],[Delta Jour]],""))</f>
        <v/>
      </c>
      <c r="H22" t="str">
        <f>IFERROR(Tab_Compteur_1[[#This Row],[Montant]]/Tab_Compteur_1[[#This Row],[Delta Jour]],"")</f>
        <v/>
      </c>
      <c r="I22" s="215" t="str">
        <f t="shared" si="2"/>
        <v/>
      </c>
      <c r="J22" s="214"/>
      <c r="K22" s="498">
        <v>2031</v>
      </c>
      <c r="L22" s="500"/>
      <c r="N22" s="38"/>
      <c r="O22"/>
    </row>
    <row r="23" spans="1:15">
      <c r="A23" s="501">
        <f t="shared" si="3"/>
        <v>1</v>
      </c>
      <c r="B23" s="236"/>
      <c r="C23" s="196"/>
      <c r="D23" s="195"/>
      <c r="E23" s="201"/>
      <c r="F23">
        <f t="shared" si="1"/>
        <v>0</v>
      </c>
      <c r="G23" t="str">
        <f>IF(IFERROR(IF(Str_TypeDonneesCpt1=Cpt_Index,Tab_Compteur_1[[#This Row],[Index]]-E22,Tab_Compteur_1[[#This Row],[Quantité]])/Tab_Compteur_1[[#This Row],[Delta Jour]],"")&lt;0,"",IFERROR(IF(Str_TypeDonneesCpt1=Cpt_Index,Tab_Compteur_1[[#This Row],[Index]]-E22,Tab_Compteur_1[[#This Row],[Quantité]])/Tab_Compteur_1[[#This Row],[Delta Jour]],""))</f>
        <v/>
      </c>
      <c r="H23" t="str">
        <f>IFERROR(Tab_Compteur_1[[#This Row],[Montant]]/Tab_Compteur_1[[#This Row],[Delta Jour]],"")</f>
        <v/>
      </c>
      <c r="I23" s="215" t="str">
        <f t="shared" si="2"/>
        <v/>
      </c>
      <c r="J23" s="214"/>
      <c r="K23" s="498">
        <v>2032</v>
      </c>
      <c r="L23" s="500"/>
      <c r="N23" s="38"/>
      <c r="O23"/>
    </row>
    <row r="24" spans="1:15">
      <c r="A24" s="501">
        <f t="shared" si="3"/>
        <v>1</v>
      </c>
      <c r="B24" s="236"/>
      <c r="C24" s="196"/>
      <c r="D24" s="195"/>
      <c r="E24" s="201"/>
      <c r="F24">
        <f t="shared" si="1"/>
        <v>0</v>
      </c>
      <c r="G24" t="str">
        <f>IF(IFERROR(IF(Str_TypeDonneesCpt1=Cpt_Index,Tab_Compteur_1[[#This Row],[Index]]-E23,Tab_Compteur_1[[#This Row],[Quantité]])/Tab_Compteur_1[[#This Row],[Delta Jour]],"")&lt;0,"",IFERROR(IF(Str_TypeDonneesCpt1=Cpt_Index,Tab_Compteur_1[[#This Row],[Index]]-E23,Tab_Compteur_1[[#This Row],[Quantité]])/Tab_Compteur_1[[#This Row],[Delta Jour]],""))</f>
        <v/>
      </c>
      <c r="H24" t="str">
        <f>IFERROR(Tab_Compteur_1[[#This Row],[Montant]]/Tab_Compteur_1[[#This Row],[Delta Jour]],"")</f>
        <v/>
      </c>
      <c r="I24" s="215" t="str">
        <f t="shared" si="2"/>
        <v/>
      </c>
      <c r="J24" s="214"/>
      <c r="K24" s="498">
        <v>2033</v>
      </c>
      <c r="L24" s="500"/>
      <c r="N24" s="38"/>
      <c r="O24"/>
    </row>
    <row r="25" spans="1:15">
      <c r="A25" s="501">
        <f t="shared" si="3"/>
        <v>1</v>
      </c>
      <c r="B25" s="236"/>
      <c r="C25" s="196"/>
      <c r="D25" s="195"/>
      <c r="E25" s="193"/>
      <c r="F25">
        <f t="shared" si="1"/>
        <v>0</v>
      </c>
      <c r="G25" t="str">
        <f>IF(IFERROR(IF(Str_TypeDonneesCpt1=Cpt_Index,Tab_Compteur_1[[#This Row],[Index]]-E24,Tab_Compteur_1[[#This Row],[Quantité]])/Tab_Compteur_1[[#This Row],[Delta Jour]],"")&lt;0,"",IFERROR(IF(Str_TypeDonneesCpt1=Cpt_Index,Tab_Compteur_1[[#This Row],[Index]]-E24,Tab_Compteur_1[[#This Row],[Quantité]])/Tab_Compteur_1[[#This Row],[Delta Jour]],""))</f>
        <v/>
      </c>
      <c r="H25" t="str">
        <f>IFERROR(Tab_Compteur_1[[#This Row],[Montant]]/Tab_Compteur_1[[#This Row],[Delta Jour]],"")</f>
        <v/>
      </c>
      <c r="I25" s="215" t="str">
        <f t="shared" si="2"/>
        <v/>
      </c>
      <c r="J25" s="192"/>
      <c r="K25" s="498">
        <v>2034</v>
      </c>
      <c r="L25" s="500"/>
      <c r="N25" s="38"/>
      <c r="O25"/>
    </row>
    <row r="26" spans="1:15">
      <c r="A26" s="501">
        <f t="shared" si="3"/>
        <v>1</v>
      </c>
      <c r="B26" s="236"/>
      <c r="C26" s="196"/>
      <c r="D26" s="195"/>
      <c r="E26" s="193"/>
      <c r="F26">
        <f t="shared" si="1"/>
        <v>0</v>
      </c>
      <c r="G26" t="str">
        <f>IF(IFERROR(IF(Str_TypeDonneesCpt1=Cpt_Index,Tab_Compteur_1[[#This Row],[Index]]-E25,Tab_Compteur_1[[#This Row],[Quantité]])/Tab_Compteur_1[[#This Row],[Delta Jour]],"")&lt;0,"",IFERROR(IF(Str_TypeDonneesCpt1=Cpt_Index,Tab_Compteur_1[[#This Row],[Index]]-E25,Tab_Compteur_1[[#This Row],[Quantité]])/Tab_Compteur_1[[#This Row],[Delta Jour]],""))</f>
        <v/>
      </c>
      <c r="H26" t="str">
        <f>IFERROR(Tab_Compteur_1[[#This Row],[Montant]]/Tab_Compteur_1[[#This Row],[Delta Jour]],"")</f>
        <v/>
      </c>
      <c r="I26" s="215" t="str">
        <f t="shared" si="2"/>
        <v/>
      </c>
      <c r="J26" s="192"/>
      <c r="K26" s="498">
        <v>2035</v>
      </c>
      <c r="L26" s="500"/>
      <c r="N26" s="38"/>
      <c r="O26"/>
    </row>
    <row r="27" spans="1:15">
      <c r="A27" s="501">
        <f t="shared" si="3"/>
        <v>1</v>
      </c>
      <c r="B27" s="236"/>
      <c r="C27" s="196"/>
      <c r="D27" s="195"/>
      <c r="E27" s="193"/>
      <c r="F27">
        <f t="shared" si="1"/>
        <v>0</v>
      </c>
      <c r="G27" t="str">
        <f>IF(IFERROR(IF(Str_TypeDonneesCpt1=Cpt_Index,Tab_Compteur_1[[#This Row],[Index]]-E26,Tab_Compteur_1[[#This Row],[Quantité]])/Tab_Compteur_1[[#This Row],[Delta Jour]],"")&lt;0,"",IFERROR(IF(Str_TypeDonneesCpt1=Cpt_Index,Tab_Compteur_1[[#This Row],[Index]]-E26,Tab_Compteur_1[[#This Row],[Quantité]])/Tab_Compteur_1[[#This Row],[Delta Jour]],""))</f>
        <v/>
      </c>
      <c r="H27" t="str">
        <f>IFERROR(Tab_Compteur_1[[#This Row],[Montant]]/Tab_Compteur_1[[#This Row],[Delta Jour]],"")</f>
        <v/>
      </c>
      <c r="I27" s="215" t="str">
        <f t="shared" si="2"/>
        <v/>
      </c>
      <c r="J27" s="192"/>
      <c r="K27" s="498">
        <v>2036</v>
      </c>
      <c r="L27" s="500"/>
      <c r="N27" s="38"/>
      <c r="O27"/>
    </row>
    <row r="28" spans="1:15">
      <c r="A28" s="501">
        <f t="shared" si="3"/>
        <v>1</v>
      </c>
      <c r="B28" s="236"/>
      <c r="C28" s="196"/>
      <c r="D28" s="195"/>
      <c r="E28" s="193"/>
      <c r="F28">
        <f t="shared" si="1"/>
        <v>0</v>
      </c>
      <c r="G28" t="str">
        <f>IF(IFERROR(IF(Str_TypeDonneesCpt1=Cpt_Index,Tab_Compteur_1[[#This Row],[Index]]-E27,Tab_Compteur_1[[#This Row],[Quantité]])/Tab_Compteur_1[[#This Row],[Delta Jour]],"")&lt;0,"",IFERROR(IF(Str_TypeDonneesCpt1=Cpt_Index,Tab_Compteur_1[[#This Row],[Index]]-E27,Tab_Compteur_1[[#This Row],[Quantité]])/Tab_Compteur_1[[#This Row],[Delta Jour]],""))</f>
        <v/>
      </c>
      <c r="H28" t="str">
        <f>IFERROR(Tab_Compteur_1[[#This Row],[Montant]]/Tab_Compteur_1[[#This Row],[Delta Jour]],"")</f>
        <v/>
      </c>
      <c r="I28" s="215" t="str">
        <f t="shared" si="2"/>
        <v/>
      </c>
      <c r="J28" s="192"/>
      <c r="K28" s="498">
        <v>2037</v>
      </c>
      <c r="L28" s="500"/>
      <c r="N28" s="38"/>
      <c r="O28"/>
    </row>
    <row r="29" spans="1:15">
      <c r="A29" s="501">
        <f t="shared" si="3"/>
        <v>1</v>
      </c>
      <c r="B29" s="236"/>
      <c r="C29" s="196"/>
      <c r="D29" s="195"/>
      <c r="E29" s="193"/>
      <c r="F29">
        <f t="shared" si="1"/>
        <v>0</v>
      </c>
      <c r="G29" t="str">
        <f>IF(IFERROR(IF(Str_TypeDonneesCpt1=Cpt_Index,Tab_Compteur_1[[#This Row],[Index]]-E28,Tab_Compteur_1[[#This Row],[Quantité]])/Tab_Compteur_1[[#This Row],[Delta Jour]],"")&lt;0,"",IFERROR(IF(Str_TypeDonneesCpt1=Cpt_Index,Tab_Compteur_1[[#This Row],[Index]]-E28,Tab_Compteur_1[[#This Row],[Quantité]])/Tab_Compteur_1[[#This Row],[Delta Jour]],""))</f>
        <v/>
      </c>
      <c r="H29" t="str">
        <f>IFERROR(Tab_Compteur_1[[#This Row],[Montant]]/Tab_Compteur_1[[#This Row],[Delta Jour]],"")</f>
        <v/>
      </c>
      <c r="I29" s="215" t="str">
        <f t="shared" si="2"/>
        <v/>
      </c>
      <c r="J29" s="192"/>
      <c r="K29" s="498">
        <v>2038</v>
      </c>
      <c r="L29" s="500"/>
      <c r="N29" s="38"/>
      <c r="O29"/>
    </row>
    <row r="30" spans="1:15">
      <c r="A30" s="501">
        <f t="shared" si="3"/>
        <v>1</v>
      </c>
      <c r="B30" s="236"/>
      <c r="C30" s="196"/>
      <c r="D30" s="195"/>
      <c r="E30" s="193"/>
      <c r="F30">
        <f t="shared" si="1"/>
        <v>0</v>
      </c>
      <c r="G30" t="str">
        <f>IF(IFERROR(IF(Str_TypeDonneesCpt1=Cpt_Index,Tab_Compteur_1[[#This Row],[Index]]-E29,Tab_Compteur_1[[#This Row],[Quantité]])/Tab_Compteur_1[[#This Row],[Delta Jour]],"")&lt;0,"",IFERROR(IF(Str_TypeDonneesCpt1=Cpt_Index,Tab_Compteur_1[[#This Row],[Index]]-E29,Tab_Compteur_1[[#This Row],[Quantité]])/Tab_Compteur_1[[#This Row],[Delta Jour]],""))</f>
        <v/>
      </c>
      <c r="H30" t="str">
        <f>IFERROR(Tab_Compteur_1[[#This Row],[Montant]]/Tab_Compteur_1[[#This Row],[Delta Jour]],"")</f>
        <v/>
      </c>
      <c r="I30" s="215" t="str">
        <f t="shared" si="2"/>
        <v/>
      </c>
      <c r="J30" s="192"/>
      <c r="K30" s="498">
        <v>2039</v>
      </c>
      <c r="L30" s="500"/>
      <c r="N30" s="38"/>
      <c r="O30"/>
    </row>
    <row r="31" spans="1:15">
      <c r="A31" s="501">
        <f t="shared" si="3"/>
        <v>1</v>
      </c>
      <c r="B31" s="236"/>
      <c r="C31" s="196"/>
      <c r="D31" s="195"/>
      <c r="E31" s="193"/>
      <c r="F31">
        <f t="shared" si="1"/>
        <v>0</v>
      </c>
      <c r="G31" t="str">
        <f>IF(IFERROR(IF(Str_TypeDonneesCpt1=Cpt_Index,Tab_Compteur_1[[#This Row],[Index]]-E30,Tab_Compteur_1[[#This Row],[Quantité]])/Tab_Compteur_1[[#This Row],[Delta Jour]],"")&lt;0,"",IFERROR(IF(Str_TypeDonneesCpt1=Cpt_Index,Tab_Compteur_1[[#This Row],[Index]]-E30,Tab_Compteur_1[[#This Row],[Quantité]])/Tab_Compteur_1[[#This Row],[Delta Jour]],""))</f>
        <v/>
      </c>
      <c r="H31" t="str">
        <f>IFERROR(Tab_Compteur_1[[#This Row],[Montant]]/Tab_Compteur_1[[#This Row],[Delta Jour]],"")</f>
        <v/>
      </c>
      <c r="I31" s="215" t="str">
        <f t="shared" si="2"/>
        <v/>
      </c>
      <c r="J31" s="192"/>
      <c r="K31" s="498">
        <v>2040</v>
      </c>
      <c r="L31" s="500"/>
      <c r="N31" s="38"/>
      <c r="O31"/>
    </row>
    <row r="32" spans="1:15">
      <c r="A32" s="501">
        <f t="shared" si="3"/>
        <v>1</v>
      </c>
      <c r="B32" s="236"/>
      <c r="C32" s="196"/>
      <c r="D32" s="195"/>
      <c r="E32" s="193"/>
      <c r="F32">
        <f t="shared" si="1"/>
        <v>0</v>
      </c>
      <c r="G32" t="str">
        <f>IF(IFERROR(IF(Str_TypeDonneesCpt1=Cpt_Index,Tab_Compteur_1[[#This Row],[Index]]-E31,Tab_Compteur_1[[#This Row],[Quantité]])/Tab_Compteur_1[[#This Row],[Delta Jour]],"")&lt;0,"",IFERROR(IF(Str_TypeDonneesCpt1=Cpt_Index,Tab_Compteur_1[[#This Row],[Index]]-E31,Tab_Compteur_1[[#This Row],[Quantité]])/Tab_Compteur_1[[#This Row],[Delta Jour]],""))</f>
        <v/>
      </c>
      <c r="H32" t="str">
        <f>IFERROR(Tab_Compteur_1[[#This Row],[Montant]]/Tab_Compteur_1[[#This Row],[Delta Jour]],"")</f>
        <v/>
      </c>
      <c r="I32" s="215" t="str">
        <f t="shared" si="2"/>
        <v/>
      </c>
      <c r="J32" s="192"/>
      <c r="N32" s="38"/>
      <c r="O32"/>
    </row>
    <row r="33" spans="1:15">
      <c r="A33" s="501">
        <f t="shared" si="3"/>
        <v>1</v>
      </c>
      <c r="B33" s="236"/>
      <c r="C33" s="196"/>
      <c r="D33" s="195"/>
      <c r="E33" s="193"/>
      <c r="F33">
        <f t="shared" si="1"/>
        <v>0</v>
      </c>
      <c r="G33" t="str">
        <f>IF(IFERROR(IF(Str_TypeDonneesCpt1=Cpt_Index,Tab_Compteur_1[[#This Row],[Index]]-E32,Tab_Compteur_1[[#This Row],[Quantité]])/Tab_Compteur_1[[#This Row],[Delta Jour]],"")&lt;0,"",IFERROR(IF(Str_TypeDonneesCpt1=Cpt_Index,Tab_Compteur_1[[#This Row],[Index]]-E32,Tab_Compteur_1[[#This Row],[Quantité]])/Tab_Compteur_1[[#This Row],[Delta Jour]],""))</f>
        <v/>
      </c>
      <c r="H33" t="str">
        <f>IFERROR(Tab_Compteur_1[[#This Row],[Montant]]/Tab_Compteur_1[[#This Row],[Delta Jour]],"")</f>
        <v/>
      </c>
      <c r="I33" s="215" t="str">
        <f t="shared" si="2"/>
        <v/>
      </c>
      <c r="J33" s="192"/>
      <c r="K33" s="38"/>
      <c r="L33" s="38"/>
      <c r="M33" s="38"/>
      <c r="N33" s="38"/>
      <c r="O33"/>
    </row>
    <row r="34" spans="1:15">
      <c r="A34" s="501">
        <f t="shared" si="3"/>
        <v>1</v>
      </c>
      <c r="B34" s="236"/>
      <c r="C34" s="196"/>
      <c r="D34" s="195"/>
      <c r="E34" s="193"/>
      <c r="F34">
        <f t="shared" si="1"/>
        <v>0</v>
      </c>
      <c r="G34" t="str">
        <f>IF(IFERROR(IF(Str_TypeDonneesCpt1=Cpt_Index,Tab_Compteur_1[[#This Row],[Index]]-E33,Tab_Compteur_1[[#This Row],[Quantité]])/Tab_Compteur_1[[#This Row],[Delta Jour]],"")&lt;0,"",IFERROR(IF(Str_TypeDonneesCpt1=Cpt_Index,Tab_Compteur_1[[#This Row],[Index]]-E33,Tab_Compteur_1[[#This Row],[Quantité]])/Tab_Compteur_1[[#This Row],[Delta Jour]],""))</f>
        <v/>
      </c>
      <c r="H34" t="str">
        <f>IFERROR(Tab_Compteur_1[[#This Row],[Montant]]/Tab_Compteur_1[[#This Row],[Delta Jour]],"")</f>
        <v/>
      </c>
      <c r="I34" s="215" t="str">
        <f t="shared" si="2"/>
        <v/>
      </c>
      <c r="J34" s="192"/>
      <c r="K34" s="573" t="s">
        <v>446</v>
      </c>
      <c r="L34" s="573"/>
      <c r="M34" s="573"/>
      <c r="N34" s="38"/>
      <c r="O34"/>
    </row>
    <row r="35" spans="1:15">
      <c r="A35" s="501">
        <f t="shared" si="3"/>
        <v>1</v>
      </c>
      <c r="B35" s="236"/>
      <c r="C35" s="196"/>
      <c r="D35" s="195"/>
      <c r="E35" s="193"/>
      <c r="F35">
        <f t="shared" si="1"/>
        <v>0</v>
      </c>
      <c r="G35" t="str">
        <f>IF(IFERROR(IF(Str_TypeDonneesCpt1=Cpt_Index,Tab_Compteur_1[[#This Row],[Index]]-E34,Tab_Compteur_1[[#This Row],[Quantité]])/Tab_Compteur_1[[#This Row],[Delta Jour]],"")&lt;0,"",IFERROR(IF(Str_TypeDonneesCpt1=Cpt_Index,Tab_Compteur_1[[#This Row],[Index]]-E34,Tab_Compteur_1[[#This Row],[Quantité]])/Tab_Compteur_1[[#This Row],[Delta Jour]],""))</f>
        <v/>
      </c>
      <c r="H35" t="str">
        <f>IFERROR(Tab_Compteur_1[[#This Row],[Montant]]/Tab_Compteur_1[[#This Row],[Delta Jour]],"")</f>
        <v/>
      </c>
      <c r="I35" s="215" t="str">
        <f t="shared" si="2"/>
        <v/>
      </c>
      <c r="J35" s="192"/>
      <c r="K35" s="573"/>
      <c r="L35" s="573"/>
      <c r="M35" s="573"/>
      <c r="N35" s="38"/>
      <c r="O35"/>
    </row>
    <row r="36" spans="1:15">
      <c r="A36" s="501">
        <f t="shared" si="3"/>
        <v>1</v>
      </c>
      <c r="B36" s="236"/>
      <c r="C36" s="196"/>
      <c r="D36" s="195"/>
      <c r="E36" s="193"/>
      <c r="F36">
        <f t="shared" si="1"/>
        <v>0</v>
      </c>
      <c r="G36" t="str">
        <f>IF(IFERROR(IF(Str_TypeDonneesCpt1=Cpt_Index,Tab_Compteur_1[[#This Row],[Index]]-E35,Tab_Compteur_1[[#This Row],[Quantité]])/Tab_Compteur_1[[#This Row],[Delta Jour]],"")&lt;0,"",IFERROR(IF(Str_TypeDonneesCpt1=Cpt_Index,Tab_Compteur_1[[#This Row],[Index]]-E35,Tab_Compteur_1[[#This Row],[Quantité]])/Tab_Compteur_1[[#This Row],[Delta Jour]],""))</f>
        <v/>
      </c>
      <c r="H36" t="str">
        <f>IFERROR(Tab_Compteur_1[[#This Row],[Montant]]/Tab_Compteur_1[[#This Row],[Delta Jour]],"")</f>
        <v/>
      </c>
      <c r="I36" s="215" t="str">
        <f t="shared" si="2"/>
        <v/>
      </c>
      <c r="J36" s="192"/>
      <c r="K36" s="573"/>
      <c r="L36" s="573"/>
      <c r="M36" s="573"/>
      <c r="N36" s="38"/>
      <c r="O36"/>
    </row>
    <row r="37" spans="1:15">
      <c r="A37" s="501">
        <f t="shared" si="3"/>
        <v>1</v>
      </c>
      <c r="B37" s="236"/>
      <c r="C37" s="196"/>
      <c r="D37" s="195"/>
      <c r="E37" s="193"/>
      <c r="F37">
        <f t="shared" si="1"/>
        <v>0</v>
      </c>
      <c r="G37" t="str">
        <f>IF(IFERROR(IF(Str_TypeDonneesCpt1=Cpt_Index,Tab_Compteur_1[[#This Row],[Index]]-E36,Tab_Compteur_1[[#This Row],[Quantité]])/Tab_Compteur_1[[#This Row],[Delta Jour]],"")&lt;0,"",IFERROR(IF(Str_TypeDonneesCpt1=Cpt_Index,Tab_Compteur_1[[#This Row],[Index]]-E36,Tab_Compteur_1[[#This Row],[Quantité]])/Tab_Compteur_1[[#This Row],[Delta Jour]],""))</f>
        <v/>
      </c>
      <c r="H37" t="str">
        <f>IFERROR(Tab_Compteur_1[[#This Row],[Montant]]/Tab_Compteur_1[[#This Row],[Delta Jour]],"")</f>
        <v/>
      </c>
      <c r="I37" s="215" t="str">
        <f t="shared" si="2"/>
        <v/>
      </c>
      <c r="J37" s="192"/>
      <c r="K37" s="573"/>
      <c r="L37" s="573"/>
      <c r="M37" s="573"/>
      <c r="N37" s="38"/>
      <c r="O37"/>
    </row>
    <row r="38" spans="1:15">
      <c r="A38" s="501">
        <f t="shared" si="3"/>
        <v>1</v>
      </c>
      <c r="B38" s="236"/>
      <c r="C38" s="196"/>
      <c r="D38" s="195"/>
      <c r="E38" s="193"/>
      <c r="F38">
        <f t="shared" si="1"/>
        <v>0</v>
      </c>
      <c r="G38" t="str">
        <f>IF(IFERROR(IF(Str_TypeDonneesCpt1=Cpt_Index,Tab_Compteur_1[[#This Row],[Index]]-E37,Tab_Compteur_1[[#This Row],[Quantité]])/Tab_Compteur_1[[#This Row],[Delta Jour]],"")&lt;0,"",IFERROR(IF(Str_TypeDonneesCpt1=Cpt_Index,Tab_Compteur_1[[#This Row],[Index]]-E37,Tab_Compteur_1[[#This Row],[Quantité]])/Tab_Compteur_1[[#This Row],[Delta Jour]],""))</f>
        <v/>
      </c>
      <c r="H38" t="str">
        <f>IFERROR(Tab_Compteur_1[[#This Row],[Montant]]/Tab_Compteur_1[[#This Row],[Delta Jour]],"")</f>
        <v/>
      </c>
      <c r="I38" s="215" t="str">
        <f t="shared" si="2"/>
        <v/>
      </c>
      <c r="J38" s="192"/>
      <c r="K38" s="573"/>
      <c r="L38" s="573"/>
      <c r="M38" s="573"/>
      <c r="N38" s="38"/>
      <c r="O38"/>
    </row>
    <row r="39" spans="1:15">
      <c r="A39" s="501">
        <f t="shared" si="3"/>
        <v>1</v>
      </c>
      <c r="B39" s="236"/>
      <c r="C39" s="196"/>
      <c r="D39" s="195"/>
      <c r="E39" s="193"/>
      <c r="F39">
        <f t="shared" si="1"/>
        <v>0</v>
      </c>
      <c r="G39" t="str">
        <f>IF(IFERROR(IF(Str_TypeDonneesCpt1=Cpt_Index,Tab_Compteur_1[[#This Row],[Index]]-E38,Tab_Compteur_1[[#This Row],[Quantité]])/Tab_Compteur_1[[#This Row],[Delta Jour]],"")&lt;0,"",IFERROR(IF(Str_TypeDonneesCpt1=Cpt_Index,Tab_Compteur_1[[#This Row],[Index]]-E38,Tab_Compteur_1[[#This Row],[Quantité]])/Tab_Compteur_1[[#This Row],[Delta Jour]],""))</f>
        <v/>
      </c>
      <c r="H39" t="str">
        <f>IFERROR(Tab_Compteur_1[[#This Row],[Montant]]/Tab_Compteur_1[[#This Row],[Delta Jour]],"")</f>
        <v/>
      </c>
      <c r="I39" s="215" t="str">
        <f t="shared" si="2"/>
        <v/>
      </c>
      <c r="J39" s="192"/>
      <c r="K39" s="573"/>
      <c r="L39" s="573"/>
      <c r="M39" s="573"/>
      <c r="N39" s="38"/>
      <c r="O39"/>
    </row>
    <row r="40" spans="1:15">
      <c r="A40" s="501">
        <f t="shared" si="3"/>
        <v>1</v>
      </c>
      <c r="B40" s="236"/>
      <c r="C40" s="196"/>
      <c r="D40" s="195"/>
      <c r="E40" s="193"/>
      <c r="F40">
        <f t="shared" si="1"/>
        <v>0</v>
      </c>
      <c r="G40" t="str">
        <f>IF(IFERROR(IF(Str_TypeDonneesCpt1=Cpt_Index,Tab_Compteur_1[[#This Row],[Index]]-E39,Tab_Compteur_1[[#This Row],[Quantité]])/Tab_Compteur_1[[#This Row],[Delta Jour]],"")&lt;0,"",IFERROR(IF(Str_TypeDonneesCpt1=Cpt_Index,Tab_Compteur_1[[#This Row],[Index]]-E39,Tab_Compteur_1[[#This Row],[Quantité]])/Tab_Compteur_1[[#This Row],[Delta Jour]],""))</f>
        <v/>
      </c>
      <c r="H40" t="str">
        <f>IFERROR(Tab_Compteur_1[[#This Row],[Montant]]/Tab_Compteur_1[[#This Row],[Delta Jour]],"")</f>
        <v/>
      </c>
      <c r="I40" s="215" t="str">
        <f t="shared" si="2"/>
        <v/>
      </c>
      <c r="J40" s="192"/>
      <c r="K40" s="573"/>
      <c r="L40" s="573"/>
      <c r="M40" s="573"/>
      <c r="N40" s="38"/>
      <c r="O40"/>
    </row>
    <row r="41" spans="1:15">
      <c r="A41" s="501">
        <f t="shared" si="3"/>
        <v>1</v>
      </c>
      <c r="B41" s="236"/>
      <c r="C41" s="196"/>
      <c r="D41" s="195"/>
      <c r="E41" s="193"/>
      <c r="F41">
        <f t="shared" si="1"/>
        <v>0</v>
      </c>
      <c r="G41" t="str">
        <f>IF(IFERROR(IF(Str_TypeDonneesCpt1=Cpt_Index,Tab_Compteur_1[[#This Row],[Index]]-E40,Tab_Compteur_1[[#This Row],[Quantité]])/Tab_Compteur_1[[#This Row],[Delta Jour]],"")&lt;0,"",IFERROR(IF(Str_TypeDonneesCpt1=Cpt_Index,Tab_Compteur_1[[#This Row],[Index]]-E40,Tab_Compteur_1[[#This Row],[Quantité]])/Tab_Compteur_1[[#This Row],[Delta Jour]],""))</f>
        <v/>
      </c>
      <c r="H41" t="str">
        <f>IFERROR(Tab_Compteur_1[[#This Row],[Montant]]/Tab_Compteur_1[[#This Row],[Delta Jour]],"")</f>
        <v/>
      </c>
      <c r="I41" s="215" t="str">
        <f t="shared" si="2"/>
        <v/>
      </c>
      <c r="J41" s="192"/>
      <c r="K41" s="573"/>
      <c r="L41" s="573"/>
      <c r="M41" s="573"/>
      <c r="N41" s="38"/>
      <c r="O41"/>
    </row>
    <row r="42" spans="1:15">
      <c r="A42" s="501">
        <f t="shared" si="3"/>
        <v>1</v>
      </c>
      <c r="B42" s="236"/>
      <c r="C42" s="196"/>
      <c r="D42" s="195"/>
      <c r="E42" s="193"/>
      <c r="F42">
        <f t="shared" si="1"/>
        <v>0</v>
      </c>
      <c r="G42" t="str">
        <f>IF(IFERROR(IF(Str_TypeDonneesCpt1=Cpt_Index,Tab_Compteur_1[[#This Row],[Index]]-E41,Tab_Compteur_1[[#This Row],[Quantité]])/Tab_Compteur_1[[#This Row],[Delta Jour]],"")&lt;0,"",IFERROR(IF(Str_TypeDonneesCpt1=Cpt_Index,Tab_Compteur_1[[#This Row],[Index]]-E41,Tab_Compteur_1[[#This Row],[Quantité]])/Tab_Compteur_1[[#This Row],[Delta Jour]],""))</f>
        <v/>
      </c>
      <c r="H42" t="str">
        <f>IFERROR(Tab_Compteur_1[[#This Row],[Montant]]/Tab_Compteur_1[[#This Row],[Delta Jour]],"")</f>
        <v/>
      </c>
      <c r="I42" s="215" t="str">
        <f t="shared" si="2"/>
        <v/>
      </c>
      <c r="J42" s="192"/>
      <c r="K42" s="573"/>
      <c r="L42" s="573"/>
      <c r="M42" s="573"/>
      <c r="N42" s="38"/>
      <c r="O42"/>
    </row>
    <row r="43" spans="1:15">
      <c r="A43" s="501">
        <f t="shared" si="3"/>
        <v>1</v>
      </c>
      <c r="B43" s="236"/>
      <c r="C43" s="196"/>
      <c r="D43" s="195"/>
      <c r="E43" s="193"/>
      <c r="F43">
        <f t="shared" si="1"/>
        <v>0</v>
      </c>
      <c r="G43" t="str">
        <f>IF(IFERROR(IF(Str_TypeDonneesCpt1=Cpt_Index,Tab_Compteur_1[[#This Row],[Index]]-E42,Tab_Compteur_1[[#This Row],[Quantité]])/Tab_Compteur_1[[#This Row],[Delta Jour]],"")&lt;0,"",IFERROR(IF(Str_TypeDonneesCpt1=Cpt_Index,Tab_Compteur_1[[#This Row],[Index]]-E42,Tab_Compteur_1[[#This Row],[Quantité]])/Tab_Compteur_1[[#This Row],[Delta Jour]],""))</f>
        <v/>
      </c>
      <c r="H43" t="str">
        <f>IFERROR(Tab_Compteur_1[[#This Row],[Montant]]/Tab_Compteur_1[[#This Row],[Delta Jour]],"")</f>
        <v/>
      </c>
      <c r="I43" s="215" t="str">
        <f t="shared" si="2"/>
        <v/>
      </c>
      <c r="J43" s="192"/>
      <c r="K43" s="573"/>
      <c r="L43" s="573"/>
      <c r="M43" s="573"/>
      <c r="N43" s="38"/>
      <c r="O43"/>
    </row>
    <row r="44" spans="1:15">
      <c r="A44" s="501">
        <f t="shared" si="3"/>
        <v>1</v>
      </c>
      <c r="B44" s="236"/>
      <c r="C44" s="196"/>
      <c r="D44" s="195"/>
      <c r="E44" s="193"/>
      <c r="F44">
        <f t="shared" si="1"/>
        <v>0</v>
      </c>
      <c r="G44" t="str">
        <f>IF(IFERROR(IF(Str_TypeDonneesCpt1=Cpt_Index,Tab_Compteur_1[[#This Row],[Index]]-E43,Tab_Compteur_1[[#This Row],[Quantité]])/Tab_Compteur_1[[#This Row],[Delta Jour]],"")&lt;0,"",IFERROR(IF(Str_TypeDonneesCpt1=Cpt_Index,Tab_Compteur_1[[#This Row],[Index]]-E43,Tab_Compteur_1[[#This Row],[Quantité]])/Tab_Compteur_1[[#This Row],[Delta Jour]],""))</f>
        <v/>
      </c>
      <c r="H44" t="str">
        <f>IFERROR(Tab_Compteur_1[[#This Row],[Montant]]/Tab_Compteur_1[[#This Row],[Delta Jour]],"")</f>
        <v/>
      </c>
      <c r="I44" s="215" t="str">
        <f t="shared" si="2"/>
        <v/>
      </c>
      <c r="J44" s="192"/>
      <c r="K44" s="573"/>
      <c r="L44" s="573"/>
      <c r="M44" s="573"/>
      <c r="N44" s="38"/>
      <c r="O44"/>
    </row>
    <row r="45" spans="1:15">
      <c r="A45" s="501">
        <f t="shared" si="3"/>
        <v>1</v>
      </c>
      <c r="B45" s="236"/>
      <c r="C45" s="196"/>
      <c r="D45" s="195"/>
      <c r="E45" s="193"/>
      <c r="F45">
        <f t="shared" si="1"/>
        <v>0</v>
      </c>
      <c r="G45" t="str">
        <f>IF(IFERROR(IF(Str_TypeDonneesCpt1=Cpt_Index,Tab_Compteur_1[[#This Row],[Index]]-E44,Tab_Compteur_1[[#This Row],[Quantité]])/Tab_Compteur_1[[#This Row],[Delta Jour]],"")&lt;0,"",IFERROR(IF(Str_TypeDonneesCpt1=Cpt_Index,Tab_Compteur_1[[#This Row],[Index]]-E44,Tab_Compteur_1[[#This Row],[Quantité]])/Tab_Compteur_1[[#This Row],[Delta Jour]],""))</f>
        <v/>
      </c>
      <c r="H45" t="str">
        <f>IFERROR(Tab_Compteur_1[[#This Row],[Montant]]/Tab_Compteur_1[[#This Row],[Delta Jour]],"")</f>
        <v/>
      </c>
      <c r="I45" s="215" t="str">
        <f t="shared" si="2"/>
        <v/>
      </c>
      <c r="J45" s="192"/>
      <c r="K45" s="573"/>
      <c r="L45" s="573"/>
      <c r="M45" s="573"/>
      <c r="N45" s="38"/>
      <c r="O45"/>
    </row>
    <row r="46" spans="1:15">
      <c r="A46" s="501">
        <f t="shared" si="3"/>
        <v>1</v>
      </c>
      <c r="B46" s="236"/>
      <c r="C46" s="196"/>
      <c r="D46" s="195"/>
      <c r="E46" s="193"/>
      <c r="F46">
        <f t="shared" si="1"/>
        <v>0</v>
      </c>
      <c r="G46" t="str">
        <f>IF(IFERROR(IF(Str_TypeDonneesCpt1=Cpt_Index,Tab_Compteur_1[[#This Row],[Index]]-E45,Tab_Compteur_1[[#This Row],[Quantité]])/Tab_Compteur_1[[#This Row],[Delta Jour]],"")&lt;0,"",IFERROR(IF(Str_TypeDonneesCpt1=Cpt_Index,Tab_Compteur_1[[#This Row],[Index]]-E45,Tab_Compteur_1[[#This Row],[Quantité]])/Tab_Compteur_1[[#This Row],[Delta Jour]],""))</f>
        <v/>
      </c>
      <c r="H46" t="str">
        <f>IFERROR(Tab_Compteur_1[[#This Row],[Montant]]/Tab_Compteur_1[[#This Row],[Delta Jour]],"")</f>
        <v/>
      </c>
      <c r="I46" s="215" t="str">
        <f t="shared" si="2"/>
        <v/>
      </c>
      <c r="J46" s="192"/>
      <c r="K46" s="573"/>
      <c r="L46" s="573"/>
      <c r="M46" s="573"/>
      <c r="N46" s="38"/>
      <c r="O46"/>
    </row>
    <row r="47" spans="1:15">
      <c r="A47" s="501">
        <f t="shared" si="3"/>
        <v>1</v>
      </c>
      <c r="B47" s="236"/>
      <c r="C47" s="196"/>
      <c r="D47" s="195"/>
      <c r="E47" s="193"/>
      <c r="F47">
        <f t="shared" si="1"/>
        <v>0</v>
      </c>
      <c r="G47" t="str">
        <f>IF(IFERROR(IF(Str_TypeDonneesCpt1=Cpt_Index,Tab_Compteur_1[[#This Row],[Index]]-E46,Tab_Compteur_1[[#This Row],[Quantité]])/Tab_Compteur_1[[#This Row],[Delta Jour]],"")&lt;0,"",IFERROR(IF(Str_TypeDonneesCpt1=Cpt_Index,Tab_Compteur_1[[#This Row],[Index]]-E46,Tab_Compteur_1[[#This Row],[Quantité]])/Tab_Compteur_1[[#This Row],[Delta Jour]],""))</f>
        <v/>
      </c>
      <c r="H47" t="str">
        <f>IFERROR(Tab_Compteur_1[[#This Row],[Montant]]/Tab_Compteur_1[[#This Row],[Delta Jour]],"")</f>
        <v/>
      </c>
      <c r="I47" s="215" t="str">
        <f t="shared" si="2"/>
        <v/>
      </c>
      <c r="J47" s="192"/>
      <c r="K47" s="573"/>
      <c r="L47" s="573"/>
      <c r="M47" s="573"/>
      <c r="N47" s="38"/>
      <c r="O47"/>
    </row>
    <row r="48" spans="1:15">
      <c r="A48" s="501">
        <f t="shared" si="3"/>
        <v>1</v>
      </c>
      <c r="B48" s="236"/>
      <c r="C48" s="196"/>
      <c r="D48" s="195"/>
      <c r="E48" s="193"/>
      <c r="F48">
        <f t="shared" si="1"/>
        <v>0</v>
      </c>
      <c r="G48" t="str">
        <f>IF(IFERROR(IF(Str_TypeDonneesCpt1=Cpt_Index,Tab_Compteur_1[[#This Row],[Index]]-E47,Tab_Compteur_1[[#This Row],[Quantité]])/Tab_Compteur_1[[#This Row],[Delta Jour]],"")&lt;0,"",IFERROR(IF(Str_TypeDonneesCpt1=Cpt_Index,Tab_Compteur_1[[#This Row],[Index]]-E47,Tab_Compteur_1[[#This Row],[Quantité]])/Tab_Compteur_1[[#This Row],[Delta Jour]],""))</f>
        <v/>
      </c>
      <c r="H48" t="str">
        <f>IFERROR(Tab_Compteur_1[[#This Row],[Montant]]/Tab_Compteur_1[[#This Row],[Delta Jour]],"")</f>
        <v/>
      </c>
      <c r="I48" s="215" t="str">
        <f t="shared" si="2"/>
        <v/>
      </c>
      <c r="J48" s="192"/>
      <c r="K48" s="573"/>
      <c r="L48" s="573"/>
      <c r="M48" s="573"/>
      <c r="N48" s="38"/>
      <c r="O48"/>
    </row>
    <row r="49" spans="1:15">
      <c r="A49" s="501">
        <f t="shared" si="3"/>
        <v>1</v>
      </c>
      <c r="B49" s="236"/>
      <c r="C49" s="196"/>
      <c r="D49" s="195"/>
      <c r="E49" s="193"/>
      <c r="F49">
        <f t="shared" si="1"/>
        <v>0</v>
      </c>
      <c r="G49" t="str">
        <f>IF(IFERROR(IF(Str_TypeDonneesCpt1=Cpt_Index,Tab_Compteur_1[[#This Row],[Index]]-E48,Tab_Compteur_1[[#This Row],[Quantité]])/Tab_Compteur_1[[#This Row],[Delta Jour]],"")&lt;0,"",IFERROR(IF(Str_TypeDonneesCpt1=Cpt_Index,Tab_Compteur_1[[#This Row],[Index]]-E48,Tab_Compteur_1[[#This Row],[Quantité]])/Tab_Compteur_1[[#This Row],[Delta Jour]],""))</f>
        <v/>
      </c>
      <c r="H49" t="str">
        <f>IFERROR(Tab_Compteur_1[[#This Row],[Montant]]/Tab_Compteur_1[[#This Row],[Delta Jour]],"")</f>
        <v/>
      </c>
      <c r="I49" s="215" t="str">
        <f t="shared" si="2"/>
        <v/>
      </c>
      <c r="J49" s="192"/>
      <c r="K49" s="573"/>
      <c r="L49" s="573"/>
      <c r="M49" s="573"/>
      <c r="N49" s="38"/>
      <c r="O49"/>
    </row>
    <row r="50" spans="1:15">
      <c r="A50" s="501">
        <f t="shared" si="3"/>
        <v>1</v>
      </c>
      <c r="B50" s="236"/>
      <c r="C50" s="196"/>
      <c r="D50" s="195"/>
      <c r="E50" s="193"/>
      <c r="F50">
        <f t="shared" si="1"/>
        <v>0</v>
      </c>
      <c r="G50" t="str">
        <f>IF(IFERROR(IF(Str_TypeDonneesCpt1=Cpt_Index,Tab_Compteur_1[[#This Row],[Index]]-E49,Tab_Compteur_1[[#This Row],[Quantité]])/Tab_Compteur_1[[#This Row],[Delta Jour]],"")&lt;0,"",IFERROR(IF(Str_TypeDonneesCpt1=Cpt_Index,Tab_Compteur_1[[#This Row],[Index]]-E49,Tab_Compteur_1[[#This Row],[Quantité]])/Tab_Compteur_1[[#This Row],[Delta Jour]],""))</f>
        <v/>
      </c>
      <c r="H50" t="str">
        <f>IFERROR(Tab_Compteur_1[[#This Row],[Montant]]/Tab_Compteur_1[[#This Row],[Delta Jour]],"")</f>
        <v/>
      </c>
      <c r="I50" s="215" t="str">
        <f t="shared" si="2"/>
        <v/>
      </c>
      <c r="J50" s="192"/>
      <c r="K50" s="573"/>
      <c r="L50" s="573"/>
      <c r="M50" s="573"/>
      <c r="N50" s="38"/>
      <c r="O50"/>
    </row>
    <row r="51" spans="1:15">
      <c r="A51" s="501">
        <f t="shared" si="3"/>
        <v>1</v>
      </c>
      <c r="B51" s="236"/>
      <c r="C51" s="196"/>
      <c r="D51" s="195"/>
      <c r="E51" s="193"/>
      <c r="F51">
        <f t="shared" si="1"/>
        <v>0</v>
      </c>
      <c r="G51" t="str">
        <f>IF(IFERROR(IF(Str_TypeDonneesCpt1=Cpt_Index,Tab_Compteur_1[[#This Row],[Index]]-E50,Tab_Compteur_1[[#This Row],[Quantité]])/Tab_Compteur_1[[#This Row],[Delta Jour]],"")&lt;0,"",IFERROR(IF(Str_TypeDonneesCpt1=Cpt_Index,Tab_Compteur_1[[#This Row],[Index]]-E50,Tab_Compteur_1[[#This Row],[Quantité]])/Tab_Compteur_1[[#This Row],[Delta Jour]],""))</f>
        <v/>
      </c>
      <c r="H51" t="str">
        <f>IFERROR(Tab_Compteur_1[[#This Row],[Montant]]/Tab_Compteur_1[[#This Row],[Delta Jour]],"")</f>
        <v/>
      </c>
      <c r="I51" s="215" t="str">
        <f t="shared" si="2"/>
        <v/>
      </c>
      <c r="J51" s="192"/>
      <c r="K51" s="573"/>
      <c r="L51" s="573"/>
      <c r="M51" s="573"/>
      <c r="N51" s="38"/>
      <c r="O51"/>
    </row>
    <row r="52" spans="1:15">
      <c r="A52" s="501">
        <f t="shared" si="3"/>
        <v>1</v>
      </c>
      <c r="B52" s="236"/>
      <c r="C52" s="196"/>
      <c r="D52" s="195"/>
      <c r="E52" s="193"/>
      <c r="F52">
        <f t="shared" si="1"/>
        <v>0</v>
      </c>
      <c r="G52" t="str">
        <f>IF(IFERROR(IF(Str_TypeDonneesCpt1=Cpt_Index,Tab_Compteur_1[[#This Row],[Index]]-E51,Tab_Compteur_1[[#This Row],[Quantité]])/Tab_Compteur_1[[#This Row],[Delta Jour]],"")&lt;0,"",IFERROR(IF(Str_TypeDonneesCpt1=Cpt_Index,Tab_Compteur_1[[#This Row],[Index]]-E51,Tab_Compteur_1[[#This Row],[Quantité]])/Tab_Compteur_1[[#This Row],[Delta Jour]],""))</f>
        <v/>
      </c>
      <c r="H52" t="str">
        <f>IFERROR(Tab_Compteur_1[[#This Row],[Montant]]/Tab_Compteur_1[[#This Row],[Delta Jour]],"")</f>
        <v/>
      </c>
      <c r="I52" s="215" t="str">
        <f t="shared" si="2"/>
        <v/>
      </c>
      <c r="J52" s="192"/>
      <c r="K52" s="573"/>
      <c r="L52" s="573"/>
      <c r="M52" s="573"/>
      <c r="N52" s="38"/>
      <c r="O52"/>
    </row>
    <row r="53" spans="1:15">
      <c r="A53" s="501">
        <f t="shared" si="3"/>
        <v>1</v>
      </c>
      <c r="B53" s="236"/>
      <c r="C53" s="196"/>
      <c r="D53" s="195"/>
      <c r="E53" s="193"/>
      <c r="F53">
        <f t="shared" si="1"/>
        <v>0</v>
      </c>
      <c r="G53" t="str">
        <f>IF(IFERROR(IF(Str_TypeDonneesCpt1=Cpt_Index,Tab_Compteur_1[[#This Row],[Index]]-E52,Tab_Compteur_1[[#This Row],[Quantité]])/Tab_Compteur_1[[#This Row],[Delta Jour]],"")&lt;0,"",IFERROR(IF(Str_TypeDonneesCpt1=Cpt_Index,Tab_Compteur_1[[#This Row],[Index]]-E52,Tab_Compteur_1[[#This Row],[Quantité]])/Tab_Compteur_1[[#This Row],[Delta Jour]],""))</f>
        <v/>
      </c>
      <c r="H53" t="str">
        <f>IFERROR(Tab_Compteur_1[[#This Row],[Montant]]/Tab_Compteur_1[[#This Row],[Delta Jour]],"")</f>
        <v/>
      </c>
      <c r="I53" s="215" t="str">
        <f t="shared" si="2"/>
        <v/>
      </c>
      <c r="J53" s="192"/>
      <c r="K53" s="573"/>
      <c r="L53" s="573"/>
      <c r="M53" s="573"/>
      <c r="N53" s="38"/>
      <c r="O53"/>
    </row>
    <row r="54" spans="1:15">
      <c r="A54" s="501">
        <f t="shared" si="3"/>
        <v>1</v>
      </c>
      <c r="B54" s="236"/>
      <c r="C54" s="196"/>
      <c r="D54" s="195"/>
      <c r="E54" s="193"/>
      <c r="F54">
        <f t="shared" si="1"/>
        <v>0</v>
      </c>
      <c r="G54" t="str">
        <f>IF(IFERROR(IF(Str_TypeDonneesCpt1=Cpt_Index,Tab_Compteur_1[[#This Row],[Index]]-E53,Tab_Compteur_1[[#This Row],[Quantité]])/Tab_Compteur_1[[#This Row],[Delta Jour]],"")&lt;0,"",IFERROR(IF(Str_TypeDonneesCpt1=Cpt_Index,Tab_Compteur_1[[#This Row],[Index]]-E53,Tab_Compteur_1[[#This Row],[Quantité]])/Tab_Compteur_1[[#This Row],[Delta Jour]],""))</f>
        <v/>
      </c>
      <c r="H54" t="str">
        <f>IFERROR(Tab_Compteur_1[[#This Row],[Montant]]/Tab_Compteur_1[[#This Row],[Delta Jour]],"")</f>
        <v/>
      </c>
      <c r="I54" s="215" t="str">
        <f t="shared" si="2"/>
        <v/>
      </c>
      <c r="J54" s="192"/>
      <c r="K54" s="573"/>
      <c r="L54" s="573"/>
      <c r="M54" s="573"/>
      <c r="N54" s="38"/>
      <c r="O54"/>
    </row>
    <row r="55" spans="1:15">
      <c r="A55" s="501">
        <f t="shared" si="3"/>
        <v>1</v>
      </c>
      <c r="B55" s="236"/>
      <c r="C55" s="196"/>
      <c r="D55" s="195"/>
      <c r="E55" s="193"/>
      <c r="F55">
        <f t="shared" si="1"/>
        <v>0</v>
      </c>
      <c r="G55" t="str">
        <f>IF(IFERROR(IF(Str_TypeDonneesCpt1=Cpt_Index,Tab_Compteur_1[[#This Row],[Index]]-E54,Tab_Compteur_1[[#This Row],[Quantité]])/Tab_Compteur_1[[#This Row],[Delta Jour]],"")&lt;0,"",IFERROR(IF(Str_TypeDonneesCpt1=Cpt_Index,Tab_Compteur_1[[#This Row],[Index]]-E54,Tab_Compteur_1[[#This Row],[Quantité]])/Tab_Compteur_1[[#This Row],[Delta Jour]],""))</f>
        <v/>
      </c>
      <c r="H55" t="str">
        <f>IFERROR(Tab_Compteur_1[[#This Row],[Montant]]/Tab_Compteur_1[[#This Row],[Delta Jour]],"")</f>
        <v/>
      </c>
      <c r="I55" s="215" t="str">
        <f t="shared" si="2"/>
        <v/>
      </c>
      <c r="J55" s="192"/>
      <c r="K55" s="573"/>
      <c r="L55" s="573"/>
      <c r="M55" s="573"/>
      <c r="N55" s="38"/>
      <c r="O55"/>
    </row>
    <row r="56" spans="1:15">
      <c r="A56" s="501">
        <f t="shared" si="3"/>
        <v>1</v>
      </c>
      <c r="B56" s="236"/>
      <c r="C56" s="196"/>
      <c r="D56" s="195"/>
      <c r="E56" s="193"/>
      <c r="F56">
        <f t="shared" si="1"/>
        <v>0</v>
      </c>
      <c r="G56" t="str">
        <f>IF(IFERROR(IF(Str_TypeDonneesCpt1=Cpt_Index,Tab_Compteur_1[[#This Row],[Index]]-E55,Tab_Compteur_1[[#This Row],[Quantité]])/Tab_Compteur_1[[#This Row],[Delta Jour]],"")&lt;0,"",IFERROR(IF(Str_TypeDonneesCpt1=Cpt_Index,Tab_Compteur_1[[#This Row],[Index]]-E55,Tab_Compteur_1[[#This Row],[Quantité]])/Tab_Compteur_1[[#This Row],[Delta Jour]],""))</f>
        <v/>
      </c>
      <c r="H56" t="str">
        <f>IFERROR(Tab_Compteur_1[[#This Row],[Montant]]/Tab_Compteur_1[[#This Row],[Delta Jour]],"")</f>
        <v/>
      </c>
      <c r="I56" s="215" t="str">
        <f t="shared" si="2"/>
        <v/>
      </c>
      <c r="J56" s="192"/>
      <c r="K56" s="573"/>
      <c r="L56" s="573"/>
      <c r="M56" s="573"/>
      <c r="N56" s="38"/>
      <c r="O56"/>
    </row>
    <row r="57" spans="1:15">
      <c r="A57" s="501">
        <f t="shared" si="3"/>
        <v>1</v>
      </c>
      <c r="B57" s="236"/>
      <c r="C57" s="196"/>
      <c r="D57" s="195"/>
      <c r="E57" s="193"/>
      <c r="F57">
        <f t="shared" si="1"/>
        <v>0</v>
      </c>
      <c r="G57" t="str">
        <f>IF(IFERROR(IF(Str_TypeDonneesCpt1=Cpt_Index,Tab_Compteur_1[[#This Row],[Index]]-E56,Tab_Compteur_1[[#This Row],[Quantité]])/Tab_Compteur_1[[#This Row],[Delta Jour]],"")&lt;0,"",IFERROR(IF(Str_TypeDonneesCpt1=Cpt_Index,Tab_Compteur_1[[#This Row],[Index]]-E56,Tab_Compteur_1[[#This Row],[Quantité]])/Tab_Compteur_1[[#This Row],[Delta Jour]],""))</f>
        <v/>
      </c>
      <c r="H57" t="str">
        <f>IFERROR(Tab_Compteur_1[[#This Row],[Montant]]/Tab_Compteur_1[[#This Row],[Delta Jour]],"")</f>
        <v/>
      </c>
      <c r="I57" s="215" t="str">
        <f t="shared" si="2"/>
        <v/>
      </c>
      <c r="J57" s="192"/>
      <c r="K57" s="38"/>
      <c r="L57" s="38"/>
      <c r="M57" s="38"/>
      <c r="N57" s="38"/>
      <c r="O57"/>
    </row>
    <row r="58" spans="1:15">
      <c r="A58" s="501">
        <f t="shared" si="3"/>
        <v>1</v>
      </c>
      <c r="B58" s="236"/>
      <c r="C58" s="196"/>
      <c r="D58" s="195"/>
      <c r="E58" s="193"/>
      <c r="F58">
        <f t="shared" si="1"/>
        <v>0</v>
      </c>
      <c r="G58" t="str">
        <f>IF(IFERROR(IF(Str_TypeDonneesCpt1=Cpt_Index,Tab_Compteur_1[[#This Row],[Index]]-E57,Tab_Compteur_1[[#This Row],[Quantité]])/Tab_Compteur_1[[#This Row],[Delta Jour]],"")&lt;0,"",IFERROR(IF(Str_TypeDonneesCpt1=Cpt_Index,Tab_Compteur_1[[#This Row],[Index]]-E57,Tab_Compteur_1[[#This Row],[Quantité]])/Tab_Compteur_1[[#This Row],[Delta Jour]],""))</f>
        <v/>
      </c>
      <c r="H58" t="str">
        <f>IFERROR(Tab_Compteur_1[[#This Row],[Montant]]/Tab_Compteur_1[[#This Row],[Delta Jour]],"")</f>
        <v/>
      </c>
      <c r="I58" s="215" t="str">
        <f t="shared" si="2"/>
        <v/>
      </c>
      <c r="J58" s="192"/>
      <c r="K58" s="38"/>
      <c r="L58" s="38"/>
      <c r="M58" s="38"/>
      <c r="N58" s="38"/>
      <c r="O58"/>
    </row>
    <row r="59" spans="1:15">
      <c r="A59" s="501">
        <f t="shared" si="3"/>
        <v>1</v>
      </c>
      <c r="B59" s="236"/>
      <c r="C59" s="196"/>
      <c r="D59" s="195"/>
      <c r="E59" s="193"/>
      <c r="F59">
        <f t="shared" si="1"/>
        <v>0</v>
      </c>
      <c r="G59" t="str">
        <f>IF(IFERROR(IF(Str_TypeDonneesCpt1=Cpt_Index,Tab_Compteur_1[[#This Row],[Index]]-E58,Tab_Compteur_1[[#This Row],[Quantité]])/Tab_Compteur_1[[#This Row],[Delta Jour]],"")&lt;0,"",IFERROR(IF(Str_TypeDonneesCpt1=Cpt_Index,Tab_Compteur_1[[#This Row],[Index]]-E58,Tab_Compteur_1[[#This Row],[Quantité]])/Tab_Compteur_1[[#This Row],[Delta Jour]],""))</f>
        <v/>
      </c>
      <c r="H59" t="str">
        <f>IFERROR(Tab_Compteur_1[[#This Row],[Montant]]/Tab_Compteur_1[[#This Row],[Delta Jour]],"")</f>
        <v/>
      </c>
      <c r="I59" s="215" t="str">
        <f t="shared" si="2"/>
        <v/>
      </c>
      <c r="J59" s="192"/>
      <c r="K59" s="38"/>
      <c r="L59" s="38"/>
      <c r="M59" s="38"/>
      <c r="N59" s="38"/>
      <c r="O59"/>
    </row>
    <row r="60" spans="1:15">
      <c r="A60" s="501">
        <f t="shared" si="3"/>
        <v>1</v>
      </c>
      <c r="B60" s="236"/>
      <c r="C60" s="196"/>
      <c r="D60" s="195"/>
      <c r="E60" s="193"/>
      <c r="F60">
        <f t="shared" si="1"/>
        <v>0</v>
      </c>
      <c r="G60" t="str">
        <f>IF(IFERROR(IF(Str_TypeDonneesCpt1=Cpt_Index,Tab_Compteur_1[[#This Row],[Index]]-E59,Tab_Compteur_1[[#This Row],[Quantité]])/Tab_Compteur_1[[#This Row],[Delta Jour]],"")&lt;0,"",IFERROR(IF(Str_TypeDonneesCpt1=Cpt_Index,Tab_Compteur_1[[#This Row],[Index]]-E59,Tab_Compteur_1[[#This Row],[Quantité]])/Tab_Compteur_1[[#This Row],[Delta Jour]],""))</f>
        <v/>
      </c>
      <c r="H60" t="str">
        <f>IFERROR(Tab_Compteur_1[[#This Row],[Montant]]/Tab_Compteur_1[[#This Row],[Delta Jour]],"")</f>
        <v/>
      </c>
      <c r="I60" s="215" t="str">
        <f t="shared" si="2"/>
        <v/>
      </c>
      <c r="J60" s="192"/>
      <c r="K60" s="38"/>
      <c r="L60" s="38"/>
      <c r="M60" s="38"/>
      <c r="N60" s="38"/>
      <c r="O60"/>
    </row>
    <row r="61" spans="1:15">
      <c r="A61" s="501">
        <f t="shared" si="3"/>
        <v>1</v>
      </c>
      <c r="B61" s="236"/>
      <c r="C61" s="196"/>
      <c r="D61" s="195"/>
      <c r="E61" s="193"/>
      <c r="F61">
        <f t="shared" si="1"/>
        <v>0</v>
      </c>
      <c r="G61" t="str">
        <f>IF(IFERROR(IF(Str_TypeDonneesCpt1=Cpt_Index,Tab_Compteur_1[[#This Row],[Index]]-E60,Tab_Compteur_1[[#This Row],[Quantité]])/Tab_Compteur_1[[#This Row],[Delta Jour]],"")&lt;0,"",IFERROR(IF(Str_TypeDonneesCpt1=Cpt_Index,Tab_Compteur_1[[#This Row],[Index]]-E60,Tab_Compteur_1[[#This Row],[Quantité]])/Tab_Compteur_1[[#This Row],[Delta Jour]],""))</f>
        <v/>
      </c>
      <c r="H61" t="str">
        <f>IFERROR(Tab_Compteur_1[[#This Row],[Montant]]/Tab_Compteur_1[[#This Row],[Delta Jour]],"")</f>
        <v/>
      </c>
      <c r="I61" s="215" t="str">
        <f t="shared" si="2"/>
        <v/>
      </c>
      <c r="J61" s="192"/>
      <c r="K61" s="38"/>
      <c r="L61" s="38"/>
      <c r="M61" s="38"/>
      <c r="N61" s="38"/>
      <c r="O61"/>
    </row>
    <row r="62" spans="1:15">
      <c r="A62" s="501">
        <f t="shared" si="3"/>
        <v>1</v>
      </c>
      <c r="B62" s="236"/>
      <c r="C62" s="196"/>
      <c r="D62" s="195"/>
      <c r="E62" s="193"/>
      <c r="F62">
        <f t="shared" si="1"/>
        <v>0</v>
      </c>
      <c r="G62" t="str">
        <f>IF(IFERROR(IF(Str_TypeDonneesCpt1=Cpt_Index,Tab_Compteur_1[[#This Row],[Index]]-E61,Tab_Compteur_1[[#This Row],[Quantité]])/Tab_Compteur_1[[#This Row],[Delta Jour]],"")&lt;0,"",IFERROR(IF(Str_TypeDonneesCpt1=Cpt_Index,Tab_Compteur_1[[#This Row],[Index]]-E61,Tab_Compteur_1[[#This Row],[Quantité]])/Tab_Compteur_1[[#This Row],[Delta Jour]],""))</f>
        <v/>
      </c>
      <c r="H62" t="str">
        <f>IFERROR(Tab_Compteur_1[[#This Row],[Montant]]/Tab_Compteur_1[[#This Row],[Delta Jour]],"")</f>
        <v/>
      </c>
      <c r="I62" s="215" t="str">
        <f t="shared" si="2"/>
        <v/>
      </c>
      <c r="J62" s="192"/>
      <c r="K62" s="38"/>
      <c r="L62" s="38"/>
      <c r="M62" s="38"/>
      <c r="N62" s="38"/>
      <c r="O62"/>
    </row>
    <row r="63" spans="1:15">
      <c r="A63" s="501">
        <f t="shared" si="3"/>
        <v>1</v>
      </c>
      <c r="B63" s="236"/>
      <c r="C63" s="196"/>
      <c r="D63" s="195"/>
      <c r="E63" s="193"/>
      <c r="F63">
        <f t="shared" si="1"/>
        <v>0</v>
      </c>
      <c r="G63" t="str">
        <f>IF(IFERROR(IF(Str_TypeDonneesCpt1=Cpt_Index,Tab_Compteur_1[[#This Row],[Index]]-E62,Tab_Compteur_1[[#This Row],[Quantité]])/Tab_Compteur_1[[#This Row],[Delta Jour]],"")&lt;0,"",IFERROR(IF(Str_TypeDonneesCpt1=Cpt_Index,Tab_Compteur_1[[#This Row],[Index]]-E62,Tab_Compteur_1[[#This Row],[Quantité]])/Tab_Compteur_1[[#This Row],[Delta Jour]],""))</f>
        <v/>
      </c>
      <c r="H63" t="str">
        <f>IFERROR(Tab_Compteur_1[[#This Row],[Montant]]/Tab_Compteur_1[[#This Row],[Delta Jour]],"")</f>
        <v/>
      </c>
      <c r="I63" s="215" t="str">
        <f t="shared" si="2"/>
        <v/>
      </c>
      <c r="J63" s="192"/>
      <c r="K63" s="38"/>
      <c r="L63" s="38"/>
      <c r="M63" s="38"/>
      <c r="N63" s="38"/>
      <c r="O63"/>
    </row>
    <row r="64" spans="1:15">
      <c r="A64" s="501">
        <f t="shared" si="3"/>
        <v>1</v>
      </c>
      <c r="B64" s="236"/>
      <c r="C64" s="196"/>
      <c r="D64" s="195"/>
      <c r="E64" s="193"/>
      <c r="F64">
        <f t="shared" si="1"/>
        <v>0</v>
      </c>
      <c r="G64" t="str">
        <f>IF(IFERROR(IF(Str_TypeDonneesCpt1=Cpt_Index,Tab_Compteur_1[[#This Row],[Index]]-E63,Tab_Compteur_1[[#This Row],[Quantité]])/Tab_Compteur_1[[#This Row],[Delta Jour]],"")&lt;0,"",IFERROR(IF(Str_TypeDonneesCpt1=Cpt_Index,Tab_Compteur_1[[#This Row],[Index]]-E63,Tab_Compteur_1[[#This Row],[Quantité]])/Tab_Compteur_1[[#This Row],[Delta Jour]],""))</f>
        <v/>
      </c>
      <c r="H64" t="str">
        <f>IFERROR(Tab_Compteur_1[[#This Row],[Montant]]/Tab_Compteur_1[[#This Row],[Delta Jour]],"")</f>
        <v/>
      </c>
      <c r="I64" s="215" t="str">
        <f t="shared" si="2"/>
        <v/>
      </c>
      <c r="J64" s="192"/>
      <c r="K64" s="38"/>
      <c r="L64" s="38"/>
      <c r="M64" s="38"/>
      <c r="N64" s="38"/>
      <c r="O64"/>
    </row>
    <row r="65" spans="1:15">
      <c r="A65" s="501">
        <f t="shared" si="3"/>
        <v>1</v>
      </c>
      <c r="B65" s="236"/>
      <c r="C65" s="196"/>
      <c r="D65" s="195"/>
      <c r="E65" s="193"/>
      <c r="F65">
        <f t="shared" si="1"/>
        <v>0</v>
      </c>
      <c r="G65" t="str">
        <f>IF(IFERROR(IF(Str_TypeDonneesCpt1=Cpt_Index,Tab_Compteur_1[[#This Row],[Index]]-E64,Tab_Compteur_1[[#This Row],[Quantité]])/Tab_Compteur_1[[#This Row],[Delta Jour]],"")&lt;0,"",IFERROR(IF(Str_TypeDonneesCpt1=Cpt_Index,Tab_Compteur_1[[#This Row],[Index]]-E64,Tab_Compteur_1[[#This Row],[Quantité]])/Tab_Compteur_1[[#This Row],[Delta Jour]],""))</f>
        <v/>
      </c>
      <c r="H65" t="str">
        <f>IFERROR(Tab_Compteur_1[[#This Row],[Montant]]/Tab_Compteur_1[[#This Row],[Delta Jour]],"")</f>
        <v/>
      </c>
      <c r="I65" s="215" t="str">
        <f t="shared" si="2"/>
        <v/>
      </c>
      <c r="J65" s="192"/>
      <c r="K65" s="38"/>
      <c r="L65" s="38"/>
      <c r="M65" s="38"/>
      <c r="N65" s="38"/>
      <c r="O65"/>
    </row>
    <row r="66" spans="1:15">
      <c r="A66" s="501">
        <f t="shared" si="3"/>
        <v>1</v>
      </c>
      <c r="B66" s="236"/>
      <c r="C66" s="196"/>
      <c r="D66" s="195"/>
      <c r="E66" s="193"/>
      <c r="F66">
        <f t="shared" si="1"/>
        <v>0</v>
      </c>
      <c r="G66" t="str">
        <f>IF(IFERROR(IF(Str_TypeDonneesCpt1=Cpt_Index,Tab_Compteur_1[[#This Row],[Index]]-E65,Tab_Compteur_1[[#This Row],[Quantité]])/Tab_Compteur_1[[#This Row],[Delta Jour]],"")&lt;0,"",IFERROR(IF(Str_TypeDonneesCpt1=Cpt_Index,Tab_Compteur_1[[#This Row],[Index]]-E65,Tab_Compteur_1[[#This Row],[Quantité]])/Tab_Compteur_1[[#This Row],[Delta Jour]],""))</f>
        <v/>
      </c>
      <c r="H66" t="str">
        <f>IFERROR(Tab_Compteur_1[[#This Row],[Montant]]/Tab_Compteur_1[[#This Row],[Delta Jour]],"")</f>
        <v/>
      </c>
      <c r="I66" s="215" t="str">
        <f t="shared" si="2"/>
        <v/>
      </c>
      <c r="J66" s="192"/>
      <c r="K66" s="38"/>
      <c r="L66" s="38"/>
      <c r="M66" s="38"/>
      <c r="N66" s="38"/>
      <c r="O66"/>
    </row>
    <row r="67" spans="1:15">
      <c r="A67" s="501">
        <f t="shared" si="3"/>
        <v>1</v>
      </c>
      <c r="B67" s="236"/>
      <c r="C67" s="196"/>
      <c r="D67" s="195"/>
      <c r="E67" s="193"/>
      <c r="F67">
        <f t="shared" ref="F67:F130" si="4">IFERROR(B67-A67+1,"")</f>
        <v>0</v>
      </c>
      <c r="G67" t="str">
        <f>IF(IFERROR(IF(Str_TypeDonneesCpt1=Cpt_Index,Tab_Compteur_1[[#This Row],[Index]]-E66,Tab_Compteur_1[[#This Row],[Quantité]])/Tab_Compteur_1[[#This Row],[Delta Jour]],"")&lt;0,"",IFERROR(IF(Str_TypeDonneesCpt1=Cpt_Index,Tab_Compteur_1[[#This Row],[Index]]-E66,Tab_Compteur_1[[#This Row],[Quantité]])/Tab_Compteur_1[[#This Row],[Delta Jour]],""))</f>
        <v/>
      </c>
      <c r="H67" t="str">
        <f>IFERROR(Tab_Compteur_1[[#This Row],[Montant]]/Tab_Compteur_1[[#This Row],[Delta Jour]],"")</f>
        <v/>
      </c>
      <c r="I67" s="215" t="str">
        <f t="shared" si="2"/>
        <v/>
      </c>
      <c r="J67" s="192"/>
      <c r="K67" s="38"/>
      <c r="L67" s="38"/>
      <c r="M67" s="38"/>
      <c r="N67" s="38"/>
      <c r="O67"/>
    </row>
    <row r="68" spans="1:15">
      <c r="A68" s="501">
        <f t="shared" si="3"/>
        <v>1</v>
      </c>
      <c r="B68" s="236"/>
      <c r="C68" s="196"/>
      <c r="D68" s="195"/>
      <c r="E68" s="193"/>
      <c r="F68">
        <f t="shared" si="4"/>
        <v>0</v>
      </c>
      <c r="G68" t="str">
        <f>IF(IFERROR(IF(Str_TypeDonneesCpt1=Cpt_Index,Tab_Compteur_1[[#This Row],[Index]]-E67,Tab_Compteur_1[[#This Row],[Quantité]])/Tab_Compteur_1[[#This Row],[Delta Jour]],"")&lt;0,"",IFERROR(IF(Str_TypeDonneesCpt1=Cpt_Index,Tab_Compteur_1[[#This Row],[Index]]-E67,Tab_Compteur_1[[#This Row],[Quantité]])/Tab_Compteur_1[[#This Row],[Delta Jour]],""))</f>
        <v/>
      </c>
      <c r="H68" t="str">
        <f>IFERROR(Tab_Compteur_1[[#This Row],[Montant]]/Tab_Compteur_1[[#This Row],[Delta Jour]],"")</f>
        <v/>
      </c>
      <c r="I68" s="215" t="str">
        <f t="shared" si="2"/>
        <v/>
      </c>
      <c r="J68" s="192"/>
      <c r="K68" s="38"/>
      <c r="L68" s="38"/>
      <c r="M68" s="38"/>
      <c r="N68" s="38"/>
      <c r="O68"/>
    </row>
    <row r="69" spans="1:15">
      <c r="A69" s="501">
        <f t="shared" si="3"/>
        <v>1</v>
      </c>
      <c r="B69" s="236"/>
      <c r="C69" s="196"/>
      <c r="D69" s="195"/>
      <c r="E69" s="193"/>
      <c r="F69">
        <f t="shared" si="4"/>
        <v>0</v>
      </c>
      <c r="G69" t="str">
        <f>IF(IFERROR(IF(Str_TypeDonneesCpt1=Cpt_Index,Tab_Compteur_1[[#This Row],[Index]]-E68,Tab_Compteur_1[[#This Row],[Quantité]])/Tab_Compteur_1[[#This Row],[Delta Jour]],"")&lt;0,"",IFERROR(IF(Str_TypeDonneesCpt1=Cpt_Index,Tab_Compteur_1[[#This Row],[Index]]-E68,Tab_Compteur_1[[#This Row],[Quantité]])/Tab_Compteur_1[[#This Row],[Delta Jour]],""))</f>
        <v/>
      </c>
      <c r="H69" t="str">
        <f>IFERROR(Tab_Compteur_1[[#This Row],[Montant]]/Tab_Compteur_1[[#This Row],[Delta Jour]],"")</f>
        <v/>
      </c>
      <c r="I69" s="215" t="str">
        <f t="shared" ref="I69:I132" si="5">G69</f>
        <v/>
      </c>
      <c r="J69" s="192"/>
      <c r="K69" s="38"/>
      <c r="L69" s="38"/>
      <c r="M69" s="38"/>
      <c r="N69" s="38"/>
      <c r="O69"/>
    </row>
    <row r="70" spans="1:15">
      <c r="A70" s="501">
        <f t="shared" ref="A70:A133" si="6">IFERROR(B69+1,0)</f>
        <v>1</v>
      </c>
      <c r="B70" s="236"/>
      <c r="C70" s="196"/>
      <c r="D70" s="195"/>
      <c r="E70" s="193"/>
      <c r="F70">
        <f t="shared" si="4"/>
        <v>0</v>
      </c>
      <c r="G70" t="str">
        <f>IF(IFERROR(IF(Str_TypeDonneesCpt1=Cpt_Index,Tab_Compteur_1[[#This Row],[Index]]-E69,Tab_Compteur_1[[#This Row],[Quantité]])/Tab_Compteur_1[[#This Row],[Delta Jour]],"")&lt;0,"",IFERROR(IF(Str_TypeDonneesCpt1=Cpt_Index,Tab_Compteur_1[[#This Row],[Index]]-E69,Tab_Compteur_1[[#This Row],[Quantité]])/Tab_Compteur_1[[#This Row],[Delta Jour]],""))</f>
        <v/>
      </c>
      <c r="H70" t="str">
        <f>IFERROR(Tab_Compteur_1[[#This Row],[Montant]]/Tab_Compteur_1[[#This Row],[Delta Jour]],"")</f>
        <v/>
      </c>
      <c r="I70" s="215" t="str">
        <f t="shared" si="5"/>
        <v/>
      </c>
      <c r="J70" s="192"/>
      <c r="K70" s="38"/>
      <c r="L70" s="38"/>
      <c r="M70" s="38"/>
      <c r="N70" s="38"/>
      <c r="O70"/>
    </row>
    <row r="71" spans="1:15">
      <c r="A71" s="501">
        <f t="shared" si="6"/>
        <v>1</v>
      </c>
      <c r="B71" s="236"/>
      <c r="C71" s="196"/>
      <c r="D71" s="195"/>
      <c r="E71" s="193"/>
      <c r="F71">
        <f t="shared" si="4"/>
        <v>0</v>
      </c>
      <c r="G71" t="str">
        <f>IF(IFERROR(IF(Str_TypeDonneesCpt1=Cpt_Index,Tab_Compteur_1[[#This Row],[Index]]-E70,Tab_Compteur_1[[#This Row],[Quantité]])/Tab_Compteur_1[[#This Row],[Delta Jour]],"")&lt;0,"",IFERROR(IF(Str_TypeDonneesCpt1=Cpt_Index,Tab_Compteur_1[[#This Row],[Index]]-E70,Tab_Compteur_1[[#This Row],[Quantité]])/Tab_Compteur_1[[#This Row],[Delta Jour]],""))</f>
        <v/>
      </c>
      <c r="H71" t="str">
        <f>IFERROR(Tab_Compteur_1[[#This Row],[Montant]]/Tab_Compteur_1[[#This Row],[Delta Jour]],"")</f>
        <v/>
      </c>
      <c r="I71" s="215" t="str">
        <f t="shared" si="5"/>
        <v/>
      </c>
      <c r="J71" s="192"/>
      <c r="K71" s="38"/>
      <c r="L71" s="38"/>
      <c r="M71" s="38"/>
      <c r="N71" s="38"/>
      <c r="O71"/>
    </row>
    <row r="72" spans="1:15">
      <c r="A72" s="501">
        <f t="shared" si="6"/>
        <v>1</v>
      </c>
      <c r="B72" s="236"/>
      <c r="C72" s="196"/>
      <c r="D72" s="195"/>
      <c r="E72" s="193"/>
      <c r="F72">
        <f t="shared" si="4"/>
        <v>0</v>
      </c>
      <c r="G72" t="str">
        <f>IF(IFERROR(IF(Str_TypeDonneesCpt1=Cpt_Index,Tab_Compteur_1[[#This Row],[Index]]-E71,Tab_Compteur_1[[#This Row],[Quantité]])/Tab_Compteur_1[[#This Row],[Delta Jour]],"")&lt;0,"",IFERROR(IF(Str_TypeDonneesCpt1=Cpt_Index,Tab_Compteur_1[[#This Row],[Index]]-E71,Tab_Compteur_1[[#This Row],[Quantité]])/Tab_Compteur_1[[#This Row],[Delta Jour]],""))</f>
        <v/>
      </c>
      <c r="H72" t="str">
        <f>IFERROR(Tab_Compteur_1[[#This Row],[Montant]]/Tab_Compteur_1[[#This Row],[Delta Jour]],"")</f>
        <v/>
      </c>
      <c r="I72" s="215" t="str">
        <f t="shared" si="5"/>
        <v/>
      </c>
      <c r="J72" s="192"/>
      <c r="K72" s="38"/>
      <c r="L72" s="38"/>
      <c r="M72" s="38"/>
      <c r="N72" s="38"/>
      <c r="O72"/>
    </row>
    <row r="73" spans="1:15">
      <c r="A73" s="501">
        <f t="shared" si="6"/>
        <v>1</v>
      </c>
      <c r="B73" s="236"/>
      <c r="C73" s="196"/>
      <c r="D73" s="195"/>
      <c r="E73" s="193"/>
      <c r="F73">
        <f t="shared" si="4"/>
        <v>0</v>
      </c>
      <c r="G73" t="str">
        <f>IF(IFERROR(IF(Str_TypeDonneesCpt1=Cpt_Index,Tab_Compteur_1[[#This Row],[Index]]-E72,Tab_Compteur_1[[#This Row],[Quantité]])/Tab_Compteur_1[[#This Row],[Delta Jour]],"")&lt;0,"",IFERROR(IF(Str_TypeDonneesCpt1=Cpt_Index,Tab_Compteur_1[[#This Row],[Index]]-E72,Tab_Compteur_1[[#This Row],[Quantité]])/Tab_Compteur_1[[#This Row],[Delta Jour]],""))</f>
        <v/>
      </c>
      <c r="H73" t="str">
        <f>IFERROR(Tab_Compteur_1[[#This Row],[Montant]]/Tab_Compteur_1[[#This Row],[Delta Jour]],"")</f>
        <v/>
      </c>
      <c r="I73" s="215" t="str">
        <f t="shared" si="5"/>
        <v/>
      </c>
      <c r="J73" s="192"/>
      <c r="K73" s="38"/>
      <c r="L73" s="38"/>
      <c r="M73" s="38"/>
      <c r="N73" s="38"/>
      <c r="O73"/>
    </row>
    <row r="74" spans="1:15">
      <c r="A74" s="501">
        <f t="shared" si="6"/>
        <v>1</v>
      </c>
      <c r="B74" s="236"/>
      <c r="C74" s="196"/>
      <c r="D74" s="195"/>
      <c r="E74" s="193"/>
      <c r="F74">
        <f t="shared" si="4"/>
        <v>0</v>
      </c>
      <c r="G74" t="str">
        <f>IF(IFERROR(IF(Str_TypeDonneesCpt1=Cpt_Index,Tab_Compteur_1[[#This Row],[Index]]-E73,Tab_Compteur_1[[#This Row],[Quantité]])/Tab_Compteur_1[[#This Row],[Delta Jour]],"")&lt;0,"",IFERROR(IF(Str_TypeDonneesCpt1=Cpt_Index,Tab_Compteur_1[[#This Row],[Index]]-E73,Tab_Compteur_1[[#This Row],[Quantité]])/Tab_Compteur_1[[#This Row],[Delta Jour]],""))</f>
        <v/>
      </c>
      <c r="H74" t="str">
        <f>IFERROR(Tab_Compteur_1[[#This Row],[Montant]]/Tab_Compteur_1[[#This Row],[Delta Jour]],"")</f>
        <v/>
      </c>
      <c r="I74" s="215" t="str">
        <f t="shared" si="5"/>
        <v/>
      </c>
      <c r="J74" s="192"/>
      <c r="K74" s="38"/>
      <c r="L74" s="38"/>
      <c r="M74" s="38"/>
      <c r="N74" s="38"/>
      <c r="O74"/>
    </row>
    <row r="75" spans="1:15">
      <c r="A75" s="501">
        <f t="shared" si="6"/>
        <v>1</v>
      </c>
      <c r="B75" s="236"/>
      <c r="C75" s="196"/>
      <c r="D75" s="195"/>
      <c r="E75" s="193"/>
      <c r="F75">
        <f t="shared" si="4"/>
        <v>0</v>
      </c>
      <c r="G75" t="str">
        <f>IF(IFERROR(IF(Str_TypeDonneesCpt1=Cpt_Index,Tab_Compteur_1[[#This Row],[Index]]-E74,Tab_Compteur_1[[#This Row],[Quantité]])/Tab_Compteur_1[[#This Row],[Delta Jour]],"")&lt;0,"",IFERROR(IF(Str_TypeDonneesCpt1=Cpt_Index,Tab_Compteur_1[[#This Row],[Index]]-E74,Tab_Compteur_1[[#This Row],[Quantité]])/Tab_Compteur_1[[#This Row],[Delta Jour]],""))</f>
        <v/>
      </c>
      <c r="H75" t="str">
        <f>IFERROR(Tab_Compteur_1[[#This Row],[Montant]]/Tab_Compteur_1[[#This Row],[Delta Jour]],"")</f>
        <v/>
      </c>
      <c r="I75" s="215" t="str">
        <f t="shared" si="5"/>
        <v/>
      </c>
      <c r="J75" s="192"/>
      <c r="K75" s="38"/>
      <c r="L75" s="38"/>
      <c r="M75" s="38"/>
      <c r="N75" s="38"/>
      <c r="O75"/>
    </row>
    <row r="76" spans="1:15">
      <c r="A76" s="501">
        <f t="shared" si="6"/>
        <v>1</v>
      </c>
      <c r="B76" s="236"/>
      <c r="C76" s="196"/>
      <c r="D76" s="195"/>
      <c r="E76" s="193"/>
      <c r="F76">
        <f t="shared" si="4"/>
        <v>0</v>
      </c>
      <c r="G76" t="str">
        <f>IF(IFERROR(IF(Str_TypeDonneesCpt1=Cpt_Index,Tab_Compteur_1[[#This Row],[Index]]-E75,Tab_Compteur_1[[#This Row],[Quantité]])/Tab_Compteur_1[[#This Row],[Delta Jour]],"")&lt;0,"",IFERROR(IF(Str_TypeDonneesCpt1=Cpt_Index,Tab_Compteur_1[[#This Row],[Index]]-E75,Tab_Compteur_1[[#This Row],[Quantité]])/Tab_Compteur_1[[#This Row],[Delta Jour]],""))</f>
        <v/>
      </c>
      <c r="H76" t="str">
        <f>IFERROR(Tab_Compteur_1[[#This Row],[Montant]]/Tab_Compteur_1[[#This Row],[Delta Jour]],"")</f>
        <v/>
      </c>
      <c r="I76" s="215" t="str">
        <f t="shared" si="5"/>
        <v/>
      </c>
      <c r="J76" s="192"/>
      <c r="K76" s="38"/>
      <c r="L76" s="38"/>
      <c r="M76" s="38"/>
      <c r="N76" s="38"/>
      <c r="O76"/>
    </row>
    <row r="77" spans="1:15">
      <c r="A77" s="501">
        <f t="shared" si="6"/>
        <v>1</v>
      </c>
      <c r="B77" s="236"/>
      <c r="C77" s="196"/>
      <c r="D77" s="195"/>
      <c r="E77" s="193"/>
      <c r="F77">
        <f t="shared" si="4"/>
        <v>0</v>
      </c>
      <c r="G77" t="str">
        <f>IF(IFERROR(IF(Str_TypeDonneesCpt1=Cpt_Index,Tab_Compteur_1[[#This Row],[Index]]-E76,Tab_Compteur_1[[#This Row],[Quantité]])/Tab_Compteur_1[[#This Row],[Delta Jour]],"")&lt;0,"",IFERROR(IF(Str_TypeDonneesCpt1=Cpt_Index,Tab_Compteur_1[[#This Row],[Index]]-E76,Tab_Compteur_1[[#This Row],[Quantité]])/Tab_Compteur_1[[#This Row],[Delta Jour]],""))</f>
        <v/>
      </c>
      <c r="H77" t="str">
        <f>IFERROR(Tab_Compteur_1[[#This Row],[Montant]]/Tab_Compteur_1[[#This Row],[Delta Jour]],"")</f>
        <v/>
      </c>
      <c r="I77" s="215" t="str">
        <f t="shared" si="5"/>
        <v/>
      </c>
      <c r="J77" s="192"/>
      <c r="K77" s="38"/>
      <c r="L77" s="38"/>
      <c r="M77" s="38"/>
      <c r="N77" s="38"/>
      <c r="O77"/>
    </row>
    <row r="78" spans="1:15">
      <c r="A78" s="501">
        <f t="shared" si="6"/>
        <v>1</v>
      </c>
      <c r="B78" s="236"/>
      <c r="C78" s="196"/>
      <c r="D78" s="195"/>
      <c r="E78" s="193"/>
      <c r="F78">
        <f t="shared" si="4"/>
        <v>0</v>
      </c>
      <c r="G78" t="str">
        <f>IF(IFERROR(IF(Str_TypeDonneesCpt1=Cpt_Index,Tab_Compteur_1[[#This Row],[Index]]-E77,Tab_Compteur_1[[#This Row],[Quantité]])/Tab_Compteur_1[[#This Row],[Delta Jour]],"")&lt;0,"",IFERROR(IF(Str_TypeDonneesCpt1=Cpt_Index,Tab_Compteur_1[[#This Row],[Index]]-E77,Tab_Compteur_1[[#This Row],[Quantité]])/Tab_Compteur_1[[#This Row],[Delta Jour]],""))</f>
        <v/>
      </c>
      <c r="H78" t="str">
        <f>IFERROR(Tab_Compteur_1[[#This Row],[Montant]]/Tab_Compteur_1[[#This Row],[Delta Jour]],"")</f>
        <v/>
      </c>
      <c r="I78" s="215" t="str">
        <f t="shared" si="5"/>
        <v/>
      </c>
      <c r="J78" s="192"/>
      <c r="K78" s="38"/>
      <c r="L78" s="38"/>
      <c r="M78" s="38"/>
      <c r="N78" s="38"/>
      <c r="O78"/>
    </row>
    <row r="79" spans="1:15">
      <c r="A79" s="501">
        <f t="shared" si="6"/>
        <v>1</v>
      </c>
      <c r="B79" s="236"/>
      <c r="C79" s="196"/>
      <c r="D79" s="195"/>
      <c r="E79" s="193"/>
      <c r="F79">
        <f t="shared" si="4"/>
        <v>0</v>
      </c>
      <c r="G79" t="str">
        <f>IF(IFERROR(IF(Str_TypeDonneesCpt1=Cpt_Index,Tab_Compteur_1[[#This Row],[Index]]-E78,Tab_Compteur_1[[#This Row],[Quantité]])/Tab_Compteur_1[[#This Row],[Delta Jour]],"")&lt;0,"",IFERROR(IF(Str_TypeDonneesCpt1=Cpt_Index,Tab_Compteur_1[[#This Row],[Index]]-E78,Tab_Compteur_1[[#This Row],[Quantité]])/Tab_Compteur_1[[#This Row],[Delta Jour]],""))</f>
        <v/>
      </c>
      <c r="H79" t="str">
        <f>IFERROR(Tab_Compteur_1[[#This Row],[Montant]]/Tab_Compteur_1[[#This Row],[Delta Jour]],"")</f>
        <v/>
      </c>
      <c r="I79" s="215" t="str">
        <f t="shared" si="5"/>
        <v/>
      </c>
      <c r="J79" s="192"/>
      <c r="K79" s="38"/>
      <c r="L79" s="38"/>
      <c r="M79" s="38"/>
      <c r="N79" s="38"/>
      <c r="O79"/>
    </row>
    <row r="80" spans="1:15">
      <c r="A80" s="501">
        <f t="shared" si="6"/>
        <v>1</v>
      </c>
      <c r="B80" s="236"/>
      <c r="C80" s="196"/>
      <c r="D80" s="195"/>
      <c r="E80" s="193"/>
      <c r="F80">
        <f t="shared" si="4"/>
        <v>0</v>
      </c>
      <c r="G80" t="str">
        <f>IF(IFERROR(IF(Str_TypeDonneesCpt1=Cpt_Index,Tab_Compteur_1[[#This Row],[Index]]-E79,Tab_Compteur_1[[#This Row],[Quantité]])/Tab_Compteur_1[[#This Row],[Delta Jour]],"")&lt;0,"",IFERROR(IF(Str_TypeDonneesCpt1=Cpt_Index,Tab_Compteur_1[[#This Row],[Index]]-E79,Tab_Compteur_1[[#This Row],[Quantité]])/Tab_Compteur_1[[#This Row],[Delta Jour]],""))</f>
        <v/>
      </c>
      <c r="H80" t="str">
        <f>IFERROR(Tab_Compteur_1[[#This Row],[Montant]]/Tab_Compteur_1[[#This Row],[Delta Jour]],"")</f>
        <v/>
      </c>
      <c r="I80" s="215" t="str">
        <f t="shared" si="5"/>
        <v/>
      </c>
      <c r="J80" s="192"/>
      <c r="K80" s="38"/>
      <c r="L80" s="38"/>
      <c r="M80" s="38"/>
      <c r="N80" s="38"/>
      <c r="O80"/>
    </row>
    <row r="81" spans="1:15">
      <c r="A81" s="501">
        <f t="shared" si="6"/>
        <v>1</v>
      </c>
      <c r="B81" s="236"/>
      <c r="C81" s="196"/>
      <c r="D81" s="195"/>
      <c r="E81" s="193"/>
      <c r="F81">
        <f t="shared" si="4"/>
        <v>0</v>
      </c>
      <c r="G81" t="str">
        <f>IF(IFERROR(IF(Str_TypeDonneesCpt1=Cpt_Index,Tab_Compteur_1[[#This Row],[Index]]-E80,Tab_Compteur_1[[#This Row],[Quantité]])/Tab_Compteur_1[[#This Row],[Delta Jour]],"")&lt;0,"",IFERROR(IF(Str_TypeDonneesCpt1=Cpt_Index,Tab_Compteur_1[[#This Row],[Index]]-E80,Tab_Compteur_1[[#This Row],[Quantité]])/Tab_Compteur_1[[#This Row],[Delta Jour]],""))</f>
        <v/>
      </c>
      <c r="H81" t="str">
        <f>IFERROR(Tab_Compteur_1[[#This Row],[Montant]]/Tab_Compteur_1[[#This Row],[Delta Jour]],"")</f>
        <v/>
      </c>
      <c r="I81" s="215" t="str">
        <f t="shared" si="5"/>
        <v/>
      </c>
      <c r="J81" s="192"/>
      <c r="K81" s="38"/>
      <c r="L81" s="38"/>
      <c r="M81" s="38"/>
      <c r="N81" s="38"/>
      <c r="O81"/>
    </row>
    <row r="82" spans="1:15">
      <c r="A82" s="501">
        <f t="shared" si="6"/>
        <v>1</v>
      </c>
      <c r="B82" s="236"/>
      <c r="C82" s="196"/>
      <c r="D82" s="195"/>
      <c r="E82" s="193"/>
      <c r="F82">
        <f t="shared" si="4"/>
        <v>0</v>
      </c>
      <c r="G82" t="str">
        <f>IF(IFERROR(IF(Str_TypeDonneesCpt1=Cpt_Index,Tab_Compteur_1[[#This Row],[Index]]-E81,Tab_Compteur_1[[#This Row],[Quantité]])/Tab_Compteur_1[[#This Row],[Delta Jour]],"")&lt;0,"",IFERROR(IF(Str_TypeDonneesCpt1=Cpt_Index,Tab_Compteur_1[[#This Row],[Index]]-E81,Tab_Compteur_1[[#This Row],[Quantité]])/Tab_Compteur_1[[#This Row],[Delta Jour]],""))</f>
        <v/>
      </c>
      <c r="H82" t="str">
        <f>IFERROR(Tab_Compteur_1[[#This Row],[Montant]]/Tab_Compteur_1[[#This Row],[Delta Jour]],"")</f>
        <v/>
      </c>
      <c r="I82" s="215" t="str">
        <f t="shared" si="5"/>
        <v/>
      </c>
      <c r="J82" s="192"/>
      <c r="K82" s="38"/>
      <c r="L82" s="38"/>
      <c r="M82" s="38"/>
      <c r="N82" s="38"/>
      <c r="O82"/>
    </row>
    <row r="83" spans="1:15">
      <c r="A83" s="501">
        <f t="shared" si="6"/>
        <v>1</v>
      </c>
      <c r="B83" s="236"/>
      <c r="C83" s="196"/>
      <c r="D83" s="195"/>
      <c r="E83" s="193"/>
      <c r="F83">
        <f t="shared" si="4"/>
        <v>0</v>
      </c>
      <c r="G83" t="str">
        <f>IF(IFERROR(IF(Str_TypeDonneesCpt1=Cpt_Index,Tab_Compteur_1[[#This Row],[Index]]-E82,Tab_Compteur_1[[#This Row],[Quantité]])/Tab_Compteur_1[[#This Row],[Delta Jour]],"")&lt;0,"",IFERROR(IF(Str_TypeDonneesCpt1=Cpt_Index,Tab_Compteur_1[[#This Row],[Index]]-E82,Tab_Compteur_1[[#This Row],[Quantité]])/Tab_Compteur_1[[#This Row],[Delta Jour]],""))</f>
        <v/>
      </c>
      <c r="H83" t="str">
        <f>IFERROR(Tab_Compteur_1[[#This Row],[Montant]]/Tab_Compteur_1[[#This Row],[Delta Jour]],"")</f>
        <v/>
      </c>
      <c r="I83" s="215" t="str">
        <f t="shared" si="5"/>
        <v/>
      </c>
      <c r="J83" s="192"/>
      <c r="K83" s="38"/>
      <c r="L83" s="38"/>
      <c r="M83" s="38"/>
      <c r="N83" s="38"/>
      <c r="O83"/>
    </row>
    <row r="84" spans="1:15">
      <c r="A84" s="501">
        <f t="shared" si="6"/>
        <v>1</v>
      </c>
      <c r="B84" s="236"/>
      <c r="C84" s="196"/>
      <c r="D84" s="195"/>
      <c r="E84" s="193"/>
      <c r="F84">
        <f t="shared" si="4"/>
        <v>0</v>
      </c>
      <c r="G84" t="str">
        <f>IF(IFERROR(IF(Str_TypeDonneesCpt1=Cpt_Index,Tab_Compteur_1[[#This Row],[Index]]-E83,Tab_Compteur_1[[#This Row],[Quantité]])/Tab_Compteur_1[[#This Row],[Delta Jour]],"")&lt;0,"",IFERROR(IF(Str_TypeDonneesCpt1=Cpt_Index,Tab_Compteur_1[[#This Row],[Index]]-E83,Tab_Compteur_1[[#This Row],[Quantité]])/Tab_Compteur_1[[#This Row],[Delta Jour]],""))</f>
        <v/>
      </c>
      <c r="H84" t="str">
        <f>IFERROR(Tab_Compteur_1[[#This Row],[Montant]]/Tab_Compteur_1[[#This Row],[Delta Jour]],"")</f>
        <v/>
      </c>
      <c r="I84" s="215" t="str">
        <f t="shared" si="5"/>
        <v/>
      </c>
      <c r="J84" s="192"/>
      <c r="K84" s="38"/>
      <c r="L84" s="38"/>
      <c r="M84" s="38"/>
      <c r="N84" s="38"/>
      <c r="O84"/>
    </row>
    <row r="85" spans="1:15">
      <c r="A85" s="501">
        <f t="shared" si="6"/>
        <v>1</v>
      </c>
      <c r="B85" s="236"/>
      <c r="C85" s="196"/>
      <c r="D85" s="195"/>
      <c r="E85" s="193"/>
      <c r="F85">
        <f t="shared" si="4"/>
        <v>0</v>
      </c>
      <c r="G85" t="str">
        <f>IF(IFERROR(IF(Str_TypeDonneesCpt1=Cpt_Index,Tab_Compteur_1[[#This Row],[Index]]-E84,Tab_Compteur_1[[#This Row],[Quantité]])/Tab_Compteur_1[[#This Row],[Delta Jour]],"")&lt;0,"",IFERROR(IF(Str_TypeDonneesCpt1=Cpt_Index,Tab_Compteur_1[[#This Row],[Index]]-E84,Tab_Compteur_1[[#This Row],[Quantité]])/Tab_Compteur_1[[#This Row],[Delta Jour]],""))</f>
        <v/>
      </c>
      <c r="H85" t="str">
        <f>IFERROR(Tab_Compteur_1[[#This Row],[Montant]]/Tab_Compteur_1[[#This Row],[Delta Jour]],"")</f>
        <v/>
      </c>
      <c r="I85" s="215" t="str">
        <f t="shared" si="5"/>
        <v/>
      </c>
      <c r="J85" s="192"/>
      <c r="K85" s="38"/>
      <c r="L85" s="38"/>
      <c r="M85" s="38"/>
      <c r="N85" s="38"/>
      <c r="O85"/>
    </row>
    <row r="86" spans="1:15">
      <c r="A86" s="501">
        <f t="shared" si="6"/>
        <v>1</v>
      </c>
      <c r="B86" s="236"/>
      <c r="C86" s="196"/>
      <c r="D86" s="195"/>
      <c r="E86" s="193"/>
      <c r="F86">
        <f t="shared" si="4"/>
        <v>0</v>
      </c>
      <c r="G86" t="str">
        <f>IF(IFERROR(IF(Str_TypeDonneesCpt1=Cpt_Index,Tab_Compteur_1[[#This Row],[Index]]-E85,Tab_Compteur_1[[#This Row],[Quantité]])/Tab_Compteur_1[[#This Row],[Delta Jour]],"")&lt;0,"",IFERROR(IF(Str_TypeDonneesCpt1=Cpt_Index,Tab_Compteur_1[[#This Row],[Index]]-E85,Tab_Compteur_1[[#This Row],[Quantité]])/Tab_Compteur_1[[#This Row],[Delta Jour]],""))</f>
        <v/>
      </c>
      <c r="H86" t="str">
        <f>IFERROR(Tab_Compteur_1[[#This Row],[Montant]]/Tab_Compteur_1[[#This Row],[Delta Jour]],"")</f>
        <v/>
      </c>
      <c r="I86" s="215" t="str">
        <f t="shared" si="5"/>
        <v/>
      </c>
      <c r="J86" s="192"/>
      <c r="K86" s="38"/>
      <c r="L86" s="38"/>
      <c r="M86" s="38"/>
      <c r="N86" s="38"/>
      <c r="O86"/>
    </row>
    <row r="87" spans="1:15">
      <c r="A87" s="501">
        <f t="shared" si="6"/>
        <v>1</v>
      </c>
      <c r="B87" s="236"/>
      <c r="C87" s="196"/>
      <c r="D87" s="195"/>
      <c r="E87" s="193"/>
      <c r="F87">
        <f t="shared" si="4"/>
        <v>0</v>
      </c>
      <c r="G87" t="str">
        <f>IF(IFERROR(IF(Str_TypeDonneesCpt1=Cpt_Index,Tab_Compteur_1[[#This Row],[Index]]-E86,Tab_Compteur_1[[#This Row],[Quantité]])/Tab_Compteur_1[[#This Row],[Delta Jour]],"")&lt;0,"",IFERROR(IF(Str_TypeDonneesCpt1=Cpt_Index,Tab_Compteur_1[[#This Row],[Index]]-E86,Tab_Compteur_1[[#This Row],[Quantité]])/Tab_Compteur_1[[#This Row],[Delta Jour]],""))</f>
        <v/>
      </c>
      <c r="H87" t="str">
        <f>IFERROR(Tab_Compteur_1[[#This Row],[Montant]]/Tab_Compteur_1[[#This Row],[Delta Jour]],"")</f>
        <v/>
      </c>
      <c r="I87" s="215" t="str">
        <f t="shared" si="5"/>
        <v/>
      </c>
      <c r="J87" s="192"/>
      <c r="K87" s="38"/>
      <c r="L87" s="38"/>
      <c r="M87" s="38"/>
      <c r="N87" s="38"/>
      <c r="O87"/>
    </row>
    <row r="88" spans="1:15">
      <c r="A88" s="501">
        <f t="shared" si="6"/>
        <v>1</v>
      </c>
      <c r="B88" s="236"/>
      <c r="C88" s="196"/>
      <c r="D88" s="195"/>
      <c r="E88" s="193"/>
      <c r="F88">
        <f t="shared" si="4"/>
        <v>0</v>
      </c>
      <c r="G88" t="str">
        <f>IF(IFERROR(IF(Str_TypeDonneesCpt1=Cpt_Index,Tab_Compteur_1[[#This Row],[Index]]-E87,Tab_Compteur_1[[#This Row],[Quantité]])/Tab_Compteur_1[[#This Row],[Delta Jour]],"")&lt;0,"",IFERROR(IF(Str_TypeDonneesCpt1=Cpt_Index,Tab_Compteur_1[[#This Row],[Index]]-E87,Tab_Compteur_1[[#This Row],[Quantité]])/Tab_Compteur_1[[#This Row],[Delta Jour]],""))</f>
        <v/>
      </c>
      <c r="H88" t="str">
        <f>IFERROR(Tab_Compteur_1[[#This Row],[Montant]]/Tab_Compteur_1[[#This Row],[Delta Jour]],"")</f>
        <v/>
      </c>
      <c r="I88" s="215" t="str">
        <f t="shared" si="5"/>
        <v/>
      </c>
      <c r="J88" s="192"/>
      <c r="K88" s="38"/>
      <c r="L88" s="38"/>
      <c r="M88" s="38"/>
      <c r="N88" s="38"/>
      <c r="O88"/>
    </row>
    <row r="89" spans="1:15">
      <c r="A89" s="501">
        <f t="shared" si="6"/>
        <v>1</v>
      </c>
      <c r="B89" s="236"/>
      <c r="C89" s="196"/>
      <c r="D89" s="195"/>
      <c r="E89" s="193"/>
      <c r="F89">
        <f t="shared" si="4"/>
        <v>0</v>
      </c>
      <c r="G89" t="str">
        <f>IF(IFERROR(IF(Str_TypeDonneesCpt1=Cpt_Index,Tab_Compteur_1[[#This Row],[Index]]-E88,Tab_Compteur_1[[#This Row],[Quantité]])/Tab_Compteur_1[[#This Row],[Delta Jour]],"")&lt;0,"",IFERROR(IF(Str_TypeDonneesCpt1=Cpt_Index,Tab_Compteur_1[[#This Row],[Index]]-E88,Tab_Compteur_1[[#This Row],[Quantité]])/Tab_Compteur_1[[#This Row],[Delta Jour]],""))</f>
        <v/>
      </c>
      <c r="H89" t="str">
        <f>IFERROR(Tab_Compteur_1[[#This Row],[Montant]]/Tab_Compteur_1[[#This Row],[Delta Jour]],"")</f>
        <v/>
      </c>
      <c r="I89" s="215" t="str">
        <f t="shared" si="5"/>
        <v/>
      </c>
      <c r="J89" s="192"/>
      <c r="K89" s="38"/>
      <c r="L89" s="38"/>
      <c r="M89" s="38"/>
      <c r="N89" s="38"/>
      <c r="O89"/>
    </row>
    <row r="90" spans="1:15">
      <c r="A90" s="501">
        <f t="shared" si="6"/>
        <v>1</v>
      </c>
      <c r="B90" s="236"/>
      <c r="C90" s="196"/>
      <c r="D90" s="195"/>
      <c r="E90" s="193"/>
      <c r="F90">
        <f t="shared" si="4"/>
        <v>0</v>
      </c>
      <c r="G90" t="str">
        <f>IF(IFERROR(IF(Str_TypeDonneesCpt1=Cpt_Index,Tab_Compteur_1[[#This Row],[Index]]-E89,Tab_Compteur_1[[#This Row],[Quantité]])/Tab_Compteur_1[[#This Row],[Delta Jour]],"")&lt;0,"",IFERROR(IF(Str_TypeDonneesCpt1=Cpt_Index,Tab_Compteur_1[[#This Row],[Index]]-E89,Tab_Compteur_1[[#This Row],[Quantité]])/Tab_Compteur_1[[#This Row],[Delta Jour]],""))</f>
        <v/>
      </c>
      <c r="H90" t="str">
        <f>IFERROR(Tab_Compteur_1[[#This Row],[Montant]]/Tab_Compteur_1[[#This Row],[Delta Jour]],"")</f>
        <v/>
      </c>
      <c r="I90" s="215" t="str">
        <f t="shared" si="5"/>
        <v/>
      </c>
      <c r="J90" s="192"/>
      <c r="K90" s="38"/>
      <c r="L90" s="38"/>
      <c r="M90" s="38"/>
      <c r="N90" s="38"/>
      <c r="O90"/>
    </row>
    <row r="91" spans="1:15">
      <c r="A91" s="501">
        <f t="shared" si="6"/>
        <v>1</v>
      </c>
      <c r="B91" s="236"/>
      <c r="C91" s="196"/>
      <c r="D91" s="195"/>
      <c r="E91" s="193"/>
      <c r="F91">
        <f t="shared" si="4"/>
        <v>0</v>
      </c>
      <c r="G91" t="str">
        <f>IF(IFERROR(IF(Str_TypeDonneesCpt1=Cpt_Index,Tab_Compteur_1[[#This Row],[Index]]-E90,Tab_Compteur_1[[#This Row],[Quantité]])/Tab_Compteur_1[[#This Row],[Delta Jour]],"")&lt;0,"",IFERROR(IF(Str_TypeDonneesCpt1=Cpt_Index,Tab_Compteur_1[[#This Row],[Index]]-E90,Tab_Compteur_1[[#This Row],[Quantité]])/Tab_Compteur_1[[#This Row],[Delta Jour]],""))</f>
        <v/>
      </c>
      <c r="H91" t="str">
        <f>IFERROR(Tab_Compteur_1[[#This Row],[Montant]]/Tab_Compteur_1[[#This Row],[Delta Jour]],"")</f>
        <v/>
      </c>
      <c r="I91" s="215" t="str">
        <f t="shared" si="5"/>
        <v/>
      </c>
      <c r="J91" s="192"/>
      <c r="K91" s="38"/>
      <c r="L91" s="38"/>
      <c r="M91" s="38"/>
      <c r="N91" s="38"/>
      <c r="O91"/>
    </row>
    <row r="92" spans="1:15">
      <c r="A92" s="501">
        <f t="shared" si="6"/>
        <v>1</v>
      </c>
      <c r="B92" s="236"/>
      <c r="C92" s="196"/>
      <c r="D92" s="195"/>
      <c r="E92" s="193"/>
      <c r="F92">
        <f t="shared" si="4"/>
        <v>0</v>
      </c>
      <c r="G92" t="str">
        <f>IF(IFERROR(IF(Str_TypeDonneesCpt1=Cpt_Index,Tab_Compteur_1[[#This Row],[Index]]-E91,Tab_Compteur_1[[#This Row],[Quantité]])/Tab_Compteur_1[[#This Row],[Delta Jour]],"")&lt;0,"",IFERROR(IF(Str_TypeDonneesCpt1=Cpt_Index,Tab_Compteur_1[[#This Row],[Index]]-E91,Tab_Compteur_1[[#This Row],[Quantité]])/Tab_Compteur_1[[#This Row],[Delta Jour]],""))</f>
        <v/>
      </c>
      <c r="H92" t="str">
        <f>IFERROR(Tab_Compteur_1[[#This Row],[Montant]]/Tab_Compteur_1[[#This Row],[Delta Jour]],"")</f>
        <v/>
      </c>
      <c r="I92" s="215" t="str">
        <f t="shared" si="5"/>
        <v/>
      </c>
      <c r="J92" s="192"/>
      <c r="K92" s="38"/>
      <c r="L92" s="38"/>
      <c r="M92" s="38"/>
      <c r="N92" s="38"/>
      <c r="O92"/>
    </row>
    <row r="93" spans="1:15">
      <c r="A93" s="501">
        <f t="shared" si="6"/>
        <v>1</v>
      </c>
      <c r="B93" s="236"/>
      <c r="C93" s="196"/>
      <c r="D93" s="195"/>
      <c r="E93" s="193"/>
      <c r="F93">
        <f t="shared" si="4"/>
        <v>0</v>
      </c>
      <c r="G93" t="str">
        <f>IF(IFERROR(IF(Str_TypeDonneesCpt1=Cpt_Index,Tab_Compteur_1[[#This Row],[Index]]-E92,Tab_Compteur_1[[#This Row],[Quantité]])/Tab_Compteur_1[[#This Row],[Delta Jour]],"")&lt;0,"",IFERROR(IF(Str_TypeDonneesCpt1=Cpt_Index,Tab_Compteur_1[[#This Row],[Index]]-E92,Tab_Compteur_1[[#This Row],[Quantité]])/Tab_Compteur_1[[#This Row],[Delta Jour]],""))</f>
        <v/>
      </c>
      <c r="H93" t="str">
        <f>IFERROR(Tab_Compteur_1[[#This Row],[Montant]]/Tab_Compteur_1[[#This Row],[Delta Jour]],"")</f>
        <v/>
      </c>
      <c r="I93" s="215" t="str">
        <f t="shared" si="5"/>
        <v/>
      </c>
      <c r="J93" s="192"/>
      <c r="K93" s="38"/>
      <c r="L93" s="38"/>
      <c r="M93" s="38"/>
      <c r="N93" s="38"/>
      <c r="O93"/>
    </row>
    <row r="94" spans="1:15">
      <c r="A94" s="501">
        <f t="shared" si="6"/>
        <v>1</v>
      </c>
      <c r="B94" s="236"/>
      <c r="C94" s="196"/>
      <c r="D94" s="195"/>
      <c r="E94" s="193"/>
      <c r="F94">
        <f t="shared" si="4"/>
        <v>0</v>
      </c>
      <c r="G94" t="str">
        <f>IF(IFERROR(IF(Str_TypeDonneesCpt1=Cpt_Index,Tab_Compteur_1[[#This Row],[Index]]-E93,Tab_Compteur_1[[#This Row],[Quantité]])/Tab_Compteur_1[[#This Row],[Delta Jour]],"")&lt;0,"",IFERROR(IF(Str_TypeDonneesCpt1=Cpt_Index,Tab_Compteur_1[[#This Row],[Index]]-E93,Tab_Compteur_1[[#This Row],[Quantité]])/Tab_Compteur_1[[#This Row],[Delta Jour]],""))</f>
        <v/>
      </c>
      <c r="H94" t="str">
        <f>IFERROR(Tab_Compteur_1[[#This Row],[Montant]]/Tab_Compteur_1[[#This Row],[Delta Jour]],"")</f>
        <v/>
      </c>
      <c r="I94" s="215" t="str">
        <f t="shared" si="5"/>
        <v/>
      </c>
      <c r="J94" s="192"/>
      <c r="K94" s="38"/>
      <c r="L94" s="38"/>
      <c r="M94" s="38"/>
      <c r="N94" s="38"/>
      <c r="O94"/>
    </row>
    <row r="95" spans="1:15">
      <c r="A95" s="501">
        <f t="shared" si="6"/>
        <v>1</v>
      </c>
      <c r="B95" s="236"/>
      <c r="C95" s="196"/>
      <c r="D95" s="195"/>
      <c r="E95" s="193"/>
      <c r="F95">
        <f t="shared" si="4"/>
        <v>0</v>
      </c>
      <c r="G95" t="str">
        <f>IF(IFERROR(IF(Str_TypeDonneesCpt1=Cpt_Index,Tab_Compteur_1[[#This Row],[Index]]-E94,Tab_Compteur_1[[#This Row],[Quantité]])/Tab_Compteur_1[[#This Row],[Delta Jour]],"")&lt;0,"",IFERROR(IF(Str_TypeDonneesCpt1=Cpt_Index,Tab_Compteur_1[[#This Row],[Index]]-E94,Tab_Compteur_1[[#This Row],[Quantité]])/Tab_Compteur_1[[#This Row],[Delta Jour]],""))</f>
        <v/>
      </c>
      <c r="H95" t="str">
        <f>IFERROR(Tab_Compteur_1[[#This Row],[Montant]]/Tab_Compteur_1[[#This Row],[Delta Jour]],"")</f>
        <v/>
      </c>
      <c r="I95" s="215" t="str">
        <f t="shared" si="5"/>
        <v/>
      </c>
      <c r="J95" s="192"/>
      <c r="K95" s="38"/>
      <c r="L95" s="38"/>
      <c r="M95" s="38"/>
      <c r="N95" s="38"/>
      <c r="O95"/>
    </row>
    <row r="96" spans="1:15">
      <c r="A96" s="501">
        <f t="shared" si="6"/>
        <v>1</v>
      </c>
      <c r="B96" s="236"/>
      <c r="C96" s="196"/>
      <c r="D96" s="195"/>
      <c r="E96" s="193"/>
      <c r="F96">
        <f t="shared" si="4"/>
        <v>0</v>
      </c>
      <c r="G96" t="str">
        <f>IF(IFERROR(IF(Str_TypeDonneesCpt1=Cpt_Index,Tab_Compteur_1[[#This Row],[Index]]-E95,Tab_Compteur_1[[#This Row],[Quantité]])/Tab_Compteur_1[[#This Row],[Delta Jour]],"")&lt;0,"",IFERROR(IF(Str_TypeDonneesCpt1=Cpt_Index,Tab_Compteur_1[[#This Row],[Index]]-E95,Tab_Compteur_1[[#This Row],[Quantité]])/Tab_Compteur_1[[#This Row],[Delta Jour]],""))</f>
        <v/>
      </c>
      <c r="H96" t="str">
        <f>IFERROR(Tab_Compteur_1[[#This Row],[Montant]]/Tab_Compteur_1[[#This Row],[Delta Jour]],"")</f>
        <v/>
      </c>
      <c r="I96" s="215" t="str">
        <f t="shared" si="5"/>
        <v/>
      </c>
      <c r="J96" s="192"/>
      <c r="K96" s="38"/>
      <c r="L96" s="38"/>
      <c r="M96" s="38"/>
      <c r="N96" s="38"/>
      <c r="O96"/>
    </row>
    <row r="97" spans="1:15">
      <c r="A97" s="501">
        <f t="shared" si="6"/>
        <v>1</v>
      </c>
      <c r="B97" s="236"/>
      <c r="C97" s="196"/>
      <c r="D97" s="195"/>
      <c r="E97" s="193"/>
      <c r="F97">
        <f t="shared" si="4"/>
        <v>0</v>
      </c>
      <c r="G97" t="str">
        <f>IF(IFERROR(IF(Str_TypeDonneesCpt1=Cpt_Index,Tab_Compteur_1[[#This Row],[Index]]-E96,Tab_Compteur_1[[#This Row],[Quantité]])/Tab_Compteur_1[[#This Row],[Delta Jour]],"")&lt;0,"",IFERROR(IF(Str_TypeDonneesCpt1=Cpt_Index,Tab_Compteur_1[[#This Row],[Index]]-E96,Tab_Compteur_1[[#This Row],[Quantité]])/Tab_Compteur_1[[#This Row],[Delta Jour]],""))</f>
        <v/>
      </c>
      <c r="H97" t="str">
        <f>IFERROR(Tab_Compteur_1[[#This Row],[Montant]]/Tab_Compteur_1[[#This Row],[Delta Jour]],"")</f>
        <v/>
      </c>
      <c r="I97" s="215" t="str">
        <f t="shared" si="5"/>
        <v/>
      </c>
      <c r="J97" s="192"/>
      <c r="K97" s="38"/>
      <c r="L97" s="38"/>
      <c r="M97" s="38"/>
      <c r="N97" s="38"/>
      <c r="O97"/>
    </row>
    <row r="98" spans="1:15">
      <c r="A98" s="501">
        <f t="shared" si="6"/>
        <v>1</v>
      </c>
      <c r="B98" s="236"/>
      <c r="C98" s="196"/>
      <c r="D98" s="195"/>
      <c r="E98" s="193"/>
      <c r="F98">
        <f t="shared" si="4"/>
        <v>0</v>
      </c>
      <c r="G98" t="str">
        <f>IF(IFERROR(IF(Str_TypeDonneesCpt1=Cpt_Index,Tab_Compteur_1[[#This Row],[Index]]-E97,Tab_Compteur_1[[#This Row],[Quantité]])/Tab_Compteur_1[[#This Row],[Delta Jour]],"")&lt;0,"",IFERROR(IF(Str_TypeDonneesCpt1=Cpt_Index,Tab_Compteur_1[[#This Row],[Index]]-E97,Tab_Compteur_1[[#This Row],[Quantité]])/Tab_Compteur_1[[#This Row],[Delta Jour]],""))</f>
        <v/>
      </c>
      <c r="H98" t="str">
        <f>IFERROR(Tab_Compteur_1[[#This Row],[Montant]]/Tab_Compteur_1[[#This Row],[Delta Jour]],"")</f>
        <v/>
      </c>
      <c r="I98" s="215" t="str">
        <f t="shared" si="5"/>
        <v/>
      </c>
      <c r="J98" s="192"/>
      <c r="K98" s="38"/>
      <c r="L98" s="38"/>
      <c r="M98" s="38"/>
      <c r="N98" s="38"/>
      <c r="O98"/>
    </row>
    <row r="99" spans="1:15">
      <c r="A99" s="501">
        <f t="shared" si="6"/>
        <v>1</v>
      </c>
      <c r="B99" s="236"/>
      <c r="C99" s="196"/>
      <c r="D99" s="195"/>
      <c r="E99" s="193"/>
      <c r="F99">
        <f t="shared" si="4"/>
        <v>0</v>
      </c>
      <c r="G99" t="str">
        <f>IF(IFERROR(IF(Str_TypeDonneesCpt1=Cpt_Index,Tab_Compteur_1[[#This Row],[Index]]-E98,Tab_Compteur_1[[#This Row],[Quantité]])/Tab_Compteur_1[[#This Row],[Delta Jour]],"")&lt;0,"",IFERROR(IF(Str_TypeDonneesCpt1=Cpt_Index,Tab_Compteur_1[[#This Row],[Index]]-E98,Tab_Compteur_1[[#This Row],[Quantité]])/Tab_Compteur_1[[#This Row],[Delta Jour]],""))</f>
        <v/>
      </c>
      <c r="H99" t="str">
        <f>IFERROR(Tab_Compteur_1[[#This Row],[Montant]]/Tab_Compteur_1[[#This Row],[Delta Jour]],"")</f>
        <v/>
      </c>
      <c r="I99" s="215" t="str">
        <f t="shared" si="5"/>
        <v/>
      </c>
      <c r="J99" s="192"/>
      <c r="K99" s="38"/>
      <c r="L99" s="38"/>
      <c r="M99" s="38"/>
      <c r="N99" s="38"/>
      <c r="O99"/>
    </row>
    <row r="100" spans="1:15">
      <c r="A100" s="501">
        <f t="shared" si="6"/>
        <v>1</v>
      </c>
      <c r="B100" s="236"/>
      <c r="C100" s="196"/>
      <c r="D100" s="195"/>
      <c r="E100" s="193"/>
      <c r="F100">
        <f t="shared" si="4"/>
        <v>0</v>
      </c>
      <c r="G100" t="str">
        <f>IF(IFERROR(IF(Str_TypeDonneesCpt1=Cpt_Index,Tab_Compteur_1[[#This Row],[Index]]-E99,Tab_Compteur_1[[#This Row],[Quantité]])/Tab_Compteur_1[[#This Row],[Delta Jour]],"")&lt;0,"",IFERROR(IF(Str_TypeDonneesCpt1=Cpt_Index,Tab_Compteur_1[[#This Row],[Index]]-E99,Tab_Compteur_1[[#This Row],[Quantité]])/Tab_Compteur_1[[#This Row],[Delta Jour]],""))</f>
        <v/>
      </c>
      <c r="H100" t="str">
        <f>IFERROR(Tab_Compteur_1[[#This Row],[Montant]]/Tab_Compteur_1[[#This Row],[Delta Jour]],"")</f>
        <v/>
      </c>
      <c r="I100" s="215" t="str">
        <f t="shared" si="5"/>
        <v/>
      </c>
      <c r="J100" s="192"/>
      <c r="K100" s="38"/>
      <c r="L100" s="38"/>
      <c r="M100" s="38"/>
      <c r="N100" s="38"/>
      <c r="O100"/>
    </row>
    <row r="101" spans="1:15">
      <c r="A101" s="501">
        <f t="shared" si="6"/>
        <v>1</v>
      </c>
      <c r="B101" s="236"/>
      <c r="C101" s="196"/>
      <c r="D101" s="195"/>
      <c r="E101" s="193"/>
      <c r="F101">
        <f t="shared" si="4"/>
        <v>0</v>
      </c>
      <c r="G101" t="str">
        <f>IF(IFERROR(IF(Str_TypeDonneesCpt1=Cpt_Index,Tab_Compteur_1[[#This Row],[Index]]-E100,Tab_Compteur_1[[#This Row],[Quantité]])/Tab_Compteur_1[[#This Row],[Delta Jour]],"")&lt;0,"",IFERROR(IF(Str_TypeDonneesCpt1=Cpt_Index,Tab_Compteur_1[[#This Row],[Index]]-E100,Tab_Compteur_1[[#This Row],[Quantité]])/Tab_Compteur_1[[#This Row],[Delta Jour]],""))</f>
        <v/>
      </c>
      <c r="H101" t="str">
        <f>IFERROR(Tab_Compteur_1[[#This Row],[Montant]]/Tab_Compteur_1[[#This Row],[Delta Jour]],"")</f>
        <v/>
      </c>
      <c r="I101" s="215" t="str">
        <f t="shared" si="5"/>
        <v/>
      </c>
      <c r="J101" s="192"/>
      <c r="K101" s="38"/>
      <c r="L101" s="38"/>
      <c r="M101" s="38"/>
      <c r="N101" s="38"/>
      <c r="O101"/>
    </row>
    <row r="102" spans="1:15">
      <c r="A102" s="501">
        <f t="shared" si="6"/>
        <v>1</v>
      </c>
      <c r="B102" s="236"/>
      <c r="C102" s="196"/>
      <c r="D102" s="195"/>
      <c r="E102" s="193"/>
      <c r="F102">
        <f t="shared" si="4"/>
        <v>0</v>
      </c>
      <c r="G102" t="str">
        <f>IF(IFERROR(IF(Str_TypeDonneesCpt1=Cpt_Index,Tab_Compteur_1[[#This Row],[Index]]-E101,Tab_Compteur_1[[#This Row],[Quantité]])/Tab_Compteur_1[[#This Row],[Delta Jour]],"")&lt;0,"",IFERROR(IF(Str_TypeDonneesCpt1=Cpt_Index,Tab_Compteur_1[[#This Row],[Index]]-E101,Tab_Compteur_1[[#This Row],[Quantité]])/Tab_Compteur_1[[#This Row],[Delta Jour]],""))</f>
        <v/>
      </c>
      <c r="H102" t="str">
        <f>IFERROR(Tab_Compteur_1[[#This Row],[Montant]]/Tab_Compteur_1[[#This Row],[Delta Jour]],"")</f>
        <v/>
      </c>
      <c r="I102" s="215" t="str">
        <f t="shared" si="5"/>
        <v/>
      </c>
      <c r="J102" s="192"/>
      <c r="K102" s="38"/>
      <c r="L102" s="38"/>
      <c r="M102" s="38"/>
      <c r="N102" s="38"/>
      <c r="O102"/>
    </row>
    <row r="103" spans="1:15">
      <c r="A103" s="501">
        <f t="shared" si="6"/>
        <v>1</v>
      </c>
      <c r="B103" s="236"/>
      <c r="C103" s="196"/>
      <c r="D103" s="195"/>
      <c r="E103" s="193"/>
      <c r="F103">
        <f t="shared" si="4"/>
        <v>0</v>
      </c>
      <c r="G103" t="str">
        <f>IF(IFERROR(IF(Str_TypeDonneesCpt1=Cpt_Index,Tab_Compteur_1[[#This Row],[Index]]-E102,Tab_Compteur_1[[#This Row],[Quantité]])/Tab_Compteur_1[[#This Row],[Delta Jour]],"")&lt;0,"",IFERROR(IF(Str_TypeDonneesCpt1=Cpt_Index,Tab_Compteur_1[[#This Row],[Index]]-E102,Tab_Compteur_1[[#This Row],[Quantité]])/Tab_Compteur_1[[#This Row],[Delta Jour]],""))</f>
        <v/>
      </c>
      <c r="H103" t="str">
        <f>IFERROR(Tab_Compteur_1[[#This Row],[Montant]]/Tab_Compteur_1[[#This Row],[Delta Jour]],"")</f>
        <v/>
      </c>
      <c r="I103" s="215" t="str">
        <f t="shared" si="5"/>
        <v/>
      </c>
      <c r="J103" s="192"/>
      <c r="K103" s="38"/>
      <c r="L103" s="38"/>
      <c r="M103" s="38"/>
      <c r="N103" s="38"/>
      <c r="O103"/>
    </row>
    <row r="104" spans="1:15">
      <c r="A104" s="501">
        <f t="shared" si="6"/>
        <v>1</v>
      </c>
      <c r="B104" s="236"/>
      <c r="C104" s="196"/>
      <c r="D104" s="195"/>
      <c r="E104" s="193"/>
      <c r="F104">
        <f t="shared" si="4"/>
        <v>0</v>
      </c>
      <c r="G104" t="str">
        <f>IF(IFERROR(IF(Str_TypeDonneesCpt1=Cpt_Index,Tab_Compteur_1[[#This Row],[Index]]-E103,Tab_Compteur_1[[#This Row],[Quantité]])/Tab_Compteur_1[[#This Row],[Delta Jour]],"")&lt;0,"",IFERROR(IF(Str_TypeDonneesCpt1=Cpt_Index,Tab_Compteur_1[[#This Row],[Index]]-E103,Tab_Compteur_1[[#This Row],[Quantité]])/Tab_Compteur_1[[#This Row],[Delta Jour]],""))</f>
        <v/>
      </c>
      <c r="H104" t="str">
        <f>IFERROR(Tab_Compteur_1[[#This Row],[Montant]]/Tab_Compteur_1[[#This Row],[Delta Jour]],"")</f>
        <v/>
      </c>
      <c r="I104" s="215" t="str">
        <f t="shared" si="5"/>
        <v/>
      </c>
      <c r="J104" s="192"/>
      <c r="K104" s="38"/>
      <c r="L104" s="38"/>
      <c r="M104" s="38"/>
      <c r="N104" s="38"/>
      <c r="O104"/>
    </row>
    <row r="105" spans="1:15">
      <c r="A105" s="501">
        <f t="shared" si="6"/>
        <v>1</v>
      </c>
      <c r="B105" s="236"/>
      <c r="C105" s="196"/>
      <c r="D105" s="195"/>
      <c r="E105" s="193"/>
      <c r="F105">
        <f t="shared" si="4"/>
        <v>0</v>
      </c>
      <c r="G105" t="str">
        <f>IF(IFERROR(IF(Str_TypeDonneesCpt1=Cpt_Index,Tab_Compteur_1[[#This Row],[Index]]-E104,Tab_Compteur_1[[#This Row],[Quantité]])/Tab_Compteur_1[[#This Row],[Delta Jour]],"")&lt;0,"",IFERROR(IF(Str_TypeDonneesCpt1=Cpt_Index,Tab_Compteur_1[[#This Row],[Index]]-E104,Tab_Compteur_1[[#This Row],[Quantité]])/Tab_Compteur_1[[#This Row],[Delta Jour]],""))</f>
        <v/>
      </c>
      <c r="H105" t="str">
        <f>IFERROR(Tab_Compteur_1[[#This Row],[Montant]]/Tab_Compteur_1[[#This Row],[Delta Jour]],"")</f>
        <v/>
      </c>
      <c r="I105" s="215" t="str">
        <f t="shared" si="5"/>
        <v/>
      </c>
      <c r="J105" s="192"/>
      <c r="K105" s="38"/>
      <c r="L105" s="38"/>
      <c r="M105" s="38"/>
      <c r="N105" s="38"/>
      <c r="O105"/>
    </row>
    <row r="106" spans="1:15">
      <c r="A106" s="501">
        <f t="shared" si="6"/>
        <v>1</v>
      </c>
      <c r="B106" s="236"/>
      <c r="C106" s="196"/>
      <c r="D106" s="195"/>
      <c r="E106" s="193"/>
      <c r="F106">
        <f t="shared" si="4"/>
        <v>0</v>
      </c>
      <c r="G106" t="str">
        <f>IF(IFERROR(IF(Str_TypeDonneesCpt1=Cpt_Index,Tab_Compteur_1[[#This Row],[Index]]-E105,Tab_Compteur_1[[#This Row],[Quantité]])/Tab_Compteur_1[[#This Row],[Delta Jour]],"")&lt;0,"",IFERROR(IF(Str_TypeDonneesCpt1=Cpt_Index,Tab_Compteur_1[[#This Row],[Index]]-E105,Tab_Compteur_1[[#This Row],[Quantité]])/Tab_Compteur_1[[#This Row],[Delta Jour]],""))</f>
        <v/>
      </c>
      <c r="H106" t="str">
        <f>IFERROR(Tab_Compteur_1[[#This Row],[Montant]]/Tab_Compteur_1[[#This Row],[Delta Jour]],"")</f>
        <v/>
      </c>
      <c r="I106" s="215" t="str">
        <f t="shared" si="5"/>
        <v/>
      </c>
      <c r="J106" s="192"/>
      <c r="K106" s="38"/>
      <c r="L106" s="38"/>
      <c r="M106" s="38"/>
      <c r="N106" s="38"/>
      <c r="O106"/>
    </row>
    <row r="107" spans="1:15">
      <c r="A107" s="501">
        <f t="shared" si="6"/>
        <v>1</v>
      </c>
      <c r="B107" s="236"/>
      <c r="C107" s="196"/>
      <c r="D107" s="195"/>
      <c r="E107" s="193"/>
      <c r="F107">
        <f t="shared" si="4"/>
        <v>0</v>
      </c>
      <c r="G107" t="str">
        <f>IF(IFERROR(IF(Str_TypeDonneesCpt1=Cpt_Index,Tab_Compteur_1[[#This Row],[Index]]-E106,Tab_Compteur_1[[#This Row],[Quantité]])/Tab_Compteur_1[[#This Row],[Delta Jour]],"")&lt;0,"",IFERROR(IF(Str_TypeDonneesCpt1=Cpt_Index,Tab_Compteur_1[[#This Row],[Index]]-E106,Tab_Compteur_1[[#This Row],[Quantité]])/Tab_Compteur_1[[#This Row],[Delta Jour]],""))</f>
        <v/>
      </c>
      <c r="H107" t="str">
        <f>IFERROR(Tab_Compteur_1[[#This Row],[Montant]]/Tab_Compteur_1[[#This Row],[Delta Jour]],"")</f>
        <v/>
      </c>
      <c r="I107" s="215" t="str">
        <f t="shared" si="5"/>
        <v/>
      </c>
      <c r="J107" s="192"/>
      <c r="K107" s="38"/>
      <c r="L107" s="38"/>
      <c r="M107" s="38"/>
      <c r="N107" s="38"/>
      <c r="O107"/>
    </row>
    <row r="108" spans="1:15">
      <c r="A108" s="501">
        <f t="shared" si="6"/>
        <v>1</v>
      </c>
      <c r="B108" s="236"/>
      <c r="C108" s="196"/>
      <c r="D108" s="195"/>
      <c r="E108" s="193"/>
      <c r="F108">
        <f t="shared" si="4"/>
        <v>0</v>
      </c>
      <c r="G108" t="str">
        <f>IF(IFERROR(IF(Str_TypeDonneesCpt1=Cpt_Index,Tab_Compteur_1[[#This Row],[Index]]-E107,Tab_Compteur_1[[#This Row],[Quantité]])/Tab_Compteur_1[[#This Row],[Delta Jour]],"")&lt;0,"",IFERROR(IF(Str_TypeDonneesCpt1=Cpt_Index,Tab_Compteur_1[[#This Row],[Index]]-E107,Tab_Compteur_1[[#This Row],[Quantité]])/Tab_Compteur_1[[#This Row],[Delta Jour]],""))</f>
        <v/>
      </c>
      <c r="H108" t="str">
        <f>IFERROR(Tab_Compteur_1[[#This Row],[Montant]]/Tab_Compteur_1[[#This Row],[Delta Jour]],"")</f>
        <v/>
      </c>
      <c r="I108" s="215" t="str">
        <f t="shared" si="5"/>
        <v/>
      </c>
      <c r="J108" s="192"/>
      <c r="K108" s="38"/>
      <c r="L108" s="38"/>
      <c r="M108" s="38"/>
      <c r="N108" s="38"/>
      <c r="O108"/>
    </row>
    <row r="109" spans="1:15">
      <c r="A109" s="501">
        <f t="shared" si="6"/>
        <v>1</v>
      </c>
      <c r="B109" s="236"/>
      <c r="C109" s="196"/>
      <c r="D109" s="195"/>
      <c r="E109" s="193"/>
      <c r="F109">
        <f t="shared" si="4"/>
        <v>0</v>
      </c>
      <c r="G109" t="str">
        <f>IF(IFERROR(IF(Str_TypeDonneesCpt1=Cpt_Index,Tab_Compteur_1[[#This Row],[Index]]-E108,Tab_Compteur_1[[#This Row],[Quantité]])/Tab_Compteur_1[[#This Row],[Delta Jour]],"")&lt;0,"",IFERROR(IF(Str_TypeDonneesCpt1=Cpt_Index,Tab_Compteur_1[[#This Row],[Index]]-E108,Tab_Compteur_1[[#This Row],[Quantité]])/Tab_Compteur_1[[#This Row],[Delta Jour]],""))</f>
        <v/>
      </c>
      <c r="H109" t="str">
        <f>IFERROR(Tab_Compteur_1[[#This Row],[Montant]]/Tab_Compteur_1[[#This Row],[Delta Jour]],"")</f>
        <v/>
      </c>
      <c r="I109" s="215" t="str">
        <f t="shared" si="5"/>
        <v/>
      </c>
      <c r="J109" s="192"/>
      <c r="K109" s="38"/>
      <c r="L109" s="38"/>
      <c r="M109" s="38"/>
      <c r="N109" s="38"/>
      <c r="O109"/>
    </row>
    <row r="110" spans="1:15">
      <c r="A110" s="501">
        <f t="shared" si="6"/>
        <v>1</v>
      </c>
      <c r="B110" s="236"/>
      <c r="C110" s="196"/>
      <c r="D110" s="195"/>
      <c r="E110" s="193"/>
      <c r="F110">
        <f t="shared" si="4"/>
        <v>0</v>
      </c>
      <c r="G110" t="str">
        <f>IF(IFERROR(IF(Str_TypeDonneesCpt1=Cpt_Index,Tab_Compteur_1[[#This Row],[Index]]-E109,Tab_Compteur_1[[#This Row],[Quantité]])/Tab_Compteur_1[[#This Row],[Delta Jour]],"")&lt;0,"",IFERROR(IF(Str_TypeDonneesCpt1=Cpt_Index,Tab_Compteur_1[[#This Row],[Index]]-E109,Tab_Compteur_1[[#This Row],[Quantité]])/Tab_Compteur_1[[#This Row],[Delta Jour]],""))</f>
        <v/>
      </c>
      <c r="H110" t="str">
        <f>IFERROR(Tab_Compteur_1[[#This Row],[Montant]]/Tab_Compteur_1[[#This Row],[Delta Jour]],"")</f>
        <v/>
      </c>
      <c r="I110" s="215" t="str">
        <f t="shared" si="5"/>
        <v/>
      </c>
      <c r="J110" s="192"/>
      <c r="K110" s="38"/>
      <c r="L110" s="38"/>
      <c r="M110" s="38"/>
      <c r="N110" s="38"/>
      <c r="O110"/>
    </row>
    <row r="111" spans="1:15">
      <c r="A111" s="501">
        <f t="shared" si="6"/>
        <v>1</v>
      </c>
      <c r="B111" s="236"/>
      <c r="C111" s="196"/>
      <c r="D111" s="195"/>
      <c r="E111" s="193"/>
      <c r="F111">
        <f t="shared" si="4"/>
        <v>0</v>
      </c>
      <c r="G111" t="str">
        <f>IF(IFERROR(IF(Str_TypeDonneesCpt1=Cpt_Index,Tab_Compteur_1[[#This Row],[Index]]-E110,Tab_Compteur_1[[#This Row],[Quantité]])/Tab_Compteur_1[[#This Row],[Delta Jour]],"")&lt;0,"",IFERROR(IF(Str_TypeDonneesCpt1=Cpt_Index,Tab_Compteur_1[[#This Row],[Index]]-E110,Tab_Compteur_1[[#This Row],[Quantité]])/Tab_Compteur_1[[#This Row],[Delta Jour]],""))</f>
        <v/>
      </c>
      <c r="H111" t="str">
        <f>IFERROR(Tab_Compteur_1[[#This Row],[Montant]]/Tab_Compteur_1[[#This Row],[Delta Jour]],"")</f>
        <v/>
      </c>
      <c r="I111" s="215" t="str">
        <f t="shared" si="5"/>
        <v/>
      </c>
      <c r="J111" s="192"/>
      <c r="K111" s="38"/>
      <c r="L111" s="38"/>
      <c r="M111" s="38"/>
      <c r="N111" s="38"/>
      <c r="O111"/>
    </row>
    <row r="112" spans="1:15">
      <c r="A112" s="501">
        <f t="shared" si="6"/>
        <v>1</v>
      </c>
      <c r="B112" s="236"/>
      <c r="C112" s="196"/>
      <c r="D112" s="195"/>
      <c r="E112" s="193"/>
      <c r="F112">
        <f t="shared" si="4"/>
        <v>0</v>
      </c>
      <c r="G112" t="str">
        <f>IF(IFERROR(IF(Str_TypeDonneesCpt1=Cpt_Index,Tab_Compteur_1[[#This Row],[Index]]-E111,Tab_Compteur_1[[#This Row],[Quantité]])/Tab_Compteur_1[[#This Row],[Delta Jour]],"")&lt;0,"",IFERROR(IF(Str_TypeDonneesCpt1=Cpt_Index,Tab_Compteur_1[[#This Row],[Index]]-E111,Tab_Compteur_1[[#This Row],[Quantité]])/Tab_Compteur_1[[#This Row],[Delta Jour]],""))</f>
        <v/>
      </c>
      <c r="H112" t="str">
        <f>IFERROR(Tab_Compteur_1[[#This Row],[Montant]]/Tab_Compteur_1[[#This Row],[Delta Jour]],"")</f>
        <v/>
      </c>
      <c r="I112" s="215" t="str">
        <f t="shared" si="5"/>
        <v/>
      </c>
      <c r="J112" s="192"/>
      <c r="K112" s="38"/>
      <c r="L112" s="38"/>
      <c r="M112" s="38"/>
      <c r="N112" s="38"/>
      <c r="O112"/>
    </row>
    <row r="113" spans="1:15">
      <c r="A113" s="501">
        <f t="shared" si="6"/>
        <v>1</v>
      </c>
      <c r="B113" s="236"/>
      <c r="C113" s="196"/>
      <c r="D113" s="195"/>
      <c r="E113" s="193"/>
      <c r="F113">
        <f t="shared" si="4"/>
        <v>0</v>
      </c>
      <c r="G113" t="str">
        <f>IF(IFERROR(IF(Str_TypeDonneesCpt1=Cpt_Index,Tab_Compteur_1[[#This Row],[Index]]-E112,Tab_Compteur_1[[#This Row],[Quantité]])/Tab_Compteur_1[[#This Row],[Delta Jour]],"")&lt;0,"",IFERROR(IF(Str_TypeDonneesCpt1=Cpt_Index,Tab_Compteur_1[[#This Row],[Index]]-E112,Tab_Compteur_1[[#This Row],[Quantité]])/Tab_Compteur_1[[#This Row],[Delta Jour]],""))</f>
        <v/>
      </c>
      <c r="H113" t="str">
        <f>IFERROR(Tab_Compteur_1[[#This Row],[Montant]]/Tab_Compteur_1[[#This Row],[Delta Jour]],"")</f>
        <v/>
      </c>
      <c r="I113" s="215" t="str">
        <f t="shared" si="5"/>
        <v/>
      </c>
      <c r="J113" s="192"/>
      <c r="K113" s="38"/>
      <c r="L113" s="38"/>
      <c r="M113" s="38"/>
      <c r="N113" s="38"/>
      <c r="O113"/>
    </row>
    <row r="114" spans="1:15">
      <c r="A114" s="501">
        <f t="shared" si="6"/>
        <v>1</v>
      </c>
      <c r="B114" s="236"/>
      <c r="C114" s="196"/>
      <c r="D114" s="195"/>
      <c r="E114" s="193"/>
      <c r="F114">
        <f t="shared" si="4"/>
        <v>0</v>
      </c>
      <c r="G114" t="str">
        <f>IF(IFERROR(IF(Str_TypeDonneesCpt1=Cpt_Index,Tab_Compteur_1[[#This Row],[Index]]-E113,Tab_Compteur_1[[#This Row],[Quantité]])/Tab_Compteur_1[[#This Row],[Delta Jour]],"")&lt;0,"",IFERROR(IF(Str_TypeDonneesCpt1=Cpt_Index,Tab_Compteur_1[[#This Row],[Index]]-E113,Tab_Compteur_1[[#This Row],[Quantité]])/Tab_Compteur_1[[#This Row],[Delta Jour]],""))</f>
        <v/>
      </c>
      <c r="H114" t="str">
        <f>IFERROR(Tab_Compteur_1[[#This Row],[Montant]]/Tab_Compteur_1[[#This Row],[Delta Jour]],"")</f>
        <v/>
      </c>
      <c r="I114" s="215" t="str">
        <f t="shared" si="5"/>
        <v/>
      </c>
      <c r="J114" s="192"/>
      <c r="K114" s="38"/>
      <c r="L114" s="38"/>
      <c r="M114" s="38"/>
      <c r="N114" s="38"/>
      <c r="O114"/>
    </row>
    <row r="115" spans="1:15">
      <c r="A115" s="501">
        <f t="shared" si="6"/>
        <v>1</v>
      </c>
      <c r="B115" s="236"/>
      <c r="C115" s="196"/>
      <c r="D115" s="195"/>
      <c r="E115" s="193"/>
      <c r="F115">
        <f t="shared" si="4"/>
        <v>0</v>
      </c>
      <c r="G115" t="str">
        <f>IF(IFERROR(IF(Str_TypeDonneesCpt1=Cpt_Index,Tab_Compteur_1[[#This Row],[Index]]-E114,Tab_Compteur_1[[#This Row],[Quantité]])/Tab_Compteur_1[[#This Row],[Delta Jour]],"")&lt;0,"",IFERROR(IF(Str_TypeDonneesCpt1=Cpt_Index,Tab_Compteur_1[[#This Row],[Index]]-E114,Tab_Compteur_1[[#This Row],[Quantité]])/Tab_Compteur_1[[#This Row],[Delta Jour]],""))</f>
        <v/>
      </c>
      <c r="H115" t="str">
        <f>IFERROR(Tab_Compteur_1[[#This Row],[Montant]]/Tab_Compteur_1[[#This Row],[Delta Jour]],"")</f>
        <v/>
      </c>
      <c r="I115" s="215" t="str">
        <f t="shared" si="5"/>
        <v/>
      </c>
      <c r="J115" s="192"/>
      <c r="K115" s="38"/>
      <c r="L115" s="38"/>
      <c r="M115" s="38"/>
      <c r="N115" s="38"/>
      <c r="O115"/>
    </row>
    <row r="116" spans="1:15">
      <c r="A116" s="501">
        <f t="shared" si="6"/>
        <v>1</v>
      </c>
      <c r="B116" s="236"/>
      <c r="C116" s="196"/>
      <c r="D116" s="195"/>
      <c r="E116" s="193"/>
      <c r="F116">
        <f t="shared" si="4"/>
        <v>0</v>
      </c>
      <c r="G116" t="str">
        <f>IF(IFERROR(IF(Str_TypeDonneesCpt1=Cpt_Index,Tab_Compteur_1[[#This Row],[Index]]-E115,Tab_Compteur_1[[#This Row],[Quantité]])/Tab_Compteur_1[[#This Row],[Delta Jour]],"")&lt;0,"",IFERROR(IF(Str_TypeDonneesCpt1=Cpt_Index,Tab_Compteur_1[[#This Row],[Index]]-E115,Tab_Compteur_1[[#This Row],[Quantité]])/Tab_Compteur_1[[#This Row],[Delta Jour]],""))</f>
        <v/>
      </c>
      <c r="H116" t="str">
        <f>IFERROR(Tab_Compteur_1[[#This Row],[Montant]]/Tab_Compteur_1[[#This Row],[Delta Jour]],"")</f>
        <v/>
      </c>
      <c r="I116" s="215" t="str">
        <f t="shared" si="5"/>
        <v/>
      </c>
      <c r="J116" s="192"/>
      <c r="K116" s="38"/>
      <c r="L116" s="38"/>
      <c r="M116" s="38"/>
      <c r="N116" s="38"/>
      <c r="O116"/>
    </row>
    <row r="117" spans="1:15">
      <c r="A117" s="501">
        <f t="shared" si="6"/>
        <v>1</v>
      </c>
      <c r="B117" s="236"/>
      <c r="C117" s="196"/>
      <c r="D117" s="195"/>
      <c r="E117" s="193"/>
      <c r="F117">
        <f t="shared" si="4"/>
        <v>0</v>
      </c>
      <c r="G117" t="str">
        <f>IF(IFERROR(IF(Str_TypeDonneesCpt1=Cpt_Index,Tab_Compteur_1[[#This Row],[Index]]-E116,Tab_Compteur_1[[#This Row],[Quantité]])/Tab_Compteur_1[[#This Row],[Delta Jour]],"")&lt;0,"",IFERROR(IF(Str_TypeDonneesCpt1=Cpt_Index,Tab_Compteur_1[[#This Row],[Index]]-E116,Tab_Compteur_1[[#This Row],[Quantité]])/Tab_Compteur_1[[#This Row],[Delta Jour]],""))</f>
        <v/>
      </c>
      <c r="H117" t="str">
        <f>IFERROR(Tab_Compteur_1[[#This Row],[Montant]]/Tab_Compteur_1[[#This Row],[Delta Jour]],"")</f>
        <v/>
      </c>
      <c r="I117" s="215" t="str">
        <f t="shared" si="5"/>
        <v/>
      </c>
      <c r="J117" s="192"/>
      <c r="K117" s="38"/>
      <c r="L117" s="38"/>
      <c r="M117" s="38"/>
      <c r="N117" s="38"/>
      <c r="O117"/>
    </row>
    <row r="118" spans="1:15">
      <c r="A118" s="501">
        <f t="shared" si="6"/>
        <v>1</v>
      </c>
      <c r="B118" s="236"/>
      <c r="C118" s="196"/>
      <c r="D118" s="195"/>
      <c r="E118" s="193"/>
      <c r="F118">
        <f t="shared" si="4"/>
        <v>0</v>
      </c>
      <c r="G118" t="str">
        <f>IF(IFERROR(IF(Str_TypeDonneesCpt1=Cpt_Index,Tab_Compteur_1[[#This Row],[Index]]-E117,Tab_Compteur_1[[#This Row],[Quantité]])/Tab_Compteur_1[[#This Row],[Delta Jour]],"")&lt;0,"",IFERROR(IF(Str_TypeDonneesCpt1=Cpt_Index,Tab_Compteur_1[[#This Row],[Index]]-E117,Tab_Compteur_1[[#This Row],[Quantité]])/Tab_Compteur_1[[#This Row],[Delta Jour]],""))</f>
        <v/>
      </c>
      <c r="H118" t="str">
        <f>IFERROR(Tab_Compteur_1[[#This Row],[Montant]]/Tab_Compteur_1[[#This Row],[Delta Jour]],"")</f>
        <v/>
      </c>
      <c r="I118" s="215" t="str">
        <f t="shared" si="5"/>
        <v/>
      </c>
      <c r="J118" s="192"/>
      <c r="K118" s="38"/>
      <c r="L118" s="38"/>
      <c r="M118" s="38"/>
      <c r="N118" s="38"/>
      <c r="O118"/>
    </row>
    <row r="119" spans="1:15">
      <c r="A119" s="501">
        <f t="shared" si="6"/>
        <v>1</v>
      </c>
      <c r="B119" s="236"/>
      <c r="C119" s="196"/>
      <c r="D119" s="193"/>
      <c r="E119" s="193"/>
      <c r="F119">
        <f t="shared" si="4"/>
        <v>0</v>
      </c>
      <c r="G119" t="str">
        <f>IF(IFERROR(IF(Str_TypeDonneesCpt1=Cpt_Index,Tab_Compteur_1[[#This Row],[Index]]-E118,Tab_Compteur_1[[#This Row],[Quantité]])/Tab_Compteur_1[[#This Row],[Delta Jour]],"")&lt;0,"",IFERROR(IF(Str_TypeDonneesCpt1=Cpt_Index,Tab_Compteur_1[[#This Row],[Index]]-E118,Tab_Compteur_1[[#This Row],[Quantité]])/Tab_Compteur_1[[#This Row],[Delta Jour]],""))</f>
        <v/>
      </c>
      <c r="H119" t="str">
        <f>IFERROR(Tab_Compteur_1[[#This Row],[Montant]]/Tab_Compteur_1[[#This Row],[Delta Jour]],"")</f>
        <v/>
      </c>
      <c r="I119" s="215" t="str">
        <f t="shared" si="5"/>
        <v/>
      </c>
      <c r="J119" s="192"/>
      <c r="K119" s="38"/>
      <c r="L119" s="38"/>
      <c r="M119" s="38"/>
      <c r="N119" s="38"/>
      <c r="O119"/>
    </row>
    <row r="120" spans="1:15">
      <c r="A120" s="501">
        <f t="shared" si="6"/>
        <v>1</v>
      </c>
      <c r="B120" s="236"/>
      <c r="C120" s="196"/>
      <c r="D120" s="193"/>
      <c r="E120" s="193"/>
      <c r="F120">
        <f t="shared" si="4"/>
        <v>0</v>
      </c>
      <c r="G120" t="str">
        <f>IF(IFERROR(IF(Str_TypeDonneesCpt1=Cpt_Index,Tab_Compteur_1[[#This Row],[Index]]-E119,Tab_Compteur_1[[#This Row],[Quantité]])/Tab_Compteur_1[[#This Row],[Delta Jour]],"")&lt;0,"",IFERROR(IF(Str_TypeDonneesCpt1=Cpt_Index,Tab_Compteur_1[[#This Row],[Index]]-E119,Tab_Compteur_1[[#This Row],[Quantité]])/Tab_Compteur_1[[#This Row],[Delta Jour]],""))</f>
        <v/>
      </c>
      <c r="H120" t="str">
        <f>IFERROR(Tab_Compteur_1[[#This Row],[Montant]]/Tab_Compteur_1[[#This Row],[Delta Jour]],"")</f>
        <v/>
      </c>
      <c r="I120" s="215" t="str">
        <f t="shared" si="5"/>
        <v/>
      </c>
      <c r="J120" s="192"/>
      <c r="K120" s="38"/>
      <c r="L120" s="38"/>
      <c r="M120" s="38"/>
      <c r="N120" s="38"/>
      <c r="O120"/>
    </row>
    <row r="121" spans="1:15">
      <c r="A121" s="501">
        <f t="shared" si="6"/>
        <v>1</v>
      </c>
      <c r="B121" s="236"/>
      <c r="C121" s="196"/>
      <c r="D121" s="193"/>
      <c r="E121" s="193"/>
      <c r="F121">
        <f t="shared" si="4"/>
        <v>0</v>
      </c>
      <c r="G121" t="str">
        <f>IF(IFERROR(IF(Str_TypeDonneesCpt1=Cpt_Index,Tab_Compteur_1[[#This Row],[Index]]-E120,Tab_Compteur_1[[#This Row],[Quantité]])/Tab_Compteur_1[[#This Row],[Delta Jour]],"")&lt;0,"",IFERROR(IF(Str_TypeDonneesCpt1=Cpt_Index,Tab_Compteur_1[[#This Row],[Index]]-E120,Tab_Compteur_1[[#This Row],[Quantité]])/Tab_Compteur_1[[#This Row],[Delta Jour]],""))</f>
        <v/>
      </c>
      <c r="H121" t="str">
        <f>IFERROR(Tab_Compteur_1[[#This Row],[Montant]]/Tab_Compteur_1[[#This Row],[Delta Jour]],"")</f>
        <v/>
      </c>
      <c r="I121" s="215" t="str">
        <f t="shared" si="5"/>
        <v/>
      </c>
      <c r="J121" s="192"/>
      <c r="K121" s="38"/>
      <c r="L121" s="38"/>
      <c r="M121" s="38"/>
      <c r="N121" s="38"/>
      <c r="O121"/>
    </row>
    <row r="122" spans="1:15">
      <c r="A122" s="501">
        <f t="shared" si="6"/>
        <v>1</v>
      </c>
      <c r="B122" s="236"/>
      <c r="C122" s="196"/>
      <c r="D122" s="193"/>
      <c r="E122" s="193"/>
      <c r="F122">
        <f t="shared" si="4"/>
        <v>0</v>
      </c>
      <c r="G122" t="str">
        <f>IF(IFERROR(IF(Str_TypeDonneesCpt1=Cpt_Index,Tab_Compteur_1[[#This Row],[Index]]-E121,Tab_Compteur_1[[#This Row],[Quantité]])/Tab_Compteur_1[[#This Row],[Delta Jour]],"")&lt;0,"",IFERROR(IF(Str_TypeDonneesCpt1=Cpt_Index,Tab_Compteur_1[[#This Row],[Index]]-E121,Tab_Compteur_1[[#This Row],[Quantité]])/Tab_Compteur_1[[#This Row],[Delta Jour]],""))</f>
        <v/>
      </c>
      <c r="H122" t="str">
        <f>IFERROR(Tab_Compteur_1[[#This Row],[Montant]]/Tab_Compteur_1[[#This Row],[Delta Jour]],"")</f>
        <v/>
      </c>
      <c r="I122" s="215" t="str">
        <f t="shared" si="5"/>
        <v/>
      </c>
      <c r="J122" s="192"/>
      <c r="K122" s="38"/>
      <c r="L122" s="38"/>
      <c r="M122" s="38"/>
      <c r="N122" s="38"/>
      <c r="O122"/>
    </row>
    <row r="123" spans="1:15">
      <c r="A123" s="501">
        <f t="shared" si="6"/>
        <v>1</v>
      </c>
      <c r="B123" s="236"/>
      <c r="C123" s="196"/>
      <c r="D123" s="193"/>
      <c r="E123" s="193"/>
      <c r="F123">
        <f t="shared" si="4"/>
        <v>0</v>
      </c>
      <c r="G123" t="str">
        <f>IF(IFERROR(IF(Str_TypeDonneesCpt1=Cpt_Index,Tab_Compteur_1[[#This Row],[Index]]-E122,Tab_Compteur_1[[#This Row],[Quantité]])/Tab_Compteur_1[[#This Row],[Delta Jour]],"")&lt;0,"",IFERROR(IF(Str_TypeDonneesCpt1=Cpt_Index,Tab_Compteur_1[[#This Row],[Index]]-E122,Tab_Compteur_1[[#This Row],[Quantité]])/Tab_Compteur_1[[#This Row],[Delta Jour]],""))</f>
        <v/>
      </c>
      <c r="H123" t="str">
        <f>IFERROR(Tab_Compteur_1[[#This Row],[Montant]]/Tab_Compteur_1[[#This Row],[Delta Jour]],"")</f>
        <v/>
      </c>
      <c r="I123" s="215" t="str">
        <f t="shared" si="5"/>
        <v/>
      </c>
      <c r="J123" s="192"/>
      <c r="K123" s="38"/>
      <c r="L123" s="38"/>
      <c r="M123" s="38"/>
      <c r="N123" s="38"/>
      <c r="O123"/>
    </row>
    <row r="124" spans="1:15">
      <c r="A124" s="501">
        <f t="shared" si="6"/>
        <v>1</v>
      </c>
      <c r="B124" s="236"/>
      <c r="C124" s="196"/>
      <c r="D124" s="193"/>
      <c r="E124" s="193"/>
      <c r="F124">
        <f t="shared" si="4"/>
        <v>0</v>
      </c>
      <c r="G124" t="str">
        <f>IF(IFERROR(IF(Str_TypeDonneesCpt1=Cpt_Index,Tab_Compteur_1[[#This Row],[Index]]-E123,Tab_Compteur_1[[#This Row],[Quantité]])/Tab_Compteur_1[[#This Row],[Delta Jour]],"")&lt;0,"",IFERROR(IF(Str_TypeDonneesCpt1=Cpt_Index,Tab_Compteur_1[[#This Row],[Index]]-E123,Tab_Compteur_1[[#This Row],[Quantité]])/Tab_Compteur_1[[#This Row],[Delta Jour]],""))</f>
        <v/>
      </c>
      <c r="H124" t="str">
        <f>IFERROR(Tab_Compteur_1[[#This Row],[Montant]]/Tab_Compteur_1[[#This Row],[Delta Jour]],"")</f>
        <v/>
      </c>
      <c r="I124" s="215" t="str">
        <f t="shared" si="5"/>
        <v/>
      </c>
      <c r="J124" s="192"/>
      <c r="K124" s="38"/>
      <c r="L124" s="38"/>
      <c r="M124" s="38"/>
      <c r="N124" s="38"/>
      <c r="O124"/>
    </row>
    <row r="125" spans="1:15">
      <c r="A125" s="501">
        <f t="shared" si="6"/>
        <v>1</v>
      </c>
      <c r="B125" s="236"/>
      <c r="C125" s="196"/>
      <c r="D125" s="193"/>
      <c r="E125" s="193"/>
      <c r="F125">
        <f t="shared" si="4"/>
        <v>0</v>
      </c>
      <c r="G125" t="str">
        <f>IF(IFERROR(IF(Str_TypeDonneesCpt1=Cpt_Index,Tab_Compteur_1[[#This Row],[Index]]-E124,Tab_Compteur_1[[#This Row],[Quantité]])/Tab_Compteur_1[[#This Row],[Delta Jour]],"")&lt;0,"",IFERROR(IF(Str_TypeDonneesCpt1=Cpt_Index,Tab_Compteur_1[[#This Row],[Index]]-E124,Tab_Compteur_1[[#This Row],[Quantité]])/Tab_Compteur_1[[#This Row],[Delta Jour]],""))</f>
        <v/>
      </c>
      <c r="H125" t="str">
        <f>IFERROR(Tab_Compteur_1[[#This Row],[Montant]]/Tab_Compteur_1[[#This Row],[Delta Jour]],"")</f>
        <v/>
      </c>
      <c r="I125" s="215" t="str">
        <f t="shared" si="5"/>
        <v/>
      </c>
      <c r="J125" s="192"/>
      <c r="K125" s="38"/>
      <c r="L125" s="38"/>
      <c r="M125" s="38"/>
      <c r="N125" s="38"/>
      <c r="O125"/>
    </row>
    <row r="126" spans="1:15">
      <c r="A126" s="501">
        <f t="shared" si="6"/>
        <v>1</v>
      </c>
      <c r="B126" s="236"/>
      <c r="C126" s="196"/>
      <c r="D126" s="193"/>
      <c r="E126" s="193"/>
      <c r="F126">
        <f t="shared" si="4"/>
        <v>0</v>
      </c>
      <c r="G126" t="str">
        <f>IF(IFERROR(IF(Str_TypeDonneesCpt1=Cpt_Index,Tab_Compteur_1[[#This Row],[Index]]-E125,Tab_Compteur_1[[#This Row],[Quantité]])/Tab_Compteur_1[[#This Row],[Delta Jour]],"")&lt;0,"",IFERROR(IF(Str_TypeDonneesCpt1=Cpt_Index,Tab_Compteur_1[[#This Row],[Index]]-E125,Tab_Compteur_1[[#This Row],[Quantité]])/Tab_Compteur_1[[#This Row],[Delta Jour]],""))</f>
        <v/>
      </c>
      <c r="H126" t="str">
        <f>IFERROR(Tab_Compteur_1[[#This Row],[Montant]]/Tab_Compteur_1[[#This Row],[Delta Jour]],"")</f>
        <v/>
      </c>
      <c r="I126" s="215" t="str">
        <f t="shared" si="5"/>
        <v/>
      </c>
      <c r="J126" s="192"/>
      <c r="K126" s="38"/>
      <c r="L126" s="38"/>
      <c r="M126" s="38"/>
      <c r="N126" s="38"/>
      <c r="O126"/>
    </row>
    <row r="127" spans="1:15">
      <c r="A127" s="501">
        <f t="shared" si="6"/>
        <v>1</v>
      </c>
      <c r="B127" s="236"/>
      <c r="C127" s="196"/>
      <c r="D127" s="193"/>
      <c r="E127" s="193"/>
      <c r="F127">
        <f t="shared" si="4"/>
        <v>0</v>
      </c>
      <c r="G127" t="str">
        <f>IF(IFERROR(IF(Str_TypeDonneesCpt1=Cpt_Index,Tab_Compteur_1[[#This Row],[Index]]-E126,Tab_Compteur_1[[#This Row],[Quantité]])/Tab_Compteur_1[[#This Row],[Delta Jour]],"")&lt;0,"",IFERROR(IF(Str_TypeDonneesCpt1=Cpt_Index,Tab_Compteur_1[[#This Row],[Index]]-E126,Tab_Compteur_1[[#This Row],[Quantité]])/Tab_Compteur_1[[#This Row],[Delta Jour]],""))</f>
        <v/>
      </c>
      <c r="H127" t="str">
        <f>IFERROR(Tab_Compteur_1[[#This Row],[Montant]]/Tab_Compteur_1[[#This Row],[Delta Jour]],"")</f>
        <v/>
      </c>
      <c r="I127" s="215" t="str">
        <f t="shared" si="5"/>
        <v/>
      </c>
      <c r="J127" s="192"/>
      <c r="K127" s="38"/>
      <c r="L127" s="38"/>
      <c r="M127" s="38"/>
      <c r="N127" s="38"/>
      <c r="O127"/>
    </row>
    <row r="128" spans="1:15">
      <c r="A128" s="501">
        <f t="shared" si="6"/>
        <v>1</v>
      </c>
      <c r="B128" s="236"/>
      <c r="C128" s="196"/>
      <c r="D128" s="193"/>
      <c r="E128" s="193"/>
      <c r="F128">
        <f t="shared" si="4"/>
        <v>0</v>
      </c>
      <c r="G128" t="str">
        <f>IF(IFERROR(IF(Str_TypeDonneesCpt1=Cpt_Index,Tab_Compteur_1[[#This Row],[Index]]-E127,Tab_Compteur_1[[#This Row],[Quantité]])/Tab_Compteur_1[[#This Row],[Delta Jour]],"")&lt;0,"",IFERROR(IF(Str_TypeDonneesCpt1=Cpt_Index,Tab_Compteur_1[[#This Row],[Index]]-E127,Tab_Compteur_1[[#This Row],[Quantité]])/Tab_Compteur_1[[#This Row],[Delta Jour]],""))</f>
        <v/>
      </c>
      <c r="H128" t="str">
        <f>IFERROR(Tab_Compteur_1[[#This Row],[Montant]]/Tab_Compteur_1[[#This Row],[Delta Jour]],"")</f>
        <v/>
      </c>
      <c r="I128" s="215" t="str">
        <f t="shared" si="5"/>
        <v/>
      </c>
      <c r="J128" s="192"/>
      <c r="K128" s="38"/>
      <c r="L128" s="38"/>
      <c r="M128" s="38"/>
      <c r="N128" s="38"/>
      <c r="O128"/>
    </row>
    <row r="129" spans="1:15">
      <c r="A129" s="501">
        <f t="shared" si="6"/>
        <v>1</v>
      </c>
      <c r="B129" s="236"/>
      <c r="C129" s="196"/>
      <c r="D129" s="193"/>
      <c r="E129" s="193"/>
      <c r="F129">
        <f t="shared" si="4"/>
        <v>0</v>
      </c>
      <c r="G129" t="str">
        <f>IF(IFERROR(IF(Str_TypeDonneesCpt1=Cpt_Index,Tab_Compteur_1[[#This Row],[Index]]-E128,Tab_Compteur_1[[#This Row],[Quantité]])/Tab_Compteur_1[[#This Row],[Delta Jour]],"")&lt;0,"",IFERROR(IF(Str_TypeDonneesCpt1=Cpt_Index,Tab_Compteur_1[[#This Row],[Index]]-E128,Tab_Compteur_1[[#This Row],[Quantité]])/Tab_Compteur_1[[#This Row],[Delta Jour]],""))</f>
        <v/>
      </c>
      <c r="H129" t="str">
        <f>IFERROR(Tab_Compteur_1[[#This Row],[Montant]]/Tab_Compteur_1[[#This Row],[Delta Jour]],"")</f>
        <v/>
      </c>
      <c r="I129" s="215" t="str">
        <f t="shared" si="5"/>
        <v/>
      </c>
      <c r="J129" s="192"/>
      <c r="K129" s="38"/>
      <c r="L129" s="38"/>
      <c r="M129" s="38"/>
      <c r="N129" s="38"/>
      <c r="O129"/>
    </row>
    <row r="130" spans="1:15">
      <c r="A130" s="501">
        <f t="shared" si="6"/>
        <v>1</v>
      </c>
      <c r="B130" s="236"/>
      <c r="C130" s="196"/>
      <c r="D130" s="193"/>
      <c r="E130" s="193"/>
      <c r="F130">
        <f t="shared" si="4"/>
        <v>0</v>
      </c>
      <c r="G130" t="str">
        <f>IF(IFERROR(IF(Str_TypeDonneesCpt1=Cpt_Index,Tab_Compteur_1[[#This Row],[Index]]-E129,Tab_Compteur_1[[#This Row],[Quantité]])/Tab_Compteur_1[[#This Row],[Delta Jour]],"")&lt;0,"",IFERROR(IF(Str_TypeDonneesCpt1=Cpt_Index,Tab_Compteur_1[[#This Row],[Index]]-E129,Tab_Compteur_1[[#This Row],[Quantité]])/Tab_Compteur_1[[#This Row],[Delta Jour]],""))</f>
        <v/>
      </c>
      <c r="H130" t="str">
        <f>IFERROR(Tab_Compteur_1[[#This Row],[Montant]]/Tab_Compteur_1[[#This Row],[Delta Jour]],"")</f>
        <v/>
      </c>
      <c r="I130" s="215" t="str">
        <f t="shared" si="5"/>
        <v/>
      </c>
      <c r="J130" s="192"/>
      <c r="K130" s="38"/>
      <c r="L130" s="38"/>
      <c r="M130" s="38"/>
      <c r="N130" s="38"/>
      <c r="O130"/>
    </row>
    <row r="131" spans="1:15">
      <c r="A131" s="501">
        <f t="shared" si="6"/>
        <v>1</v>
      </c>
      <c r="B131" s="236"/>
      <c r="C131" s="196"/>
      <c r="D131" s="193"/>
      <c r="E131" s="193"/>
      <c r="F131">
        <f t="shared" ref="F131:F194" si="7">IFERROR(B131-A131+1,"")</f>
        <v>0</v>
      </c>
      <c r="G131" t="str">
        <f>IF(IFERROR(IF(Str_TypeDonneesCpt1=Cpt_Index,Tab_Compteur_1[[#This Row],[Index]]-E130,Tab_Compteur_1[[#This Row],[Quantité]])/Tab_Compteur_1[[#This Row],[Delta Jour]],"")&lt;0,"",IFERROR(IF(Str_TypeDonneesCpt1=Cpt_Index,Tab_Compteur_1[[#This Row],[Index]]-E130,Tab_Compteur_1[[#This Row],[Quantité]])/Tab_Compteur_1[[#This Row],[Delta Jour]],""))</f>
        <v/>
      </c>
      <c r="H131" t="str">
        <f>IFERROR(Tab_Compteur_1[[#This Row],[Montant]]/Tab_Compteur_1[[#This Row],[Delta Jour]],"")</f>
        <v/>
      </c>
      <c r="I131" s="215" t="str">
        <f t="shared" si="5"/>
        <v/>
      </c>
      <c r="J131" s="192"/>
      <c r="K131" s="38"/>
      <c r="L131" s="38"/>
      <c r="M131" s="38"/>
      <c r="N131" s="38"/>
      <c r="O131"/>
    </row>
    <row r="132" spans="1:15">
      <c r="A132" s="501">
        <f t="shared" si="6"/>
        <v>1</v>
      </c>
      <c r="B132" s="236"/>
      <c r="C132" s="196"/>
      <c r="D132" s="193"/>
      <c r="E132" s="193"/>
      <c r="F132">
        <f t="shared" si="7"/>
        <v>0</v>
      </c>
      <c r="G132" t="str">
        <f>IF(IFERROR(IF(Str_TypeDonneesCpt1=Cpt_Index,Tab_Compteur_1[[#This Row],[Index]]-E131,Tab_Compteur_1[[#This Row],[Quantité]])/Tab_Compteur_1[[#This Row],[Delta Jour]],"")&lt;0,"",IFERROR(IF(Str_TypeDonneesCpt1=Cpt_Index,Tab_Compteur_1[[#This Row],[Index]]-E131,Tab_Compteur_1[[#This Row],[Quantité]])/Tab_Compteur_1[[#This Row],[Delta Jour]],""))</f>
        <v/>
      </c>
      <c r="H132" t="str">
        <f>IFERROR(Tab_Compteur_1[[#This Row],[Montant]]/Tab_Compteur_1[[#This Row],[Delta Jour]],"")</f>
        <v/>
      </c>
      <c r="I132" s="215" t="str">
        <f t="shared" si="5"/>
        <v/>
      </c>
      <c r="J132" s="192"/>
      <c r="K132" s="38"/>
      <c r="L132" s="38"/>
      <c r="M132" s="38"/>
      <c r="N132" s="38"/>
      <c r="O132"/>
    </row>
    <row r="133" spans="1:15">
      <c r="A133" s="501">
        <f t="shared" si="6"/>
        <v>1</v>
      </c>
      <c r="B133" s="236"/>
      <c r="C133" s="196"/>
      <c r="D133" s="193"/>
      <c r="E133" s="193"/>
      <c r="F133">
        <f t="shared" si="7"/>
        <v>0</v>
      </c>
      <c r="G133" t="str">
        <f>IF(IFERROR(IF(Str_TypeDonneesCpt1=Cpt_Index,Tab_Compteur_1[[#This Row],[Index]]-E132,Tab_Compteur_1[[#This Row],[Quantité]])/Tab_Compteur_1[[#This Row],[Delta Jour]],"")&lt;0,"",IFERROR(IF(Str_TypeDonneesCpt1=Cpt_Index,Tab_Compteur_1[[#This Row],[Index]]-E132,Tab_Compteur_1[[#This Row],[Quantité]])/Tab_Compteur_1[[#This Row],[Delta Jour]],""))</f>
        <v/>
      </c>
      <c r="H133" t="str">
        <f>IFERROR(Tab_Compteur_1[[#This Row],[Montant]]/Tab_Compteur_1[[#This Row],[Delta Jour]],"")</f>
        <v/>
      </c>
      <c r="I133" s="215" t="str">
        <f t="shared" ref="I133:I196" si="8">G133</f>
        <v/>
      </c>
      <c r="J133" s="192"/>
      <c r="K133" s="38"/>
      <c r="L133" s="38"/>
      <c r="M133" s="38"/>
      <c r="N133" s="38"/>
      <c r="O133"/>
    </row>
    <row r="134" spans="1:15">
      <c r="A134" s="501">
        <f t="shared" ref="A134:A197" si="9">IFERROR(B133+1,0)</f>
        <v>1</v>
      </c>
      <c r="B134" s="236"/>
      <c r="C134" s="196"/>
      <c r="D134" s="193"/>
      <c r="E134" s="193"/>
      <c r="F134">
        <f t="shared" si="7"/>
        <v>0</v>
      </c>
      <c r="G134" t="str">
        <f>IF(IFERROR(IF(Str_TypeDonneesCpt1=Cpt_Index,Tab_Compteur_1[[#This Row],[Index]]-E133,Tab_Compteur_1[[#This Row],[Quantité]])/Tab_Compteur_1[[#This Row],[Delta Jour]],"")&lt;0,"",IFERROR(IF(Str_TypeDonneesCpt1=Cpt_Index,Tab_Compteur_1[[#This Row],[Index]]-E133,Tab_Compteur_1[[#This Row],[Quantité]])/Tab_Compteur_1[[#This Row],[Delta Jour]],""))</f>
        <v/>
      </c>
      <c r="H134" t="str">
        <f>IFERROR(Tab_Compteur_1[[#This Row],[Montant]]/Tab_Compteur_1[[#This Row],[Delta Jour]],"")</f>
        <v/>
      </c>
      <c r="I134" s="215" t="str">
        <f t="shared" si="8"/>
        <v/>
      </c>
      <c r="J134" s="192"/>
      <c r="K134" s="38"/>
      <c r="L134" s="38"/>
      <c r="M134" s="38"/>
      <c r="N134" s="38"/>
      <c r="O134"/>
    </row>
    <row r="135" spans="1:15">
      <c r="A135" s="501">
        <f t="shared" si="9"/>
        <v>1</v>
      </c>
      <c r="B135" s="236"/>
      <c r="C135" s="196"/>
      <c r="D135" s="193"/>
      <c r="E135" s="193"/>
      <c r="F135">
        <f t="shared" si="7"/>
        <v>0</v>
      </c>
      <c r="G135" t="str">
        <f>IF(IFERROR(IF(Str_TypeDonneesCpt1=Cpt_Index,Tab_Compteur_1[[#This Row],[Index]]-E134,Tab_Compteur_1[[#This Row],[Quantité]])/Tab_Compteur_1[[#This Row],[Delta Jour]],"")&lt;0,"",IFERROR(IF(Str_TypeDonneesCpt1=Cpt_Index,Tab_Compteur_1[[#This Row],[Index]]-E134,Tab_Compteur_1[[#This Row],[Quantité]])/Tab_Compteur_1[[#This Row],[Delta Jour]],""))</f>
        <v/>
      </c>
      <c r="H135" t="str">
        <f>IFERROR(Tab_Compteur_1[[#This Row],[Montant]]/Tab_Compteur_1[[#This Row],[Delta Jour]],"")</f>
        <v/>
      </c>
      <c r="I135" s="215" t="str">
        <f t="shared" si="8"/>
        <v/>
      </c>
      <c r="J135" s="192"/>
      <c r="K135" s="38"/>
      <c r="L135" s="38"/>
      <c r="M135" s="38"/>
      <c r="N135" s="38"/>
      <c r="O135"/>
    </row>
    <row r="136" spans="1:15">
      <c r="A136" s="501">
        <f t="shared" si="9"/>
        <v>1</v>
      </c>
      <c r="B136" s="236"/>
      <c r="C136" s="196"/>
      <c r="D136" s="193"/>
      <c r="E136" s="193"/>
      <c r="F136">
        <f t="shared" si="7"/>
        <v>0</v>
      </c>
      <c r="G136" t="str">
        <f>IF(IFERROR(IF(Str_TypeDonneesCpt1=Cpt_Index,Tab_Compteur_1[[#This Row],[Index]]-E135,Tab_Compteur_1[[#This Row],[Quantité]])/Tab_Compteur_1[[#This Row],[Delta Jour]],"")&lt;0,"",IFERROR(IF(Str_TypeDonneesCpt1=Cpt_Index,Tab_Compteur_1[[#This Row],[Index]]-E135,Tab_Compteur_1[[#This Row],[Quantité]])/Tab_Compteur_1[[#This Row],[Delta Jour]],""))</f>
        <v/>
      </c>
      <c r="H136" t="str">
        <f>IFERROR(Tab_Compteur_1[[#This Row],[Montant]]/Tab_Compteur_1[[#This Row],[Delta Jour]],"")</f>
        <v/>
      </c>
      <c r="I136" s="215" t="str">
        <f t="shared" si="8"/>
        <v/>
      </c>
      <c r="J136" s="192"/>
      <c r="K136" s="38"/>
      <c r="L136" s="38"/>
      <c r="M136" s="38"/>
      <c r="N136" s="38"/>
      <c r="O136"/>
    </row>
    <row r="137" spans="1:15">
      <c r="A137" s="501">
        <f t="shared" si="9"/>
        <v>1</v>
      </c>
      <c r="B137" s="236"/>
      <c r="C137" s="196"/>
      <c r="D137" s="193"/>
      <c r="E137" s="193"/>
      <c r="F137">
        <f t="shared" si="7"/>
        <v>0</v>
      </c>
      <c r="G137" t="str">
        <f>IF(IFERROR(IF(Str_TypeDonneesCpt1=Cpt_Index,Tab_Compteur_1[[#This Row],[Index]]-E136,Tab_Compteur_1[[#This Row],[Quantité]])/Tab_Compteur_1[[#This Row],[Delta Jour]],"")&lt;0,"",IFERROR(IF(Str_TypeDonneesCpt1=Cpt_Index,Tab_Compteur_1[[#This Row],[Index]]-E136,Tab_Compteur_1[[#This Row],[Quantité]])/Tab_Compteur_1[[#This Row],[Delta Jour]],""))</f>
        <v/>
      </c>
      <c r="H137" t="str">
        <f>IFERROR(Tab_Compteur_1[[#This Row],[Montant]]/Tab_Compteur_1[[#This Row],[Delta Jour]],"")</f>
        <v/>
      </c>
      <c r="I137" s="215" t="str">
        <f t="shared" si="8"/>
        <v/>
      </c>
      <c r="J137" s="192"/>
      <c r="K137" s="38"/>
      <c r="L137" s="38"/>
      <c r="M137" s="38"/>
      <c r="N137" s="38"/>
      <c r="O137"/>
    </row>
    <row r="138" spans="1:15">
      <c r="A138" s="501">
        <f t="shared" si="9"/>
        <v>1</v>
      </c>
      <c r="B138" s="236"/>
      <c r="C138" s="196"/>
      <c r="D138" s="207"/>
      <c r="E138" s="193"/>
      <c r="F138">
        <f t="shared" si="7"/>
        <v>0</v>
      </c>
      <c r="G138" t="str">
        <f>IF(IFERROR(IF(Str_TypeDonneesCpt1=Cpt_Index,Tab_Compteur_1[[#This Row],[Index]]-E137,Tab_Compteur_1[[#This Row],[Quantité]])/Tab_Compteur_1[[#This Row],[Delta Jour]],"")&lt;0,"",IFERROR(IF(Str_TypeDonneesCpt1=Cpt_Index,Tab_Compteur_1[[#This Row],[Index]]-E137,Tab_Compteur_1[[#This Row],[Quantité]])/Tab_Compteur_1[[#This Row],[Delta Jour]],""))</f>
        <v/>
      </c>
      <c r="H138" t="str">
        <f>IFERROR(Tab_Compteur_1[[#This Row],[Montant]]/Tab_Compteur_1[[#This Row],[Delta Jour]],"")</f>
        <v/>
      </c>
      <c r="I138" s="215" t="str">
        <f t="shared" si="8"/>
        <v/>
      </c>
      <c r="J138" s="192"/>
      <c r="K138" s="38"/>
      <c r="L138" s="38"/>
      <c r="M138" s="38"/>
      <c r="N138" s="38"/>
      <c r="O138"/>
    </row>
    <row r="139" spans="1:15">
      <c r="A139" s="501">
        <f t="shared" si="9"/>
        <v>1</v>
      </c>
      <c r="B139" s="236"/>
      <c r="C139" s="196"/>
      <c r="D139" s="207"/>
      <c r="E139" s="193"/>
      <c r="F139">
        <f t="shared" si="7"/>
        <v>0</v>
      </c>
      <c r="G139" t="str">
        <f>IF(IFERROR(IF(Str_TypeDonneesCpt1=Cpt_Index,Tab_Compteur_1[[#This Row],[Index]]-E138,Tab_Compteur_1[[#This Row],[Quantité]])/Tab_Compteur_1[[#This Row],[Delta Jour]],"")&lt;0,"",IFERROR(IF(Str_TypeDonneesCpt1=Cpt_Index,Tab_Compteur_1[[#This Row],[Index]]-E138,Tab_Compteur_1[[#This Row],[Quantité]])/Tab_Compteur_1[[#This Row],[Delta Jour]],""))</f>
        <v/>
      </c>
      <c r="H139" t="str">
        <f>IFERROR(Tab_Compteur_1[[#This Row],[Montant]]/Tab_Compteur_1[[#This Row],[Delta Jour]],"")</f>
        <v/>
      </c>
      <c r="I139" s="215" t="str">
        <f t="shared" si="8"/>
        <v/>
      </c>
      <c r="J139" s="192"/>
      <c r="K139" s="38"/>
      <c r="L139" s="38"/>
      <c r="M139" s="38"/>
      <c r="N139" s="38"/>
      <c r="O139"/>
    </row>
    <row r="140" spans="1:15">
      <c r="A140" s="501">
        <f t="shared" si="9"/>
        <v>1</v>
      </c>
      <c r="B140" s="236"/>
      <c r="C140" s="196"/>
      <c r="D140" s="207"/>
      <c r="E140" s="193"/>
      <c r="F140">
        <f t="shared" si="7"/>
        <v>0</v>
      </c>
      <c r="G140" t="str">
        <f>IF(IFERROR(IF(Str_TypeDonneesCpt1=Cpt_Index,Tab_Compteur_1[[#This Row],[Index]]-E139,Tab_Compteur_1[[#This Row],[Quantité]])/Tab_Compteur_1[[#This Row],[Delta Jour]],"")&lt;0,"",IFERROR(IF(Str_TypeDonneesCpt1=Cpt_Index,Tab_Compteur_1[[#This Row],[Index]]-E139,Tab_Compteur_1[[#This Row],[Quantité]])/Tab_Compteur_1[[#This Row],[Delta Jour]],""))</f>
        <v/>
      </c>
      <c r="H140" t="str">
        <f>IFERROR(Tab_Compteur_1[[#This Row],[Montant]]/Tab_Compteur_1[[#This Row],[Delta Jour]],"")</f>
        <v/>
      </c>
      <c r="I140" s="215" t="str">
        <f t="shared" si="8"/>
        <v/>
      </c>
      <c r="J140" s="192"/>
      <c r="K140" s="38"/>
      <c r="L140" s="38"/>
      <c r="M140" s="38"/>
      <c r="N140" s="38"/>
      <c r="O140"/>
    </row>
    <row r="141" spans="1:15">
      <c r="A141" s="501">
        <f t="shared" si="9"/>
        <v>1</v>
      </c>
      <c r="B141" s="236"/>
      <c r="C141" s="196"/>
      <c r="D141" s="207"/>
      <c r="E141" s="193"/>
      <c r="F141">
        <f t="shared" si="7"/>
        <v>0</v>
      </c>
      <c r="G141" t="str">
        <f>IF(IFERROR(IF(Str_TypeDonneesCpt1=Cpt_Index,Tab_Compteur_1[[#This Row],[Index]]-E140,Tab_Compteur_1[[#This Row],[Quantité]])/Tab_Compteur_1[[#This Row],[Delta Jour]],"")&lt;0,"",IFERROR(IF(Str_TypeDonneesCpt1=Cpt_Index,Tab_Compteur_1[[#This Row],[Index]]-E140,Tab_Compteur_1[[#This Row],[Quantité]])/Tab_Compteur_1[[#This Row],[Delta Jour]],""))</f>
        <v/>
      </c>
      <c r="H141" t="str">
        <f>IFERROR(Tab_Compteur_1[[#This Row],[Montant]]/Tab_Compteur_1[[#This Row],[Delta Jour]],"")</f>
        <v/>
      </c>
      <c r="I141" s="215" t="str">
        <f t="shared" si="8"/>
        <v/>
      </c>
      <c r="J141" s="192"/>
      <c r="K141" s="38"/>
      <c r="L141" s="38"/>
      <c r="M141" s="38"/>
      <c r="N141" s="38"/>
      <c r="O141"/>
    </row>
    <row r="142" spans="1:15">
      <c r="A142" s="501">
        <f t="shared" si="9"/>
        <v>1</v>
      </c>
      <c r="B142" s="236"/>
      <c r="C142" s="193"/>
      <c r="D142" s="193"/>
      <c r="E142" s="193"/>
      <c r="F142">
        <f t="shared" si="7"/>
        <v>0</v>
      </c>
      <c r="G142" t="str">
        <f>IF(IFERROR(IF(Str_TypeDonneesCpt1=Cpt_Index,Tab_Compteur_1[[#This Row],[Index]]-E141,Tab_Compteur_1[[#This Row],[Quantité]])/Tab_Compteur_1[[#This Row],[Delta Jour]],"")&lt;0,"",IFERROR(IF(Str_TypeDonneesCpt1=Cpt_Index,Tab_Compteur_1[[#This Row],[Index]]-E141,Tab_Compteur_1[[#This Row],[Quantité]])/Tab_Compteur_1[[#This Row],[Delta Jour]],""))</f>
        <v/>
      </c>
      <c r="H142" t="str">
        <f>IFERROR(Tab_Compteur_1[[#This Row],[Montant]]/Tab_Compteur_1[[#This Row],[Delta Jour]],"")</f>
        <v/>
      </c>
      <c r="I142" s="215" t="str">
        <f t="shared" si="8"/>
        <v/>
      </c>
      <c r="J142" s="192"/>
      <c r="K142" s="38"/>
      <c r="L142" s="38"/>
      <c r="M142" s="38"/>
      <c r="N142" s="38"/>
      <c r="O142"/>
    </row>
    <row r="143" spans="1:15">
      <c r="A143" s="501">
        <f t="shared" si="9"/>
        <v>1</v>
      </c>
      <c r="B143" s="236"/>
      <c r="C143" s="193"/>
      <c r="D143" s="193"/>
      <c r="E143" s="193"/>
      <c r="F143">
        <f t="shared" si="7"/>
        <v>0</v>
      </c>
      <c r="G143" t="str">
        <f>IF(IFERROR(IF(Str_TypeDonneesCpt1=Cpt_Index,Tab_Compteur_1[[#This Row],[Index]]-E142,Tab_Compteur_1[[#This Row],[Quantité]])/Tab_Compteur_1[[#This Row],[Delta Jour]],"")&lt;0,"",IFERROR(IF(Str_TypeDonneesCpt1=Cpt_Index,Tab_Compteur_1[[#This Row],[Index]]-E142,Tab_Compteur_1[[#This Row],[Quantité]])/Tab_Compteur_1[[#This Row],[Delta Jour]],""))</f>
        <v/>
      </c>
      <c r="H143" t="str">
        <f>IFERROR(Tab_Compteur_1[[#This Row],[Montant]]/Tab_Compteur_1[[#This Row],[Delta Jour]],"")</f>
        <v/>
      </c>
      <c r="I143" s="215" t="str">
        <f t="shared" si="8"/>
        <v/>
      </c>
      <c r="J143" s="192"/>
      <c r="K143" s="38"/>
      <c r="L143" s="38"/>
      <c r="M143" s="38"/>
      <c r="N143" s="38"/>
      <c r="O143"/>
    </row>
    <row r="144" spans="1:15">
      <c r="A144" s="501">
        <f t="shared" si="9"/>
        <v>1</v>
      </c>
      <c r="B144" s="236"/>
      <c r="C144" s="193"/>
      <c r="D144" s="193"/>
      <c r="E144" s="193"/>
      <c r="F144">
        <f t="shared" si="7"/>
        <v>0</v>
      </c>
      <c r="G144" t="str">
        <f>IF(IFERROR(IF(Str_TypeDonneesCpt1=Cpt_Index,Tab_Compteur_1[[#This Row],[Index]]-E143,Tab_Compteur_1[[#This Row],[Quantité]])/Tab_Compteur_1[[#This Row],[Delta Jour]],"")&lt;0,"",IFERROR(IF(Str_TypeDonneesCpt1=Cpt_Index,Tab_Compteur_1[[#This Row],[Index]]-E143,Tab_Compteur_1[[#This Row],[Quantité]])/Tab_Compteur_1[[#This Row],[Delta Jour]],""))</f>
        <v/>
      </c>
      <c r="H144" t="str">
        <f>IFERROR(Tab_Compteur_1[[#This Row],[Montant]]/Tab_Compteur_1[[#This Row],[Delta Jour]],"")</f>
        <v/>
      </c>
      <c r="I144" s="215" t="str">
        <f t="shared" si="8"/>
        <v/>
      </c>
      <c r="J144" s="192"/>
      <c r="K144" s="38"/>
      <c r="L144" s="38"/>
      <c r="M144" s="38"/>
      <c r="N144" s="38"/>
      <c r="O144"/>
    </row>
    <row r="145" spans="1:15">
      <c r="A145" s="501">
        <f t="shared" si="9"/>
        <v>1</v>
      </c>
      <c r="B145" s="236"/>
      <c r="C145" s="193"/>
      <c r="D145" s="193"/>
      <c r="E145" s="193"/>
      <c r="F145">
        <f t="shared" si="7"/>
        <v>0</v>
      </c>
      <c r="G145" t="str">
        <f>IF(IFERROR(IF(Str_TypeDonneesCpt1=Cpt_Index,Tab_Compteur_1[[#This Row],[Index]]-E144,Tab_Compteur_1[[#This Row],[Quantité]])/Tab_Compteur_1[[#This Row],[Delta Jour]],"")&lt;0,"",IFERROR(IF(Str_TypeDonneesCpt1=Cpt_Index,Tab_Compteur_1[[#This Row],[Index]]-E144,Tab_Compteur_1[[#This Row],[Quantité]])/Tab_Compteur_1[[#This Row],[Delta Jour]],""))</f>
        <v/>
      </c>
      <c r="H145" t="str">
        <f>IFERROR(Tab_Compteur_1[[#This Row],[Montant]]/Tab_Compteur_1[[#This Row],[Delta Jour]],"")</f>
        <v/>
      </c>
      <c r="I145" s="215" t="str">
        <f t="shared" si="8"/>
        <v/>
      </c>
      <c r="J145" s="192"/>
      <c r="K145" s="38"/>
      <c r="L145" s="38"/>
      <c r="M145" s="38"/>
      <c r="N145" s="38"/>
      <c r="O145"/>
    </row>
    <row r="146" spans="1:15">
      <c r="A146" s="501">
        <f t="shared" si="9"/>
        <v>1</v>
      </c>
      <c r="B146" s="236"/>
      <c r="C146" s="193"/>
      <c r="D146" s="193"/>
      <c r="E146" s="193"/>
      <c r="F146">
        <f t="shared" si="7"/>
        <v>0</v>
      </c>
      <c r="G146" t="str">
        <f>IF(IFERROR(IF(Str_TypeDonneesCpt1=Cpt_Index,Tab_Compteur_1[[#This Row],[Index]]-E145,Tab_Compteur_1[[#This Row],[Quantité]])/Tab_Compteur_1[[#This Row],[Delta Jour]],"")&lt;0,"",IFERROR(IF(Str_TypeDonneesCpt1=Cpt_Index,Tab_Compteur_1[[#This Row],[Index]]-E145,Tab_Compteur_1[[#This Row],[Quantité]])/Tab_Compteur_1[[#This Row],[Delta Jour]],""))</f>
        <v/>
      </c>
      <c r="H146" t="str">
        <f>IFERROR(Tab_Compteur_1[[#This Row],[Montant]]/Tab_Compteur_1[[#This Row],[Delta Jour]],"")</f>
        <v/>
      </c>
      <c r="I146" s="215" t="str">
        <f t="shared" si="8"/>
        <v/>
      </c>
      <c r="J146" s="192"/>
      <c r="K146" s="38"/>
      <c r="L146" s="38"/>
      <c r="M146" s="38"/>
      <c r="N146" s="38"/>
      <c r="O146"/>
    </row>
    <row r="147" spans="1:15">
      <c r="A147" s="501">
        <f t="shared" si="9"/>
        <v>1</v>
      </c>
      <c r="B147" s="236"/>
      <c r="C147" s="193"/>
      <c r="D147" s="193"/>
      <c r="E147" s="193"/>
      <c r="F147">
        <f t="shared" si="7"/>
        <v>0</v>
      </c>
      <c r="G147" t="str">
        <f>IF(IFERROR(IF(Str_TypeDonneesCpt1=Cpt_Index,Tab_Compteur_1[[#This Row],[Index]]-E146,Tab_Compteur_1[[#This Row],[Quantité]])/Tab_Compteur_1[[#This Row],[Delta Jour]],"")&lt;0,"",IFERROR(IF(Str_TypeDonneesCpt1=Cpt_Index,Tab_Compteur_1[[#This Row],[Index]]-E146,Tab_Compteur_1[[#This Row],[Quantité]])/Tab_Compteur_1[[#This Row],[Delta Jour]],""))</f>
        <v/>
      </c>
      <c r="H147" t="str">
        <f>IFERROR(Tab_Compteur_1[[#This Row],[Montant]]/Tab_Compteur_1[[#This Row],[Delta Jour]],"")</f>
        <v/>
      </c>
      <c r="I147" s="215" t="str">
        <f t="shared" si="8"/>
        <v/>
      </c>
      <c r="J147" s="192"/>
      <c r="K147" s="38"/>
      <c r="L147" s="38"/>
      <c r="M147" s="38"/>
      <c r="N147" s="38"/>
      <c r="O147"/>
    </row>
    <row r="148" spans="1:15">
      <c r="A148" s="501">
        <f t="shared" si="9"/>
        <v>1</v>
      </c>
      <c r="B148" s="236"/>
      <c r="C148" s="193"/>
      <c r="D148" s="193"/>
      <c r="E148" s="193"/>
      <c r="F148">
        <f t="shared" si="7"/>
        <v>0</v>
      </c>
      <c r="G148" t="str">
        <f>IF(IFERROR(IF(Str_TypeDonneesCpt1=Cpt_Index,Tab_Compteur_1[[#This Row],[Index]]-E147,Tab_Compteur_1[[#This Row],[Quantité]])/Tab_Compteur_1[[#This Row],[Delta Jour]],"")&lt;0,"",IFERROR(IF(Str_TypeDonneesCpt1=Cpt_Index,Tab_Compteur_1[[#This Row],[Index]]-E147,Tab_Compteur_1[[#This Row],[Quantité]])/Tab_Compteur_1[[#This Row],[Delta Jour]],""))</f>
        <v/>
      </c>
      <c r="H148" t="str">
        <f>IFERROR(Tab_Compteur_1[[#This Row],[Montant]]/Tab_Compteur_1[[#This Row],[Delta Jour]],"")</f>
        <v/>
      </c>
      <c r="I148" s="215" t="str">
        <f t="shared" si="8"/>
        <v/>
      </c>
      <c r="J148" s="192"/>
      <c r="K148" s="38"/>
      <c r="L148" s="38"/>
      <c r="M148" s="38"/>
      <c r="N148" s="38"/>
      <c r="O148"/>
    </row>
    <row r="149" spans="1:15">
      <c r="A149" s="501">
        <f t="shared" si="9"/>
        <v>1</v>
      </c>
      <c r="B149" s="236"/>
      <c r="C149" s="193"/>
      <c r="D149" s="193"/>
      <c r="E149" s="193"/>
      <c r="F149">
        <f t="shared" si="7"/>
        <v>0</v>
      </c>
      <c r="G149" t="str">
        <f>IF(IFERROR(IF(Str_TypeDonneesCpt1=Cpt_Index,Tab_Compteur_1[[#This Row],[Index]]-E148,Tab_Compteur_1[[#This Row],[Quantité]])/Tab_Compteur_1[[#This Row],[Delta Jour]],"")&lt;0,"",IFERROR(IF(Str_TypeDonneesCpt1=Cpt_Index,Tab_Compteur_1[[#This Row],[Index]]-E148,Tab_Compteur_1[[#This Row],[Quantité]])/Tab_Compteur_1[[#This Row],[Delta Jour]],""))</f>
        <v/>
      </c>
      <c r="H149" t="str">
        <f>IFERROR(Tab_Compteur_1[[#This Row],[Montant]]/Tab_Compteur_1[[#This Row],[Delta Jour]],"")</f>
        <v/>
      </c>
      <c r="I149" s="215" t="str">
        <f t="shared" si="8"/>
        <v/>
      </c>
      <c r="J149" s="192"/>
      <c r="K149" s="38"/>
      <c r="L149" s="38"/>
      <c r="M149" s="38"/>
      <c r="N149" s="38"/>
      <c r="O149"/>
    </row>
    <row r="150" spans="1:15">
      <c r="A150" s="501">
        <f t="shared" si="9"/>
        <v>1</v>
      </c>
      <c r="B150" s="236"/>
      <c r="C150" s="193"/>
      <c r="D150" s="193"/>
      <c r="E150" s="193"/>
      <c r="F150">
        <f t="shared" si="7"/>
        <v>0</v>
      </c>
      <c r="G150" t="str">
        <f>IF(IFERROR(IF(Str_TypeDonneesCpt1=Cpt_Index,Tab_Compteur_1[[#This Row],[Index]]-E149,Tab_Compteur_1[[#This Row],[Quantité]])/Tab_Compteur_1[[#This Row],[Delta Jour]],"")&lt;0,"",IFERROR(IF(Str_TypeDonneesCpt1=Cpt_Index,Tab_Compteur_1[[#This Row],[Index]]-E149,Tab_Compteur_1[[#This Row],[Quantité]])/Tab_Compteur_1[[#This Row],[Delta Jour]],""))</f>
        <v/>
      </c>
      <c r="H150" t="str">
        <f>IFERROR(Tab_Compteur_1[[#This Row],[Montant]]/Tab_Compteur_1[[#This Row],[Delta Jour]],"")</f>
        <v/>
      </c>
      <c r="I150" s="215" t="str">
        <f t="shared" si="8"/>
        <v/>
      </c>
      <c r="J150" s="192"/>
      <c r="K150" s="38"/>
      <c r="L150" s="38"/>
      <c r="M150" s="38"/>
      <c r="N150" s="38"/>
      <c r="O150"/>
    </row>
    <row r="151" spans="1:15">
      <c r="A151" s="501">
        <f t="shared" si="9"/>
        <v>1</v>
      </c>
      <c r="B151" s="236"/>
      <c r="C151" s="193"/>
      <c r="D151" s="193"/>
      <c r="E151" s="193"/>
      <c r="F151">
        <f t="shared" si="7"/>
        <v>0</v>
      </c>
      <c r="G151" t="str">
        <f>IF(IFERROR(IF(Str_TypeDonneesCpt1=Cpt_Index,Tab_Compteur_1[[#This Row],[Index]]-E150,Tab_Compteur_1[[#This Row],[Quantité]])/Tab_Compteur_1[[#This Row],[Delta Jour]],"")&lt;0,"",IFERROR(IF(Str_TypeDonneesCpt1=Cpt_Index,Tab_Compteur_1[[#This Row],[Index]]-E150,Tab_Compteur_1[[#This Row],[Quantité]])/Tab_Compteur_1[[#This Row],[Delta Jour]],""))</f>
        <v/>
      </c>
      <c r="H151" t="str">
        <f>IFERROR(Tab_Compteur_1[[#This Row],[Montant]]/Tab_Compteur_1[[#This Row],[Delta Jour]],"")</f>
        <v/>
      </c>
      <c r="I151" s="215" t="str">
        <f t="shared" si="8"/>
        <v/>
      </c>
      <c r="J151" s="192"/>
      <c r="K151" s="38"/>
      <c r="L151" s="38"/>
      <c r="M151" s="38"/>
      <c r="N151" s="38"/>
      <c r="O151"/>
    </row>
    <row r="152" spans="1:15">
      <c r="A152" s="501">
        <f t="shared" si="9"/>
        <v>1</v>
      </c>
      <c r="B152" s="236"/>
      <c r="C152" s="193"/>
      <c r="D152" s="193"/>
      <c r="E152" s="193"/>
      <c r="F152">
        <f t="shared" si="7"/>
        <v>0</v>
      </c>
      <c r="G152" t="str">
        <f>IF(IFERROR(IF(Str_TypeDonneesCpt1=Cpt_Index,Tab_Compteur_1[[#This Row],[Index]]-E151,Tab_Compteur_1[[#This Row],[Quantité]])/Tab_Compteur_1[[#This Row],[Delta Jour]],"")&lt;0,"",IFERROR(IF(Str_TypeDonneesCpt1=Cpt_Index,Tab_Compteur_1[[#This Row],[Index]]-E151,Tab_Compteur_1[[#This Row],[Quantité]])/Tab_Compteur_1[[#This Row],[Delta Jour]],""))</f>
        <v/>
      </c>
      <c r="H152" t="str">
        <f>IFERROR(Tab_Compteur_1[[#This Row],[Montant]]/Tab_Compteur_1[[#This Row],[Delta Jour]],"")</f>
        <v/>
      </c>
      <c r="I152" s="215" t="str">
        <f t="shared" si="8"/>
        <v/>
      </c>
      <c r="J152" s="192"/>
      <c r="K152" s="38"/>
      <c r="L152" s="38"/>
      <c r="M152" s="38"/>
      <c r="N152" s="38"/>
      <c r="O152"/>
    </row>
    <row r="153" spans="1:15">
      <c r="A153" s="501">
        <f t="shared" si="9"/>
        <v>1</v>
      </c>
      <c r="B153" s="236"/>
      <c r="C153" s="193"/>
      <c r="D153" s="193"/>
      <c r="E153" s="193"/>
      <c r="F153">
        <f t="shared" si="7"/>
        <v>0</v>
      </c>
      <c r="G153" t="str">
        <f>IF(IFERROR(IF(Str_TypeDonneesCpt1=Cpt_Index,Tab_Compteur_1[[#This Row],[Index]]-E152,Tab_Compteur_1[[#This Row],[Quantité]])/Tab_Compteur_1[[#This Row],[Delta Jour]],"")&lt;0,"",IFERROR(IF(Str_TypeDonneesCpt1=Cpt_Index,Tab_Compteur_1[[#This Row],[Index]]-E152,Tab_Compteur_1[[#This Row],[Quantité]])/Tab_Compteur_1[[#This Row],[Delta Jour]],""))</f>
        <v/>
      </c>
      <c r="H153" t="str">
        <f>IFERROR(Tab_Compteur_1[[#This Row],[Montant]]/Tab_Compteur_1[[#This Row],[Delta Jour]],"")</f>
        <v/>
      </c>
      <c r="I153" s="215" t="str">
        <f t="shared" si="8"/>
        <v/>
      </c>
      <c r="J153" s="192"/>
      <c r="K153" s="38"/>
      <c r="L153" s="38"/>
      <c r="M153" s="38"/>
      <c r="N153" s="38"/>
      <c r="O153"/>
    </row>
    <row r="154" spans="1:15">
      <c r="A154" s="501">
        <f t="shared" si="9"/>
        <v>1</v>
      </c>
      <c r="B154" s="496"/>
      <c r="C154" s="502"/>
      <c r="D154" s="502"/>
      <c r="E154" s="193"/>
      <c r="F154">
        <f t="shared" si="7"/>
        <v>0</v>
      </c>
      <c r="G154" t="str">
        <f>IF(IFERROR(IF(Str_TypeDonneesCpt1=Cpt_Index,Tab_Compteur_1[[#This Row],[Index]]-E153,Tab_Compteur_1[[#This Row],[Quantité]])/Tab_Compteur_1[[#This Row],[Delta Jour]],"")&lt;0,"",IFERROR(IF(Str_TypeDonneesCpt1=Cpt_Index,Tab_Compteur_1[[#This Row],[Index]]-E153,Tab_Compteur_1[[#This Row],[Quantité]])/Tab_Compteur_1[[#This Row],[Delta Jour]],""))</f>
        <v/>
      </c>
      <c r="H154" t="str">
        <f>IFERROR(Tab_Compteur_1[[#This Row],[Montant]]/Tab_Compteur_1[[#This Row],[Delta Jour]],"")</f>
        <v/>
      </c>
      <c r="I154" s="215" t="str">
        <f t="shared" si="8"/>
        <v/>
      </c>
      <c r="J154" s="192"/>
      <c r="K154" s="38"/>
      <c r="L154" s="38"/>
      <c r="M154" s="38"/>
      <c r="N154" s="38"/>
      <c r="O154"/>
    </row>
    <row r="155" spans="1:15">
      <c r="A155" s="501">
        <f t="shared" si="9"/>
        <v>1</v>
      </c>
      <c r="B155" s="496"/>
      <c r="C155" s="502"/>
      <c r="D155" s="502"/>
      <c r="E155" s="193"/>
      <c r="F155">
        <f t="shared" si="7"/>
        <v>0</v>
      </c>
      <c r="G155" t="str">
        <f>IF(IFERROR(IF(Str_TypeDonneesCpt1=Cpt_Index,Tab_Compteur_1[[#This Row],[Index]]-E154,Tab_Compteur_1[[#This Row],[Quantité]])/Tab_Compteur_1[[#This Row],[Delta Jour]],"")&lt;0,"",IFERROR(IF(Str_TypeDonneesCpt1=Cpt_Index,Tab_Compteur_1[[#This Row],[Index]]-E154,Tab_Compteur_1[[#This Row],[Quantité]])/Tab_Compteur_1[[#This Row],[Delta Jour]],""))</f>
        <v/>
      </c>
      <c r="H155" t="str">
        <f>IFERROR(Tab_Compteur_1[[#This Row],[Montant]]/Tab_Compteur_1[[#This Row],[Delta Jour]],"")</f>
        <v/>
      </c>
      <c r="I155" s="215" t="str">
        <f t="shared" si="8"/>
        <v/>
      </c>
      <c r="J155" s="192"/>
      <c r="K155" s="38"/>
      <c r="L155" s="38"/>
      <c r="M155" s="38"/>
      <c r="N155" s="38"/>
      <c r="O155"/>
    </row>
    <row r="156" spans="1:15">
      <c r="A156" s="501">
        <f t="shared" si="9"/>
        <v>1</v>
      </c>
      <c r="B156" s="496"/>
      <c r="C156" s="502"/>
      <c r="D156" s="502"/>
      <c r="E156" s="193"/>
      <c r="F156">
        <f t="shared" si="7"/>
        <v>0</v>
      </c>
      <c r="G156" t="str">
        <f>IF(IFERROR(IF(Str_TypeDonneesCpt1=Cpt_Index,Tab_Compteur_1[[#This Row],[Index]]-E155,Tab_Compteur_1[[#This Row],[Quantité]])/Tab_Compteur_1[[#This Row],[Delta Jour]],"")&lt;0,"",IFERROR(IF(Str_TypeDonneesCpt1=Cpt_Index,Tab_Compteur_1[[#This Row],[Index]]-E155,Tab_Compteur_1[[#This Row],[Quantité]])/Tab_Compteur_1[[#This Row],[Delta Jour]],""))</f>
        <v/>
      </c>
      <c r="H156" t="str">
        <f>IFERROR(Tab_Compteur_1[[#This Row],[Montant]]/Tab_Compteur_1[[#This Row],[Delta Jour]],"")</f>
        <v/>
      </c>
      <c r="I156" s="215" t="str">
        <f t="shared" si="8"/>
        <v/>
      </c>
      <c r="J156" s="192"/>
      <c r="K156" s="38"/>
      <c r="L156" s="38"/>
      <c r="M156" s="38"/>
      <c r="N156" s="38"/>
      <c r="O156"/>
    </row>
    <row r="157" spans="1:15">
      <c r="A157" s="501">
        <f t="shared" si="9"/>
        <v>1</v>
      </c>
      <c r="B157" s="496"/>
      <c r="C157" s="502"/>
      <c r="D157" s="502"/>
      <c r="E157" s="193"/>
      <c r="F157">
        <f t="shared" si="7"/>
        <v>0</v>
      </c>
      <c r="G157" t="str">
        <f>IF(IFERROR(IF(Str_TypeDonneesCpt1=Cpt_Index,Tab_Compteur_1[[#This Row],[Index]]-E156,Tab_Compteur_1[[#This Row],[Quantité]])/Tab_Compteur_1[[#This Row],[Delta Jour]],"")&lt;0,"",IFERROR(IF(Str_TypeDonneesCpt1=Cpt_Index,Tab_Compteur_1[[#This Row],[Index]]-E156,Tab_Compteur_1[[#This Row],[Quantité]])/Tab_Compteur_1[[#This Row],[Delta Jour]],""))</f>
        <v/>
      </c>
      <c r="H157" t="str">
        <f>IFERROR(Tab_Compteur_1[[#This Row],[Montant]]/Tab_Compteur_1[[#This Row],[Delta Jour]],"")</f>
        <v/>
      </c>
      <c r="I157" s="215" t="str">
        <f t="shared" si="8"/>
        <v/>
      </c>
      <c r="J157" s="192"/>
      <c r="K157" s="38"/>
      <c r="L157" s="38"/>
      <c r="M157" s="38"/>
      <c r="N157" s="38"/>
      <c r="O157"/>
    </row>
    <row r="158" spans="1:15">
      <c r="A158" s="501">
        <f t="shared" si="9"/>
        <v>1</v>
      </c>
      <c r="B158" s="496"/>
      <c r="C158" s="502"/>
      <c r="D158" s="502"/>
      <c r="E158" s="193"/>
      <c r="F158">
        <f t="shared" si="7"/>
        <v>0</v>
      </c>
      <c r="G158" t="str">
        <f>IF(IFERROR(IF(Str_TypeDonneesCpt1=Cpt_Index,Tab_Compteur_1[[#This Row],[Index]]-E157,Tab_Compteur_1[[#This Row],[Quantité]])/Tab_Compteur_1[[#This Row],[Delta Jour]],"")&lt;0,"",IFERROR(IF(Str_TypeDonneesCpt1=Cpt_Index,Tab_Compteur_1[[#This Row],[Index]]-E157,Tab_Compteur_1[[#This Row],[Quantité]])/Tab_Compteur_1[[#This Row],[Delta Jour]],""))</f>
        <v/>
      </c>
      <c r="H158" t="str">
        <f>IFERROR(Tab_Compteur_1[[#This Row],[Montant]]/Tab_Compteur_1[[#This Row],[Delta Jour]],"")</f>
        <v/>
      </c>
      <c r="I158" s="215" t="str">
        <f t="shared" si="8"/>
        <v/>
      </c>
      <c r="J158" s="192"/>
      <c r="K158" s="38"/>
      <c r="L158" s="38"/>
      <c r="M158" s="38"/>
      <c r="N158" s="38"/>
      <c r="O158"/>
    </row>
    <row r="159" spans="1:15">
      <c r="A159" s="501">
        <f t="shared" si="9"/>
        <v>1</v>
      </c>
      <c r="B159" s="496"/>
      <c r="C159" s="502"/>
      <c r="D159" s="502"/>
      <c r="E159" s="193"/>
      <c r="F159">
        <f t="shared" si="7"/>
        <v>0</v>
      </c>
      <c r="G159" t="str">
        <f>IF(IFERROR(IF(Str_TypeDonneesCpt1=Cpt_Index,Tab_Compteur_1[[#This Row],[Index]]-E158,Tab_Compteur_1[[#This Row],[Quantité]])/Tab_Compteur_1[[#This Row],[Delta Jour]],"")&lt;0,"",IFERROR(IF(Str_TypeDonneesCpt1=Cpt_Index,Tab_Compteur_1[[#This Row],[Index]]-E158,Tab_Compteur_1[[#This Row],[Quantité]])/Tab_Compteur_1[[#This Row],[Delta Jour]],""))</f>
        <v/>
      </c>
      <c r="H159" t="str">
        <f>IFERROR(Tab_Compteur_1[[#This Row],[Montant]]/Tab_Compteur_1[[#This Row],[Delta Jour]],"")</f>
        <v/>
      </c>
      <c r="I159" s="215" t="str">
        <f t="shared" si="8"/>
        <v/>
      </c>
      <c r="J159" s="192"/>
      <c r="K159" s="38"/>
      <c r="L159" s="38"/>
      <c r="M159" s="38"/>
      <c r="N159" s="38"/>
      <c r="O159"/>
    </row>
    <row r="160" spans="1:15">
      <c r="A160" s="501">
        <f t="shared" si="9"/>
        <v>1</v>
      </c>
      <c r="B160" s="496"/>
      <c r="C160" s="502"/>
      <c r="D160" s="502"/>
      <c r="E160" s="193"/>
      <c r="F160">
        <f t="shared" si="7"/>
        <v>0</v>
      </c>
      <c r="G160" t="str">
        <f>IF(IFERROR(IF(Str_TypeDonneesCpt1=Cpt_Index,Tab_Compteur_1[[#This Row],[Index]]-E159,Tab_Compteur_1[[#This Row],[Quantité]])/Tab_Compteur_1[[#This Row],[Delta Jour]],"")&lt;0,"",IFERROR(IF(Str_TypeDonneesCpt1=Cpt_Index,Tab_Compteur_1[[#This Row],[Index]]-E159,Tab_Compteur_1[[#This Row],[Quantité]])/Tab_Compteur_1[[#This Row],[Delta Jour]],""))</f>
        <v/>
      </c>
      <c r="H160" t="str">
        <f>IFERROR(Tab_Compteur_1[[#This Row],[Montant]]/Tab_Compteur_1[[#This Row],[Delta Jour]],"")</f>
        <v/>
      </c>
      <c r="I160" s="215" t="str">
        <f t="shared" si="8"/>
        <v/>
      </c>
      <c r="J160" s="192"/>
      <c r="K160" s="38"/>
      <c r="L160" s="38"/>
      <c r="M160" s="38"/>
      <c r="N160" s="38"/>
      <c r="O160"/>
    </row>
    <row r="161" spans="1:15">
      <c r="A161" s="501">
        <f t="shared" si="9"/>
        <v>1</v>
      </c>
      <c r="B161" s="496"/>
      <c r="C161" s="502"/>
      <c r="D161" s="502"/>
      <c r="E161" s="193"/>
      <c r="F161">
        <f t="shared" si="7"/>
        <v>0</v>
      </c>
      <c r="G161" t="str">
        <f>IF(IFERROR(IF(Str_TypeDonneesCpt1=Cpt_Index,Tab_Compteur_1[[#This Row],[Index]]-E160,Tab_Compteur_1[[#This Row],[Quantité]])/Tab_Compteur_1[[#This Row],[Delta Jour]],"")&lt;0,"",IFERROR(IF(Str_TypeDonneesCpt1=Cpt_Index,Tab_Compteur_1[[#This Row],[Index]]-E160,Tab_Compteur_1[[#This Row],[Quantité]])/Tab_Compteur_1[[#This Row],[Delta Jour]],""))</f>
        <v/>
      </c>
      <c r="H161" t="str">
        <f>IFERROR(Tab_Compteur_1[[#This Row],[Montant]]/Tab_Compteur_1[[#This Row],[Delta Jour]],"")</f>
        <v/>
      </c>
      <c r="I161" s="215" t="str">
        <f t="shared" si="8"/>
        <v/>
      </c>
      <c r="J161" s="192"/>
      <c r="K161" s="38"/>
      <c r="L161" s="38"/>
      <c r="M161" s="38"/>
      <c r="N161" s="38"/>
      <c r="O161"/>
    </row>
    <row r="162" spans="1:15">
      <c r="A162" s="501">
        <f t="shared" si="9"/>
        <v>1</v>
      </c>
      <c r="B162" s="236"/>
      <c r="C162" s="196"/>
      <c r="D162" s="195"/>
      <c r="E162" s="193"/>
      <c r="F162">
        <f t="shared" si="7"/>
        <v>0</v>
      </c>
      <c r="G162" t="str">
        <f>IF(IFERROR(IF(Str_TypeDonneesCpt1=Cpt_Index,Tab_Compteur_1[[#This Row],[Index]]-E161,Tab_Compteur_1[[#This Row],[Quantité]])/Tab_Compteur_1[[#This Row],[Delta Jour]],"")&lt;0,"",IFERROR(IF(Str_TypeDonneesCpt1=Cpt_Index,Tab_Compteur_1[[#This Row],[Index]]-E161,Tab_Compteur_1[[#This Row],[Quantité]])/Tab_Compteur_1[[#This Row],[Delta Jour]],""))</f>
        <v/>
      </c>
      <c r="H162" t="str">
        <f>IFERROR(Tab_Compteur_1[[#This Row],[Montant]]/Tab_Compteur_1[[#This Row],[Delta Jour]],"")</f>
        <v/>
      </c>
      <c r="I162" s="215" t="str">
        <f t="shared" si="8"/>
        <v/>
      </c>
      <c r="J162" s="192"/>
      <c r="K162" s="38"/>
      <c r="L162" s="38"/>
      <c r="M162" s="38"/>
      <c r="N162" s="38"/>
      <c r="O162"/>
    </row>
    <row r="163" spans="1:15">
      <c r="A163" s="501">
        <f t="shared" si="9"/>
        <v>1</v>
      </c>
      <c r="B163" s="236"/>
      <c r="C163" s="196"/>
      <c r="D163" s="195"/>
      <c r="E163" s="193"/>
      <c r="F163">
        <f t="shared" si="7"/>
        <v>0</v>
      </c>
      <c r="G163" t="str">
        <f>IF(IFERROR(IF(Str_TypeDonneesCpt1=Cpt_Index,Tab_Compteur_1[[#This Row],[Index]]-E162,Tab_Compteur_1[[#This Row],[Quantité]])/Tab_Compteur_1[[#This Row],[Delta Jour]],"")&lt;0,"",IFERROR(IF(Str_TypeDonneesCpt1=Cpt_Index,Tab_Compteur_1[[#This Row],[Index]]-E162,Tab_Compteur_1[[#This Row],[Quantité]])/Tab_Compteur_1[[#This Row],[Delta Jour]],""))</f>
        <v/>
      </c>
      <c r="H163" t="str">
        <f>IFERROR(Tab_Compteur_1[[#This Row],[Montant]]/Tab_Compteur_1[[#This Row],[Delta Jour]],"")</f>
        <v/>
      </c>
      <c r="I163" s="215" t="str">
        <f t="shared" si="8"/>
        <v/>
      </c>
      <c r="J163" s="192"/>
      <c r="K163" s="38"/>
      <c r="L163" s="38"/>
      <c r="M163" s="38"/>
      <c r="N163" s="38"/>
      <c r="O163"/>
    </row>
    <row r="164" spans="1:15">
      <c r="A164" s="501">
        <f t="shared" si="9"/>
        <v>1</v>
      </c>
      <c r="B164" s="236"/>
      <c r="C164" s="196"/>
      <c r="D164" s="195"/>
      <c r="E164" s="193"/>
      <c r="F164">
        <f t="shared" si="7"/>
        <v>0</v>
      </c>
      <c r="G164" t="str">
        <f>IF(IFERROR(IF(Str_TypeDonneesCpt1=Cpt_Index,Tab_Compteur_1[[#This Row],[Index]]-E163,Tab_Compteur_1[[#This Row],[Quantité]])/Tab_Compteur_1[[#This Row],[Delta Jour]],"")&lt;0,"",IFERROR(IF(Str_TypeDonneesCpt1=Cpt_Index,Tab_Compteur_1[[#This Row],[Index]]-E163,Tab_Compteur_1[[#This Row],[Quantité]])/Tab_Compteur_1[[#This Row],[Delta Jour]],""))</f>
        <v/>
      </c>
      <c r="H164" t="str">
        <f>IFERROR(Tab_Compteur_1[[#This Row],[Montant]]/Tab_Compteur_1[[#This Row],[Delta Jour]],"")</f>
        <v/>
      </c>
      <c r="I164" s="215" t="str">
        <f t="shared" si="8"/>
        <v/>
      </c>
      <c r="J164" s="192"/>
      <c r="K164" s="38"/>
      <c r="L164" s="38"/>
      <c r="M164" s="38"/>
      <c r="N164" s="38"/>
      <c r="O164"/>
    </row>
    <row r="165" spans="1:15">
      <c r="A165" s="501">
        <f t="shared" si="9"/>
        <v>1</v>
      </c>
      <c r="B165" s="236"/>
      <c r="C165" s="196"/>
      <c r="D165" s="195"/>
      <c r="E165" s="193"/>
      <c r="F165">
        <f t="shared" si="7"/>
        <v>0</v>
      </c>
      <c r="G165" t="str">
        <f>IF(IFERROR(IF(Str_TypeDonneesCpt1=Cpt_Index,Tab_Compteur_1[[#This Row],[Index]]-E164,Tab_Compteur_1[[#This Row],[Quantité]])/Tab_Compteur_1[[#This Row],[Delta Jour]],"")&lt;0,"",IFERROR(IF(Str_TypeDonneesCpt1=Cpt_Index,Tab_Compteur_1[[#This Row],[Index]]-E164,Tab_Compteur_1[[#This Row],[Quantité]])/Tab_Compteur_1[[#This Row],[Delta Jour]],""))</f>
        <v/>
      </c>
      <c r="H165" t="str">
        <f>IFERROR(Tab_Compteur_1[[#This Row],[Montant]]/Tab_Compteur_1[[#This Row],[Delta Jour]],"")</f>
        <v/>
      </c>
      <c r="I165" s="215" t="str">
        <f t="shared" si="8"/>
        <v/>
      </c>
      <c r="J165" s="192"/>
      <c r="K165" s="38"/>
      <c r="L165" s="38"/>
      <c r="M165" s="38"/>
      <c r="N165" s="38"/>
      <c r="O165"/>
    </row>
    <row r="166" spans="1:15">
      <c r="A166" s="501">
        <f t="shared" si="9"/>
        <v>1</v>
      </c>
      <c r="B166" s="236"/>
      <c r="C166" s="196"/>
      <c r="D166" s="195"/>
      <c r="E166" s="193"/>
      <c r="F166">
        <f t="shared" si="7"/>
        <v>0</v>
      </c>
      <c r="G166" t="str">
        <f>IF(IFERROR(IF(Str_TypeDonneesCpt1=Cpt_Index,Tab_Compteur_1[[#This Row],[Index]]-E165,Tab_Compteur_1[[#This Row],[Quantité]])/Tab_Compteur_1[[#This Row],[Delta Jour]],"")&lt;0,"",IFERROR(IF(Str_TypeDonneesCpt1=Cpt_Index,Tab_Compteur_1[[#This Row],[Index]]-E165,Tab_Compteur_1[[#This Row],[Quantité]])/Tab_Compteur_1[[#This Row],[Delta Jour]],""))</f>
        <v/>
      </c>
      <c r="H166" t="str">
        <f>IFERROR(Tab_Compteur_1[[#This Row],[Montant]]/Tab_Compteur_1[[#This Row],[Delta Jour]],"")</f>
        <v/>
      </c>
      <c r="I166" s="215" t="str">
        <f t="shared" si="8"/>
        <v/>
      </c>
      <c r="J166" s="192"/>
      <c r="K166" s="38"/>
      <c r="L166" s="38"/>
      <c r="M166" s="38"/>
      <c r="N166" s="38"/>
      <c r="O166"/>
    </row>
    <row r="167" spans="1:15">
      <c r="A167" s="501">
        <f t="shared" si="9"/>
        <v>1</v>
      </c>
      <c r="B167" s="236"/>
      <c r="C167" s="196"/>
      <c r="D167" s="195"/>
      <c r="E167" s="193"/>
      <c r="F167">
        <f t="shared" si="7"/>
        <v>0</v>
      </c>
      <c r="G167" t="str">
        <f>IF(IFERROR(IF(Str_TypeDonneesCpt1=Cpt_Index,Tab_Compteur_1[[#This Row],[Index]]-E166,Tab_Compteur_1[[#This Row],[Quantité]])/Tab_Compteur_1[[#This Row],[Delta Jour]],"")&lt;0,"",IFERROR(IF(Str_TypeDonneesCpt1=Cpt_Index,Tab_Compteur_1[[#This Row],[Index]]-E166,Tab_Compteur_1[[#This Row],[Quantité]])/Tab_Compteur_1[[#This Row],[Delta Jour]],""))</f>
        <v/>
      </c>
      <c r="H167" t="str">
        <f>IFERROR(Tab_Compteur_1[[#This Row],[Montant]]/Tab_Compteur_1[[#This Row],[Delta Jour]],"")</f>
        <v/>
      </c>
      <c r="I167" s="215" t="str">
        <f t="shared" si="8"/>
        <v/>
      </c>
      <c r="J167" s="192"/>
      <c r="K167" s="38"/>
      <c r="L167" s="38"/>
      <c r="M167" s="38"/>
      <c r="N167" s="38"/>
      <c r="O167"/>
    </row>
    <row r="168" spans="1:15">
      <c r="A168" s="501">
        <f t="shared" si="9"/>
        <v>1</v>
      </c>
      <c r="B168" s="236"/>
      <c r="C168" s="196"/>
      <c r="D168" s="195"/>
      <c r="E168" s="193"/>
      <c r="F168">
        <f t="shared" si="7"/>
        <v>0</v>
      </c>
      <c r="G168" t="str">
        <f>IF(IFERROR(IF(Str_TypeDonneesCpt1=Cpt_Index,Tab_Compteur_1[[#This Row],[Index]]-E167,Tab_Compteur_1[[#This Row],[Quantité]])/Tab_Compteur_1[[#This Row],[Delta Jour]],"")&lt;0,"",IFERROR(IF(Str_TypeDonneesCpt1=Cpt_Index,Tab_Compteur_1[[#This Row],[Index]]-E167,Tab_Compteur_1[[#This Row],[Quantité]])/Tab_Compteur_1[[#This Row],[Delta Jour]],""))</f>
        <v/>
      </c>
      <c r="H168" t="str">
        <f>IFERROR(Tab_Compteur_1[[#This Row],[Montant]]/Tab_Compteur_1[[#This Row],[Delta Jour]],"")</f>
        <v/>
      </c>
      <c r="I168" s="215" t="str">
        <f t="shared" si="8"/>
        <v/>
      </c>
      <c r="J168" s="192"/>
      <c r="K168" s="38"/>
      <c r="L168" s="38"/>
      <c r="M168" s="38"/>
      <c r="N168" s="38"/>
      <c r="O168"/>
    </row>
    <row r="169" spans="1:15">
      <c r="A169" s="501">
        <f t="shared" si="9"/>
        <v>1</v>
      </c>
      <c r="B169" s="236"/>
      <c r="C169" s="196"/>
      <c r="D169" s="195"/>
      <c r="E169" s="193"/>
      <c r="F169">
        <f t="shared" si="7"/>
        <v>0</v>
      </c>
      <c r="G169" t="str">
        <f>IF(IFERROR(IF(Str_TypeDonneesCpt1=Cpt_Index,Tab_Compteur_1[[#This Row],[Index]]-E168,Tab_Compteur_1[[#This Row],[Quantité]])/Tab_Compteur_1[[#This Row],[Delta Jour]],"")&lt;0,"",IFERROR(IF(Str_TypeDonneesCpt1=Cpt_Index,Tab_Compteur_1[[#This Row],[Index]]-E168,Tab_Compteur_1[[#This Row],[Quantité]])/Tab_Compteur_1[[#This Row],[Delta Jour]],""))</f>
        <v/>
      </c>
      <c r="H169" t="str">
        <f>IFERROR(Tab_Compteur_1[[#This Row],[Montant]]/Tab_Compteur_1[[#This Row],[Delta Jour]],"")</f>
        <v/>
      </c>
      <c r="I169" s="215" t="str">
        <f t="shared" si="8"/>
        <v/>
      </c>
      <c r="J169" s="192"/>
      <c r="K169" s="38"/>
      <c r="L169" s="38"/>
      <c r="M169" s="38"/>
      <c r="N169" s="38"/>
      <c r="O169"/>
    </row>
    <row r="170" spans="1:15">
      <c r="A170" s="501">
        <f t="shared" si="9"/>
        <v>1</v>
      </c>
      <c r="B170" s="236"/>
      <c r="C170" s="196"/>
      <c r="D170" s="195"/>
      <c r="E170" s="193"/>
      <c r="F170">
        <f t="shared" si="7"/>
        <v>0</v>
      </c>
      <c r="G170" t="str">
        <f>IF(IFERROR(IF(Str_TypeDonneesCpt1=Cpt_Index,Tab_Compteur_1[[#This Row],[Index]]-E169,Tab_Compteur_1[[#This Row],[Quantité]])/Tab_Compteur_1[[#This Row],[Delta Jour]],"")&lt;0,"",IFERROR(IF(Str_TypeDonneesCpt1=Cpt_Index,Tab_Compteur_1[[#This Row],[Index]]-E169,Tab_Compteur_1[[#This Row],[Quantité]])/Tab_Compteur_1[[#This Row],[Delta Jour]],""))</f>
        <v/>
      </c>
      <c r="H170" t="str">
        <f>IFERROR(Tab_Compteur_1[[#This Row],[Montant]]/Tab_Compteur_1[[#This Row],[Delta Jour]],"")</f>
        <v/>
      </c>
      <c r="I170" s="215" t="str">
        <f t="shared" si="8"/>
        <v/>
      </c>
      <c r="J170" s="192"/>
      <c r="K170" s="38"/>
      <c r="L170" s="38"/>
      <c r="M170" s="38"/>
      <c r="N170" s="38"/>
      <c r="O170"/>
    </row>
    <row r="171" spans="1:15">
      <c r="A171" s="501">
        <f t="shared" si="9"/>
        <v>1</v>
      </c>
      <c r="B171" s="236"/>
      <c r="C171" s="196"/>
      <c r="D171" s="195"/>
      <c r="E171" s="193"/>
      <c r="F171">
        <f t="shared" si="7"/>
        <v>0</v>
      </c>
      <c r="G171" t="str">
        <f>IF(IFERROR(IF(Str_TypeDonneesCpt1=Cpt_Index,Tab_Compteur_1[[#This Row],[Index]]-E170,Tab_Compteur_1[[#This Row],[Quantité]])/Tab_Compteur_1[[#This Row],[Delta Jour]],"")&lt;0,"",IFERROR(IF(Str_TypeDonneesCpt1=Cpt_Index,Tab_Compteur_1[[#This Row],[Index]]-E170,Tab_Compteur_1[[#This Row],[Quantité]])/Tab_Compteur_1[[#This Row],[Delta Jour]],""))</f>
        <v/>
      </c>
      <c r="H171" t="str">
        <f>IFERROR(Tab_Compteur_1[[#This Row],[Montant]]/Tab_Compteur_1[[#This Row],[Delta Jour]],"")</f>
        <v/>
      </c>
      <c r="I171" s="215" t="str">
        <f t="shared" si="8"/>
        <v/>
      </c>
      <c r="J171" s="192"/>
      <c r="K171" s="38"/>
      <c r="L171" s="38"/>
      <c r="M171" s="38"/>
      <c r="N171" s="38"/>
      <c r="O171"/>
    </row>
    <row r="172" spans="1:15">
      <c r="A172" s="501">
        <f t="shared" si="9"/>
        <v>1</v>
      </c>
      <c r="B172" s="496"/>
      <c r="C172" s="196"/>
      <c r="D172" s="195"/>
      <c r="E172" s="193"/>
      <c r="F172">
        <f t="shared" si="7"/>
        <v>0</v>
      </c>
      <c r="G172" t="str">
        <f>IF(IFERROR(IF(Str_TypeDonneesCpt1=Cpt_Index,Tab_Compteur_1[[#This Row],[Index]]-E171,Tab_Compteur_1[[#This Row],[Quantité]])/Tab_Compteur_1[[#This Row],[Delta Jour]],"")&lt;0,"",IFERROR(IF(Str_TypeDonneesCpt1=Cpt_Index,Tab_Compteur_1[[#This Row],[Index]]-E171,Tab_Compteur_1[[#This Row],[Quantité]])/Tab_Compteur_1[[#This Row],[Delta Jour]],""))</f>
        <v/>
      </c>
      <c r="H172" t="str">
        <f>IFERROR(Tab_Compteur_1[[#This Row],[Montant]]/Tab_Compteur_1[[#This Row],[Delta Jour]],"")</f>
        <v/>
      </c>
      <c r="I172" s="215" t="str">
        <f t="shared" si="8"/>
        <v/>
      </c>
      <c r="J172" s="192"/>
      <c r="K172" s="38"/>
      <c r="L172" s="38"/>
      <c r="M172" s="38"/>
      <c r="N172" s="38"/>
      <c r="O172"/>
    </row>
    <row r="173" spans="1:15">
      <c r="A173" s="501">
        <f t="shared" si="9"/>
        <v>1</v>
      </c>
      <c r="B173" s="496"/>
      <c r="C173" s="196"/>
      <c r="D173" s="195"/>
      <c r="E173" s="193"/>
      <c r="F173">
        <f t="shared" si="7"/>
        <v>0</v>
      </c>
      <c r="G173" t="str">
        <f>IF(IFERROR(IF(Str_TypeDonneesCpt1=Cpt_Index,Tab_Compteur_1[[#This Row],[Index]]-E172,Tab_Compteur_1[[#This Row],[Quantité]])/Tab_Compteur_1[[#This Row],[Delta Jour]],"")&lt;0,"",IFERROR(IF(Str_TypeDonneesCpt1=Cpt_Index,Tab_Compteur_1[[#This Row],[Index]]-E172,Tab_Compteur_1[[#This Row],[Quantité]])/Tab_Compteur_1[[#This Row],[Delta Jour]],""))</f>
        <v/>
      </c>
      <c r="H173" t="str">
        <f>IFERROR(Tab_Compteur_1[[#This Row],[Montant]]/Tab_Compteur_1[[#This Row],[Delta Jour]],"")</f>
        <v/>
      </c>
      <c r="I173" s="215" t="str">
        <f t="shared" si="8"/>
        <v/>
      </c>
      <c r="J173" s="192"/>
      <c r="K173" s="38"/>
      <c r="L173" s="38"/>
      <c r="M173" s="38"/>
      <c r="N173" s="38"/>
      <c r="O173"/>
    </row>
    <row r="174" spans="1:15">
      <c r="A174" s="501">
        <f t="shared" si="9"/>
        <v>1</v>
      </c>
      <c r="B174" s="236"/>
      <c r="C174" s="196"/>
      <c r="D174" s="195"/>
      <c r="E174" s="193"/>
      <c r="F174">
        <f t="shared" si="7"/>
        <v>0</v>
      </c>
      <c r="G174" t="str">
        <f>IF(IFERROR(IF(Str_TypeDonneesCpt1=Cpt_Index,Tab_Compteur_1[[#This Row],[Index]]-E173,Tab_Compteur_1[[#This Row],[Quantité]])/Tab_Compteur_1[[#This Row],[Delta Jour]],"")&lt;0,"",IFERROR(IF(Str_TypeDonneesCpt1=Cpt_Index,Tab_Compteur_1[[#This Row],[Index]]-E173,Tab_Compteur_1[[#This Row],[Quantité]])/Tab_Compteur_1[[#This Row],[Delta Jour]],""))</f>
        <v/>
      </c>
      <c r="H174" t="str">
        <f>IFERROR(Tab_Compteur_1[[#This Row],[Montant]]/Tab_Compteur_1[[#This Row],[Delta Jour]],"")</f>
        <v/>
      </c>
      <c r="I174" s="215" t="str">
        <f t="shared" si="8"/>
        <v/>
      </c>
      <c r="J174" s="192"/>
      <c r="K174" s="38"/>
      <c r="L174" s="38"/>
      <c r="M174" s="38"/>
      <c r="N174" s="38"/>
      <c r="O174"/>
    </row>
    <row r="175" spans="1:15">
      <c r="A175" s="501">
        <f t="shared" si="9"/>
        <v>1</v>
      </c>
      <c r="B175" s="236"/>
      <c r="C175" s="196"/>
      <c r="D175" s="195"/>
      <c r="E175" s="193"/>
      <c r="F175">
        <f t="shared" si="7"/>
        <v>0</v>
      </c>
      <c r="G175" t="str">
        <f>IF(IFERROR(IF(Str_TypeDonneesCpt1=Cpt_Index,Tab_Compteur_1[[#This Row],[Index]]-E174,Tab_Compteur_1[[#This Row],[Quantité]])/Tab_Compteur_1[[#This Row],[Delta Jour]],"")&lt;0,"",IFERROR(IF(Str_TypeDonneesCpt1=Cpt_Index,Tab_Compteur_1[[#This Row],[Index]]-E174,Tab_Compteur_1[[#This Row],[Quantité]])/Tab_Compteur_1[[#This Row],[Delta Jour]],""))</f>
        <v/>
      </c>
      <c r="H175" t="str">
        <f>IFERROR(Tab_Compteur_1[[#This Row],[Montant]]/Tab_Compteur_1[[#This Row],[Delta Jour]],"")</f>
        <v/>
      </c>
      <c r="I175" s="215" t="str">
        <f t="shared" si="8"/>
        <v/>
      </c>
      <c r="J175" s="192"/>
      <c r="K175" s="38"/>
      <c r="L175" s="38"/>
      <c r="M175" s="38"/>
      <c r="N175" s="38"/>
      <c r="O175"/>
    </row>
    <row r="176" spans="1:15">
      <c r="A176" s="501">
        <f t="shared" si="9"/>
        <v>1</v>
      </c>
      <c r="B176" s="236"/>
      <c r="C176" s="196"/>
      <c r="D176" s="195"/>
      <c r="E176" s="193"/>
      <c r="F176">
        <f t="shared" si="7"/>
        <v>0</v>
      </c>
      <c r="G176" t="str">
        <f>IF(IFERROR(IF(Str_TypeDonneesCpt1=Cpt_Index,Tab_Compteur_1[[#This Row],[Index]]-E175,Tab_Compteur_1[[#This Row],[Quantité]])/Tab_Compteur_1[[#This Row],[Delta Jour]],"")&lt;0,"",IFERROR(IF(Str_TypeDonneesCpt1=Cpt_Index,Tab_Compteur_1[[#This Row],[Index]]-E175,Tab_Compteur_1[[#This Row],[Quantité]])/Tab_Compteur_1[[#This Row],[Delta Jour]],""))</f>
        <v/>
      </c>
      <c r="H176" t="str">
        <f>IFERROR(Tab_Compteur_1[[#This Row],[Montant]]/Tab_Compteur_1[[#This Row],[Delta Jour]],"")</f>
        <v/>
      </c>
      <c r="I176" s="215" t="str">
        <f t="shared" si="8"/>
        <v/>
      </c>
      <c r="J176" s="192"/>
      <c r="K176" s="38"/>
      <c r="L176" s="38"/>
      <c r="M176" s="38"/>
      <c r="N176" s="38"/>
      <c r="O176"/>
    </row>
    <row r="177" spans="1:15">
      <c r="A177" s="501">
        <f t="shared" si="9"/>
        <v>1</v>
      </c>
      <c r="B177" s="236"/>
      <c r="C177" s="196"/>
      <c r="D177" s="195"/>
      <c r="E177" s="193"/>
      <c r="F177">
        <f t="shared" si="7"/>
        <v>0</v>
      </c>
      <c r="G177" t="str">
        <f>IF(IFERROR(IF(Str_TypeDonneesCpt1=Cpt_Index,Tab_Compteur_1[[#This Row],[Index]]-E176,Tab_Compteur_1[[#This Row],[Quantité]])/Tab_Compteur_1[[#This Row],[Delta Jour]],"")&lt;0,"",IFERROR(IF(Str_TypeDonneesCpt1=Cpt_Index,Tab_Compteur_1[[#This Row],[Index]]-E176,Tab_Compteur_1[[#This Row],[Quantité]])/Tab_Compteur_1[[#This Row],[Delta Jour]],""))</f>
        <v/>
      </c>
      <c r="H177" t="str">
        <f>IFERROR(Tab_Compteur_1[[#This Row],[Montant]]/Tab_Compteur_1[[#This Row],[Delta Jour]],"")</f>
        <v/>
      </c>
      <c r="I177" s="215" t="str">
        <f t="shared" si="8"/>
        <v/>
      </c>
      <c r="J177" s="192"/>
      <c r="K177" s="38"/>
      <c r="L177" s="38"/>
      <c r="M177" s="38"/>
      <c r="N177" s="38"/>
      <c r="O177"/>
    </row>
    <row r="178" spans="1:15">
      <c r="A178" s="501">
        <f t="shared" si="9"/>
        <v>1</v>
      </c>
      <c r="B178" s="236"/>
      <c r="C178" s="196"/>
      <c r="D178" s="195"/>
      <c r="E178" s="193"/>
      <c r="F178">
        <f t="shared" si="7"/>
        <v>0</v>
      </c>
      <c r="G178" t="str">
        <f>IF(IFERROR(IF(Str_TypeDonneesCpt1=Cpt_Index,Tab_Compteur_1[[#This Row],[Index]]-E177,Tab_Compteur_1[[#This Row],[Quantité]])/Tab_Compteur_1[[#This Row],[Delta Jour]],"")&lt;0,"",IFERROR(IF(Str_TypeDonneesCpt1=Cpt_Index,Tab_Compteur_1[[#This Row],[Index]]-E177,Tab_Compteur_1[[#This Row],[Quantité]])/Tab_Compteur_1[[#This Row],[Delta Jour]],""))</f>
        <v/>
      </c>
      <c r="H178" t="str">
        <f>IFERROR(Tab_Compteur_1[[#This Row],[Montant]]/Tab_Compteur_1[[#This Row],[Delta Jour]],"")</f>
        <v/>
      </c>
      <c r="I178" s="215" t="str">
        <f t="shared" si="8"/>
        <v/>
      </c>
      <c r="J178" s="192"/>
      <c r="K178" s="38"/>
      <c r="L178" s="38"/>
      <c r="M178" s="38"/>
      <c r="N178" s="38"/>
      <c r="O178"/>
    </row>
    <row r="179" spans="1:15">
      <c r="A179" s="501">
        <f t="shared" si="9"/>
        <v>1</v>
      </c>
      <c r="B179" s="236"/>
      <c r="C179" s="196"/>
      <c r="D179" s="195"/>
      <c r="E179" s="193"/>
      <c r="F179">
        <f t="shared" si="7"/>
        <v>0</v>
      </c>
      <c r="G179" t="str">
        <f>IF(IFERROR(IF(Str_TypeDonneesCpt1=Cpt_Index,Tab_Compteur_1[[#This Row],[Index]]-E178,Tab_Compteur_1[[#This Row],[Quantité]])/Tab_Compteur_1[[#This Row],[Delta Jour]],"")&lt;0,"",IFERROR(IF(Str_TypeDonneesCpt1=Cpt_Index,Tab_Compteur_1[[#This Row],[Index]]-E178,Tab_Compteur_1[[#This Row],[Quantité]])/Tab_Compteur_1[[#This Row],[Delta Jour]],""))</f>
        <v/>
      </c>
      <c r="H179" t="str">
        <f>IFERROR(Tab_Compteur_1[[#This Row],[Montant]]/Tab_Compteur_1[[#This Row],[Delta Jour]],"")</f>
        <v/>
      </c>
      <c r="I179" s="215" t="str">
        <f t="shared" si="8"/>
        <v/>
      </c>
      <c r="J179" s="192"/>
      <c r="K179" s="38"/>
      <c r="L179" s="38"/>
      <c r="M179" s="38"/>
      <c r="N179" s="38"/>
      <c r="O179"/>
    </row>
    <row r="180" spans="1:15">
      <c r="A180" s="501">
        <f t="shared" si="9"/>
        <v>1</v>
      </c>
      <c r="B180" s="236"/>
      <c r="C180" s="196"/>
      <c r="D180" s="195"/>
      <c r="E180" s="193"/>
      <c r="F180">
        <f t="shared" si="7"/>
        <v>0</v>
      </c>
      <c r="G180" t="str">
        <f>IF(IFERROR(IF(Str_TypeDonneesCpt1=Cpt_Index,Tab_Compteur_1[[#This Row],[Index]]-E179,Tab_Compteur_1[[#This Row],[Quantité]])/Tab_Compteur_1[[#This Row],[Delta Jour]],"")&lt;0,"",IFERROR(IF(Str_TypeDonneesCpt1=Cpt_Index,Tab_Compteur_1[[#This Row],[Index]]-E179,Tab_Compteur_1[[#This Row],[Quantité]])/Tab_Compteur_1[[#This Row],[Delta Jour]],""))</f>
        <v/>
      </c>
      <c r="H180" t="str">
        <f>IFERROR(Tab_Compteur_1[[#This Row],[Montant]]/Tab_Compteur_1[[#This Row],[Delta Jour]],"")</f>
        <v/>
      </c>
      <c r="I180" s="215" t="str">
        <f t="shared" si="8"/>
        <v/>
      </c>
      <c r="J180" s="192"/>
      <c r="K180" s="38"/>
      <c r="L180" s="38"/>
      <c r="M180" s="38"/>
      <c r="N180" s="38"/>
      <c r="O180"/>
    </row>
    <row r="181" spans="1:15">
      <c r="A181" s="501">
        <f t="shared" si="9"/>
        <v>1</v>
      </c>
      <c r="B181" s="236"/>
      <c r="C181" s="196"/>
      <c r="D181" s="195"/>
      <c r="E181" s="193"/>
      <c r="F181">
        <f t="shared" si="7"/>
        <v>0</v>
      </c>
      <c r="G181" t="str">
        <f>IF(IFERROR(IF(Str_TypeDonneesCpt1=Cpt_Index,Tab_Compteur_1[[#This Row],[Index]]-E180,Tab_Compteur_1[[#This Row],[Quantité]])/Tab_Compteur_1[[#This Row],[Delta Jour]],"")&lt;0,"",IFERROR(IF(Str_TypeDonneesCpt1=Cpt_Index,Tab_Compteur_1[[#This Row],[Index]]-E180,Tab_Compteur_1[[#This Row],[Quantité]])/Tab_Compteur_1[[#This Row],[Delta Jour]],""))</f>
        <v/>
      </c>
      <c r="H181" t="str">
        <f>IFERROR(Tab_Compteur_1[[#This Row],[Montant]]/Tab_Compteur_1[[#This Row],[Delta Jour]],"")</f>
        <v/>
      </c>
      <c r="I181" s="215" t="str">
        <f t="shared" si="8"/>
        <v/>
      </c>
      <c r="J181" s="192"/>
      <c r="K181" s="38"/>
      <c r="L181" s="38"/>
      <c r="M181" s="38"/>
      <c r="N181" s="38"/>
      <c r="O181"/>
    </row>
    <row r="182" spans="1:15">
      <c r="A182" s="501">
        <f t="shared" si="9"/>
        <v>1</v>
      </c>
      <c r="B182" s="236"/>
      <c r="C182" s="196"/>
      <c r="D182" s="195"/>
      <c r="E182" s="193"/>
      <c r="F182">
        <f t="shared" si="7"/>
        <v>0</v>
      </c>
      <c r="G182" t="str">
        <f>IF(IFERROR(IF(Str_TypeDonneesCpt1=Cpt_Index,Tab_Compteur_1[[#This Row],[Index]]-E181,Tab_Compteur_1[[#This Row],[Quantité]])/Tab_Compteur_1[[#This Row],[Delta Jour]],"")&lt;0,"",IFERROR(IF(Str_TypeDonneesCpt1=Cpt_Index,Tab_Compteur_1[[#This Row],[Index]]-E181,Tab_Compteur_1[[#This Row],[Quantité]])/Tab_Compteur_1[[#This Row],[Delta Jour]],""))</f>
        <v/>
      </c>
      <c r="H182" t="str">
        <f>IFERROR(Tab_Compteur_1[[#This Row],[Montant]]/Tab_Compteur_1[[#This Row],[Delta Jour]],"")</f>
        <v/>
      </c>
      <c r="I182" s="215" t="str">
        <f t="shared" si="8"/>
        <v/>
      </c>
      <c r="J182" s="192"/>
      <c r="K182" s="38"/>
      <c r="L182" s="38"/>
      <c r="M182" s="38"/>
      <c r="N182" s="38"/>
      <c r="O182"/>
    </row>
    <row r="183" spans="1:15">
      <c r="A183" s="501">
        <f t="shared" si="9"/>
        <v>1</v>
      </c>
      <c r="B183" s="236"/>
      <c r="C183" s="196"/>
      <c r="D183" s="195"/>
      <c r="E183" s="193"/>
      <c r="F183">
        <f t="shared" si="7"/>
        <v>0</v>
      </c>
      <c r="G183" t="str">
        <f>IF(IFERROR(IF(Str_TypeDonneesCpt1=Cpt_Index,Tab_Compteur_1[[#This Row],[Index]]-E182,Tab_Compteur_1[[#This Row],[Quantité]])/Tab_Compteur_1[[#This Row],[Delta Jour]],"")&lt;0,"",IFERROR(IF(Str_TypeDonneesCpt1=Cpt_Index,Tab_Compteur_1[[#This Row],[Index]]-E182,Tab_Compteur_1[[#This Row],[Quantité]])/Tab_Compteur_1[[#This Row],[Delta Jour]],""))</f>
        <v/>
      </c>
      <c r="H183" t="str">
        <f>IFERROR(Tab_Compteur_1[[#This Row],[Montant]]/Tab_Compteur_1[[#This Row],[Delta Jour]],"")</f>
        <v/>
      </c>
      <c r="I183" s="215" t="str">
        <f t="shared" si="8"/>
        <v/>
      </c>
      <c r="J183" s="192"/>
      <c r="K183" s="38"/>
      <c r="L183" s="38"/>
      <c r="M183" s="38"/>
      <c r="N183" s="38"/>
      <c r="O183"/>
    </row>
    <row r="184" spans="1:15">
      <c r="A184" s="501">
        <f t="shared" si="9"/>
        <v>1</v>
      </c>
      <c r="B184" s="236"/>
      <c r="C184" s="196"/>
      <c r="D184" s="195"/>
      <c r="E184" s="193"/>
      <c r="F184">
        <f t="shared" si="7"/>
        <v>0</v>
      </c>
      <c r="G184" t="str">
        <f>IF(IFERROR(IF(Str_TypeDonneesCpt1=Cpt_Index,Tab_Compteur_1[[#This Row],[Index]]-E183,Tab_Compteur_1[[#This Row],[Quantité]])/Tab_Compteur_1[[#This Row],[Delta Jour]],"")&lt;0,"",IFERROR(IF(Str_TypeDonneesCpt1=Cpt_Index,Tab_Compteur_1[[#This Row],[Index]]-E183,Tab_Compteur_1[[#This Row],[Quantité]])/Tab_Compteur_1[[#This Row],[Delta Jour]],""))</f>
        <v/>
      </c>
      <c r="H184" t="str">
        <f>IFERROR(Tab_Compteur_1[[#This Row],[Montant]]/Tab_Compteur_1[[#This Row],[Delta Jour]],"")</f>
        <v/>
      </c>
      <c r="I184" s="215" t="str">
        <f t="shared" si="8"/>
        <v/>
      </c>
      <c r="J184" s="192"/>
      <c r="K184" s="38"/>
      <c r="L184" s="38"/>
      <c r="M184" s="38"/>
      <c r="N184" s="38"/>
      <c r="O184"/>
    </row>
    <row r="185" spans="1:15">
      <c r="A185" s="501">
        <f t="shared" si="9"/>
        <v>1</v>
      </c>
      <c r="B185" s="236"/>
      <c r="C185" s="196"/>
      <c r="D185" s="195"/>
      <c r="E185" s="193"/>
      <c r="F185">
        <f t="shared" si="7"/>
        <v>0</v>
      </c>
      <c r="G185" t="str">
        <f>IF(IFERROR(IF(Str_TypeDonneesCpt1=Cpt_Index,Tab_Compteur_1[[#This Row],[Index]]-E184,Tab_Compteur_1[[#This Row],[Quantité]])/Tab_Compteur_1[[#This Row],[Delta Jour]],"")&lt;0,"",IFERROR(IF(Str_TypeDonneesCpt1=Cpt_Index,Tab_Compteur_1[[#This Row],[Index]]-E184,Tab_Compteur_1[[#This Row],[Quantité]])/Tab_Compteur_1[[#This Row],[Delta Jour]],""))</f>
        <v/>
      </c>
      <c r="H185" t="str">
        <f>IFERROR(Tab_Compteur_1[[#This Row],[Montant]]/Tab_Compteur_1[[#This Row],[Delta Jour]],"")</f>
        <v/>
      </c>
      <c r="I185" s="215" t="str">
        <f t="shared" si="8"/>
        <v/>
      </c>
      <c r="J185" s="192"/>
      <c r="K185" s="38"/>
      <c r="L185" s="38"/>
      <c r="M185" s="38"/>
      <c r="N185" s="38"/>
      <c r="O185"/>
    </row>
    <row r="186" spans="1:15">
      <c r="A186" s="501">
        <f t="shared" si="9"/>
        <v>1</v>
      </c>
      <c r="B186" s="236"/>
      <c r="C186" s="196"/>
      <c r="D186" s="195"/>
      <c r="E186" s="193"/>
      <c r="F186">
        <f t="shared" si="7"/>
        <v>0</v>
      </c>
      <c r="G186" t="str">
        <f>IF(IFERROR(IF(Str_TypeDonneesCpt1=Cpt_Index,Tab_Compteur_1[[#This Row],[Index]]-E185,Tab_Compteur_1[[#This Row],[Quantité]])/Tab_Compteur_1[[#This Row],[Delta Jour]],"")&lt;0,"",IFERROR(IF(Str_TypeDonneesCpt1=Cpt_Index,Tab_Compteur_1[[#This Row],[Index]]-E185,Tab_Compteur_1[[#This Row],[Quantité]])/Tab_Compteur_1[[#This Row],[Delta Jour]],""))</f>
        <v/>
      </c>
      <c r="H186" t="str">
        <f>IFERROR(Tab_Compteur_1[[#This Row],[Montant]]/Tab_Compteur_1[[#This Row],[Delta Jour]],"")</f>
        <v/>
      </c>
      <c r="I186" s="215" t="str">
        <f t="shared" si="8"/>
        <v/>
      </c>
      <c r="J186" s="192"/>
      <c r="K186" s="38"/>
      <c r="L186" s="38"/>
      <c r="M186" s="38"/>
      <c r="N186" s="38"/>
      <c r="O186"/>
    </row>
    <row r="187" spans="1:15">
      <c r="A187" s="501">
        <f t="shared" si="9"/>
        <v>1</v>
      </c>
      <c r="B187" s="236"/>
      <c r="C187" s="196"/>
      <c r="D187" s="195"/>
      <c r="E187" s="193"/>
      <c r="F187">
        <f t="shared" si="7"/>
        <v>0</v>
      </c>
      <c r="G187" t="str">
        <f>IF(IFERROR(IF(Str_TypeDonneesCpt1=Cpt_Index,Tab_Compteur_1[[#This Row],[Index]]-E186,Tab_Compteur_1[[#This Row],[Quantité]])/Tab_Compteur_1[[#This Row],[Delta Jour]],"")&lt;0,"",IFERROR(IF(Str_TypeDonneesCpt1=Cpt_Index,Tab_Compteur_1[[#This Row],[Index]]-E186,Tab_Compteur_1[[#This Row],[Quantité]])/Tab_Compteur_1[[#This Row],[Delta Jour]],""))</f>
        <v/>
      </c>
      <c r="H187" t="str">
        <f>IFERROR(Tab_Compteur_1[[#This Row],[Montant]]/Tab_Compteur_1[[#This Row],[Delta Jour]],"")</f>
        <v/>
      </c>
      <c r="I187" s="215" t="str">
        <f t="shared" si="8"/>
        <v/>
      </c>
      <c r="J187" s="192"/>
      <c r="K187" s="38"/>
      <c r="L187" s="38"/>
      <c r="M187" s="38"/>
      <c r="N187" s="38"/>
      <c r="O187"/>
    </row>
    <row r="188" spans="1:15">
      <c r="A188" s="501">
        <f t="shared" si="9"/>
        <v>1</v>
      </c>
      <c r="B188" s="236"/>
      <c r="C188" s="196"/>
      <c r="D188" s="195"/>
      <c r="E188" s="193"/>
      <c r="F188">
        <f t="shared" si="7"/>
        <v>0</v>
      </c>
      <c r="G188" t="str">
        <f>IF(IFERROR(IF(Str_TypeDonneesCpt1=Cpt_Index,Tab_Compteur_1[[#This Row],[Index]]-E187,Tab_Compteur_1[[#This Row],[Quantité]])/Tab_Compteur_1[[#This Row],[Delta Jour]],"")&lt;0,"",IFERROR(IF(Str_TypeDonneesCpt1=Cpt_Index,Tab_Compteur_1[[#This Row],[Index]]-E187,Tab_Compteur_1[[#This Row],[Quantité]])/Tab_Compteur_1[[#This Row],[Delta Jour]],""))</f>
        <v/>
      </c>
      <c r="H188" t="str">
        <f>IFERROR(Tab_Compteur_1[[#This Row],[Montant]]/Tab_Compteur_1[[#This Row],[Delta Jour]],"")</f>
        <v/>
      </c>
      <c r="I188" s="215" t="str">
        <f t="shared" si="8"/>
        <v/>
      </c>
      <c r="J188" s="192"/>
      <c r="K188" s="38"/>
      <c r="L188" s="38"/>
      <c r="M188" s="38"/>
      <c r="N188" s="38"/>
      <c r="O188"/>
    </row>
    <row r="189" spans="1:15">
      <c r="A189" s="501">
        <f t="shared" si="9"/>
        <v>1</v>
      </c>
      <c r="B189" s="236"/>
      <c r="C189" s="196"/>
      <c r="D189" s="195"/>
      <c r="E189" s="193"/>
      <c r="F189">
        <f t="shared" si="7"/>
        <v>0</v>
      </c>
      <c r="G189" t="str">
        <f>IF(IFERROR(IF(Str_TypeDonneesCpt1=Cpt_Index,Tab_Compteur_1[[#This Row],[Index]]-E188,Tab_Compteur_1[[#This Row],[Quantité]])/Tab_Compteur_1[[#This Row],[Delta Jour]],"")&lt;0,"",IFERROR(IF(Str_TypeDonneesCpt1=Cpt_Index,Tab_Compteur_1[[#This Row],[Index]]-E188,Tab_Compteur_1[[#This Row],[Quantité]])/Tab_Compteur_1[[#This Row],[Delta Jour]],""))</f>
        <v/>
      </c>
      <c r="H189" t="str">
        <f>IFERROR(Tab_Compteur_1[[#This Row],[Montant]]/Tab_Compteur_1[[#This Row],[Delta Jour]],"")</f>
        <v/>
      </c>
      <c r="I189" s="215" t="str">
        <f t="shared" si="8"/>
        <v/>
      </c>
      <c r="J189" s="192"/>
      <c r="K189" s="38"/>
      <c r="L189" s="38"/>
      <c r="M189" s="38"/>
      <c r="N189" s="38"/>
      <c r="O189"/>
    </row>
    <row r="190" spans="1:15">
      <c r="A190" s="501">
        <f t="shared" si="9"/>
        <v>1</v>
      </c>
      <c r="B190" s="236"/>
      <c r="C190" s="196"/>
      <c r="D190" s="195"/>
      <c r="E190" s="193"/>
      <c r="F190">
        <f t="shared" si="7"/>
        <v>0</v>
      </c>
      <c r="G190" t="str">
        <f>IF(IFERROR(IF(Str_TypeDonneesCpt1=Cpt_Index,Tab_Compteur_1[[#This Row],[Index]]-E189,Tab_Compteur_1[[#This Row],[Quantité]])/Tab_Compteur_1[[#This Row],[Delta Jour]],"")&lt;0,"",IFERROR(IF(Str_TypeDonneesCpt1=Cpt_Index,Tab_Compteur_1[[#This Row],[Index]]-E189,Tab_Compteur_1[[#This Row],[Quantité]])/Tab_Compteur_1[[#This Row],[Delta Jour]],""))</f>
        <v/>
      </c>
      <c r="H190" t="str">
        <f>IFERROR(Tab_Compteur_1[[#This Row],[Montant]]/Tab_Compteur_1[[#This Row],[Delta Jour]],"")</f>
        <v/>
      </c>
      <c r="I190" s="215" t="str">
        <f t="shared" si="8"/>
        <v/>
      </c>
      <c r="J190" s="192"/>
      <c r="K190" s="38"/>
      <c r="L190" s="38"/>
      <c r="M190" s="38"/>
      <c r="N190" s="38"/>
      <c r="O190"/>
    </row>
    <row r="191" spans="1:15">
      <c r="A191" s="501">
        <f t="shared" si="9"/>
        <v>1</v>
      </c>
      <c r="B191" s="236"/>
      <c r="C191" s="196"/>
      <c r="D191" s="195"/>
      <c r="E191" s="193"/>
      <c r="F191">
        <f t="shared" si="7"/>
        <v>0</v>
      </c>
      <c r="G191" t="str">
        <f>IF(IFERROR(IF(Str_TypeDonneesCpt1=Cpt_Index,Tab_Compteur_1[[#This Row],[Index]]-E190,Tab_Compteur_1[[#This Row],[Quantité]])/Tab_Compteur_1[[#This Row],[Delta Jour]],"")&lt;0,"",IFERROR(IF(Str_TypeDonneesCpt1=Cpt_Index,Tab_Compteur_1[[#This Row],[Index]]-E190,Tab_Compteur_1[[#This Row],[Quantité]])/Tab_Compteur_1[[#This Row],[Delta Jour]],""))</f>
        <v/>
      </c>
      <c r="H191" t="str">
        <f>IFERROR(Tab_Compteur_1[[#This Row],[Montant]]/Tab_Compteur_1[[#This Row],[Delta Jour]],"")</f>
        <v/>
      </c>
      <c r="I191" s="215" t="str">
        <f t="shared" si="8"/>
        <v/>
      </c>
      <c r="J191" s="192"/>
      <c r="K191" s="38"/>
      <c r="L191" s="38"/>
      <c r="M191" s="38"/>
      <c r="N191" s="38"/>
      <c r="O191"/>
    </row>
    <row r="192" spans="1:15">
      <c r="A192" s="501">
        <f t="shared" si="9"/>
        <v>1</v>
      </c>
      <c r="B192" s="236"/>
      <c r="C192" s="196"/>
      <c r="D192" s="195"/>
      <c r="E192" s="193"/>
      <c r="F192">
        <f t="shared" si="7"/>
        <v>0</v>
      </c>
      <c r="G192" t="str">
        <f>IF(IFERROR(IF(Str_TypeDonneesCpt1=Cpt_Index,Tab_Compteur_1[[#This Row],[Index]]-E191,Tab_Compteur_1[[#This Row],[Quantité]])/Tab_Compteur_1[[#This Row],[Delta Jour]],"")&lt;0,"",IFERROR(IF(Str_TypeDonneesCpt1=Cpt_Index,Tab_Compteur_1[[#This Row],[Index]]-E191,Tab_Compteur_1[[#This Row],[Quantité]])/Tab_Compteur_1[[#This Row],[Delta Jour]],""))</f>
        <v/>
      </c>
      <c r="H192" t="str">
        <f>IFERROR(Tab_Compteur_1[[#This Row],[Montant]]/Tab_Compteur_1[[#This Row],[Delta Jour]],"")</f>
        <v/>
      </c>
      <c r="I192" s="215" t="str">
        <f t="shared" si="8"/>
        <v/>
      </c>
      <c r="J192" s="192"/>
      <c r="K192" s="38"/>
      <c r="L192" s="38"/>
      <c r="M192" s="38"/>
      <c r="N192" s="38"/>
      <c r="O192"/>
    </row>
    <row r="193" spans="1:15">
      <c r="A193" s="501">
        <f t="shared" si="9"/>
        <v>1</v>
      </c>
      <c r="B193" s="236"/>
      <c r="C193" s="196"/>
      <c r="D193" s="195"/>
      <c r="E193" s="193"/>
      <c r="F193">
        <f t="shared" si="7"/>
        <v>0</v>
      </c>
      <c r="G193" t="str">
        <f>IF(IFERROR(IF(Str_TypeDonneesCpt1=Cpt_Index,Tab_Compteur_1[[#This Row],[Index]]-E192,Tab_Compteur_1[[#This Row],[Quantité]])/Tab_Compteur_1[[#This Row],[Delta Jour]],"")&lt;0,"",IFERROR(IF(Str_TypeDonneesCpt1=Cpt_Index,Tab_Compteur_1[[#This Row],[Index]]-E192,Tab_Compteur_1[[#This Row],[Quantité]])/Tab_Compteur_1[[#This Row],[Delta Jour]],""))</f>
        <v/>
      </c>
      <c r="H193" t="str">
        <f>IFERROR(Tab_Compteur_1[[#This Row],[Montant]]/Tab_Compteur_1[[#This Row],[Delta Jour]],"")</f>
        <v/>
      </c>
      <c r="I193" s="215" t="str">
        <f t="shared" si="8"/>
        <v/>
      </c>
      <c r="J193" s="192"/>
      <c r="K193" s="38"/>
      <c r="L193" s="38"/>
      <c r="M193" s="38"/>
      <c r="N193" s="38"/>
      <c r="O193"/>
    </row>
    <row r="194" spans="1:15">
      <c r="A194" s="501">
        <f t="shared" si="9"/>
        <v>1</v>
      </c>
      <c r="B194" s="236"/>
      <c r="C194" s="196"/>
      <c r="D194" s="195"/>
      <c r="E194" s="193"/>
      <c r="F194">
        <f t="shared" si="7"/>
        <v>0</v>
      </c>
      <c r="G194" t="str">
        <f>IF(IFERROR(IF(Str_TypeDonneesCpt1=Cpt_Index,Tab_Compteur_1[[#This Row],[Index]]-E193,Tab_Compteur_1[[#This Row],[Quantité]])/Tab_Compteur_1[[#This Row],[Delta Jour]],"")&lt;0,"",IFERROR(IF(Str_TypeDonneesCpt1=Cpt_Index,Tab_Compteur_1[[#This Row],[Index]]-E193,Tab_Compteur_1[[#This Row],[Quantité]])/Tab_Compteur_1[[#This Row],[Delta Jour]],""))</f>
        <v/>
      </c>
      <c r="H194" t="str">
        <f>IFERROR(Tab_Compteur_1[[#This Row],[Montant]]/Tab_Compteur_1[[#This Row],[Delta Jour]],"")</f>
        <v/>
      </c>
      <c r="I194" s="215" t="str">
        <f t="shared" si="8"/>
        <v/>
      </c>
      <c r="J194" s="192"/>
      <c r="K194" s="38"/>
      <c r="L194" s="38"/>
      <c r="M194" s="38"/>
      <c r="N194" s="38"/>
      <c r="O194"/>
    </row>
    <row r="195" spans="1:15">
      <c r="A195" s="501">
        <f t="shared" si="9"/>
        <v>1</v>
      </c>
      <c r="B195" s="236"/>
      <c r="C195" s="196"/>
      <c r="D195" s="195"/>
      <c r="E195" s="193"/>
      <c r="F195">
        <f t="shared" ref="F195:F243" si="10">IFERROR(B195-A195+1,"")</f>
        <v>0</v>
      </c>
      <c r="G195" t="str">
        <f>IF(IFERROR(IF(Str_TypeDonneesCpt1=Cpt_Index,Tab_Compteur_1[[#This Row],[Index]]-E194,Tab_Compteur_1[[#This Row],[Quantité]])/Tab_Compteur_1[[#This Row],[Delta Jour]],"")&lt;0,"",IFERROR(IF(Str_TypeDonneesCpt1=Cpt_Index,Tab_Compteur_1[[#This Row],[Index]]-E194,Tab_Compteur_1[[#This Row],[Quantité]])/Tab_Compteur_1[[#This Row],[Delta Jour]],""))</f>
        <v/>
      </c>
      <c r="H195" t="str">
        <f>IFERROR(Tab_Compteur_1[[#This Row],[Montant]]/Tab_Compteur_1[[#This Row],[Delta Jour]],"")</f>
        <v/>
      </c>
      <c r="I195" s="215" t="str">
        <f t="shared" si="8"/>
        <v/>
      </c>
      <c r="J195" s="192"/>
      <c r="K195" s="38"/>
      <c r="L195" s="38"/>
      <c r="M195" s="38"/>
      <c r="N195" s="38"/>
      <c r="O195"/>
    </row>
    <row r="196" spans="1:15">
      <c r="A196" s="501">
        <f t="shared" si="9"/>
        <v>1</v>
      </c>
      <c r="B196" s="236"/>
      <c r="C196" s="513"/>
      <c r="D196" s="195"/>
      <c r="E196" s="193"/>
      <c r="F196">
        <f t="shared" si="10"/>
        <v>0</v>
      </c>
      <c r="G196" t="str">
        <f>IF(IFERROR(IF(Str_TypeDonneesCpt1=Cpt_Index,Tab_Compteur_1[[#This Row],[Index]]-E195,Tab_Compteur_1[[#This Row],[Quantité]])/Tab_Compteur_1[[#This Row],[Delta Jour]],"")&lt;0,"",IFERROR(IF(Str_TypeDonneesCpt1=Cpt_Index,Tab_Compteur_1[[#This Row],[Index]]-E195,Tab_Compteur_1[[#This Row],[Quantité]])/Tab_Compteur_1[[#This Row],[Delta Jour]],""))</f>
        <v/>
      </c>
      <c r="H196" t="str">
        <f>IFERROR(Tab_Compteur_1[[#This Row],[Montant]]/Tab_Compteur_1[[#This Row],[Delta Jour]],"")</f>
        <v/>
      </c>
      <c r="I196" s="215" t="str">
        <f t="shared" si="8"/>
        <v/>
      </c>
      <c r="J196" s="192"/>
      <c r="K196" s="38"/>
      <c r="L196" s="38"/>
      <c r="M196" s="38"/>
      <c r="N196" s="38"/>
      <c r="O196"/>
    </row>
    <row r="197" spans="1:15">
      <c r="A197" s="501">
        <f t="shared" si="9"/>
        <v>1</v>
      </c>
      <c r="B197" s="236"/>
      <c r="C197" s="193"/>
      <c r="D197" s="195"/>
      <c r="E197" s="193"/>
      <c r="F197">
        <f t="shared" si="10"/>
        <v>0</v>
      </c>
      <c r="G197" t="str">
        <f>IF(IFERROR(IF(Str_TypeDonneesCpt1=Cpt_Index,Tab_Compteur_1[[#This Row],[Index]]-E196,Tab_Compteur_1[[#This Row],[Quantité]])/Tab_Compteur_1[[#This Row],[Delta Jour]],"")&lt;0,"",IFERROR(IF(Str_TypeDonneesCpt1=Cpt_Index,Tab_Compteur_1[[#This Row],[Index]]-E196,Tab_Compteur_1[[#This Row],[Quantité]])/Tab_Compteur_1[[#This Row],[Delta Jour]],""))</f>
        <v/>
      </c>
      <c r="H197" t="str">
        <f>IFERROR(Tab_Compteur_1[[#This Row],[Montant]]/Tab_Compteur_1[[#This Row],[Delta Jour]],"")</f>
        <v/>
      </c>
      <c r="I197" s="215" t="str">
        <f t="shared" ref="I197:I243" si="11">G197</f>
        <v/>
      </c>
      <c r="J197" s="192"/>
      <c r="K197" s="38"/>
      <c r="L197" s="38"/>
      <c r="M197" s="38"/>
      <c r="N197" s="38"/>
      <c r="O197"/>
    </row>
    <row r="198" spans="1:15">
      <c r="A198" s="501">
        <f t="shared" ref="A198:A243" si="12">IFERROR(B197+1,0)</f>
        <v>1</v>
      </c>
      <c r="B198" s="236"/>
      <c r="C198" s="193"/>
      <c r="D198" s="195"/>
      <c r="E198" s="193"/>
      <c r="F198">
        <f t="shared" si="10"/>
        <v>0</v>
      </c>
      <c r="G198" t="str">
        <f>IF(IFERROR(IF(Str_TypeDonneesCpt1=Cpt_Index,Tab_Compteur_1[[#This Row],[Index]]-E197,Tab_Compteur_1[[#This Row],[Quantité]])/Tab_Compteur_1[[#This Row],[Delta Jour]],"")&lt;0,"",IFERROR(IF(Str_TypeDonneesCpt1=Cpt_Index,Tab_Compteur_1[[#This Row],[Index]]-E197,Tab_Compteur_1[[#This Row],[Quantité]])/Tab_Compteur_1[[#This Row],[Delta Jour]],""))</f>
        <v/>
      </c>
      <c r="H198" t="str">
        <f>IFERROR(Tab_Compteur_1[[#This Row],[Montant]]/Tab_Compteur_1[[#This Row],[Delta Jour]],"")</f>
        <v/>
      </c>
      <c r="I198" s="215" t="str">
        <f t="shared" si="11"/>
        <v/>
      </c>
      <c r="J198" s="192"/>
      <c r="K198" s="38"/>
      <c r="L198" s="38"/>
      <c r="M198" s="38"/>
      <c r="N198" s="38"/>
      <c r="O198"/>
    </row>
    <row r="199" spans="1:15">
      <c r="A199" s="501">
        <f t="shared" si="12"/>
        <v>1</v>
      </c>
      <c r="B199" s="236"/>
      <c r="C199" s="193"/>
      <c r="D199" s="195"/>
      <c r="E199" s="193"/>
      <c r="F199">
        <f t="shared" si="10"/>
        <v>0</v>
      </c>
      <c r="G199" t="str">
        <f>IF(IFERROR(IF(Str_TypeDonneesCpt1=Cpt_Index,Tab_Compteur_1[[#This Row],[Index]]-E198,Tab_Compteur_1[[#This Row],[Quantité]])/Tab_Compteur_1[[#This Row],[Delta Jour]],"")&lt;0,"",IFERROR(IF(Str_TypeDonneesCpt1=Cpt_Index,Tab_Compteur_1[[#This Row],[Index]]-E198,Tab_Compteur_1[[#This Row],[Quantité]])/Tab_Compteur_1[[#This Row],[Delta Jour]],""))</f>
        <v/>
      </c>
      <c r="H199" t="str">
        <f>IFERROR(Tab_Compteur_1[[#This Row],[Montant]]/Tab_Compteur_1[[#This Row],[Delta Jour]],"")</f>
        <v/>
      </c>
      <c r="I199" s="215" t="str">
        <f t="shared" si="11"/>
        <v/>
      </c>
      <c r="J199" s="506"/>
      <c r="K199" s="38"/>
      <c r="L199" s="38"/>
      <c r="M199" s="38"/>
      <c r="N199" s="38"/>
      <c r="O199"/>
    </row>
    <row r="200" spans="1:15">
      <c r="A200" s="501">
        <f t="shared" si="12"/>
        <v>1</v>
      </c>
      <c r="B200" s="236"/>
      <c r="C200" s="193"/>
      <c r="D200" s="195"/>
      <c r="E200" s="193"/>
      <c r="F200">
        <f t="shared" si="10"/>
        <v>0</v>
      </c>
      <c r="G200" t="str">
        <f>IF(IFERROR(IF(Str_TypeDonneesCpt1=Cpt_Index,Tab_Compteur_1[[#This Row],[Index]]-E199,Tab_Compteur_1[[#This Row],[Quantité]])/Tab_Compteur_1[[#This Row],[Delta Jour]],"")&lt;0,"",IFERROR(IF(Str_TypeDonneesCpt1=Cpt_Index,Tab_Compteur_1[[#This Row],[Index]]-E199,Tab_Compteur_1[[#This Row],[Quantité]])/Tab_Compteur_1[[#This Row],[Delta Jour]],""))</f>
        <v/>
      </c>
      <c r="H200" t="str">
        <f>IFERROR(Tab_Compteur_1[[#This Row],[Montant]]/Tab_Compteur_1[[#This Row],[Delta Jour]],"")</f>
        <v/>
      </c>
      <c r="I200" s="215" t="str">
        <f t="shared" si="11"/>
        <v/>
      </c>
      <c r="J200" s="192"/>
      <c r="K200" s="38"/>
      <c r="L200" s="38"/>
      <c r="M200" s="38"/>
      <c r="N200" s="38"/>
      <c r="O200"/>
    </row>
    <row r="201" spans="1:15">
      <c r="A201" s="501">
        <f t="shared" si="12"/>
        <v>1</v>
      </c>
      <c r="B201" s="236"/>
      <c r="C201" s="193"/>
      <c r="D201" s="195"/>
      <c r="E201" s="193"/>
      <c r="F201">
        <f t="shared" si="10"/>
        <v>0</v>
      </c>
      <c r="G201" t="str">
        <f>IF(IFERROR(IF(Str_TypeDonneesCpt1=Cpt_Index,Tab_Compteur_1[[#This Row],[Index]]-E200,Tab_Compteur_1[[#This Row],[Quantité]])/Tab_Compteur_1[[#This Row],[Delta Jour]],"")&lt;0,"",IFERROR(IF(Str_TypeDonneesCpt1=Cpt_Index,Tab_Compteur_1[[#This Row],[Index]]-E200,Tab_Compteur_1[[#This Row],[Quantité]])/Tab_Compteur_1[[#This Row],[Delta Jour]],""))</f>
        <v/>
      </c>
      <c r="H201" t="str">
        <f>IFERROR(Tab_Compteur_1[[#This Row],[Montant]]/Tab_Compteur_1[[#This Row],[Delta Jour]],"")</f>
        <v/>
      </c>
      <c r="I201" s="215" t="str">
        <f t="shared" si="11"/>
        <v/>
      </c>
      <c r="J201" s="506"/>
      <c r="K201" s="38"/>
      <c r="L201" s="38"/>
      <c r="M201" s="38"/>
      <c r="N201" s="38"/>
      <c r="O201"/>
    </row>
    <row r="202" spans="1:15">
      <c r="A202" s="501">
        <f t="shared" si="12"/>
        <v>1</v>
      </c>
      <c r="B202" s="236"/>
      <c r="C202" s="193"/>
      <c r="D202" s="195"/>
      <c r="E202" s="193"/>
      <c r="F202">
        <f t="shared" si="10"/>
        <v>0</v>
      </c>
      <c r="G202" t="str">
        <f>IF(IFERROR(IF(Str_TypeDonneesCpt1=Cpt_Index,Tab_Compteur_1[[#This Row],[Index]]-E201,Tab_Compteur_1[[#This Row],[Quantité]])/Tab_Compteur_1[[#This Row],[Delta Jour]],"")&lt;0,"",IFERROR(IF(Str_TypeDonneesCpt1=Cpt_Index,Tab_Compteur_1[[#This Row],[Index]]-E201,Tab_Compteur_1[[#This Row],[Quantité]])/Tab_Compteur_1[[#This Row],[Delta Jour]],""))</f>
        <v/>
      </c>
      <c r="H202" t="str">
        <f>IFERROR(Tab_Compteur_1[[#This Row],[Montant]]/Tab_Compteur_1[[#This Row],[Delta Jour]],"")</f>
        <v/>
      </c>
      <c r="I202" s="215" t="str">
        <f t="shared" si="11"/>
        <v/>
      </c>
      <c r="J202" s="192"/>
      <c r="K202" s="38"/>
      <c r="L202" s="38"/>
      <c r="M202" s="38"/>
      <c r="N202" s="38"/>
      <c r="O202"/>
    </row>
    <row r="203" spans="1:15">
      <c r="A203" s="501">
        <f t="shared" si="12"/>
        <v>1</v>
      </c>
      <c r="B203" s="236"/>
      <c r="C203" s="193"/>
      <c r="D203" s="195"/>
      <c r="E203" s="193"/>
      <c r="F203">
        <f t="shared" si="10"/>
        <v>0</v>
      </c>
      <c r="G203" t="str">
        <f>IF(IFERROR(IF(Str_TypeDonneesCpt1=Cpt_Index,Tab_Compteur_1[[#This Row],[Index]]-E202,Tab_Compteur_1[[#This Row],[Quantité]])/Tab_Compteur_1[[#This Row],[Delta Jour]],"")&lt;0,"",IFERROR(IF(Str_TypeDonneesCpt1=Cpt_Index,Tab_Compteur_1[[#This Row],[Index]]-E202,Tab_Compteur_1[[#This Row],[Quantité]])/Tab_Compteur_1[[#This Row],[Delta Jour]],""))</f>
        <v/>
      </c>
      <c r="H203" t="str">
        <f>IFERROR(Tab_Compteur_1[[#This Row],[Montant]]/Tab_Compteur_1[[#This Row],[Delta Jour]],"")</f>
        <v/>
      </c>
      <c r="I203" s="215" t="str">
        <f t="shared" si="11"/>
        <v/>
      </c>
      <c r="J203" s="507"/>
      <c r="K203" s="38"/>
      <c r="L203" s="38"/>
      <c r="M203" s="38"/>
      <c r="N203" s="38"/>
      <c r="O203"/>
    </row>
    <row r="204" spans="1:15">
      <c r="A204" s="501">
        <f t="shared" si="12"/>
        <v>1</v>
      </c>
      <c r="B204" s="236"/>
      <c r="C204" s="193"/>
      <c r="D204" s="195"/>
      <c r="E204" s="193"/>
      <c r="F204">
        <f t="shared" si="10"/>
        <v>0</v>
      </c>
      <c r="G204" t="str">
        <f>IF(IFERROR(IF(Str_TypeDonneesCpt1=Cpt_Index,Tab_Compteur_1[[#This Row],[Index]]-E203,Tab_Compteur_1[[#This Row],[Quantité]])/Tab_Compteur_1[[#This Row],[Delta Jour]],"")&lt;0,"",IFERROR(IF(Str_TypeDonneesCpt1=Cpt_Index,Tab_Compteur_1[[#This Row],[Index]]-E203,Tab_Compteur_1[[#This Row],[Quantité]])/Tab_Compteur_1[[#This Row],[Delta Jour]],""))</f>
        <v/>
      </c>
      <c r="H204" t="str">
        <f>IFERROR(Tab_Compteur_1[[#This Row],[Montant]]/Tab_Compteur_1[[#This Row],[Delta Jour]],"")</f>
        <v/>
      </c>
      <c r="I204" s="215" t="str">
        <f t="shared" si="11"/>
        <v/>
      </c>
      <c r="J204" s="507"/>
      <c r="K204" s="38"/>
      <c r="L204" s="38"/>
      <c r="M204" s="38"/>
      <c r="N204" s="38"/>
      <c r="O204"/>
    </row>
    <row r="205" spans="1:15">
      <c r="A205" s="501">
        <f t="shared" si="12"/>
        <v>1</v>
      </c>
      <c r="B205" s="236"/>
      <c r="C205" s="193"/>
      <c r="D205" s="195"/>
      <c r="E205" s="193"/>
      <c r="F205">
        <f t="shared" si="10"/>
        <v>0</v>
      </c>
      <c r="G205" t="str">
        <f>IF(IFERROR(IF(Str_TypeDonneesCpt1=Cpt_Index,Tab_Compteur_1[[#This Row],[Index]]-E204,Tab_Compteur_1[[#This Row],[Quantité]])/Tab_Compteur_1[[#This Row],[Delta Jour]],"")&lt;0,"",IFERROR(IF(Str_TypeDonneesCpt1=Cpt_Index,Tab_Compteur_1[[#This Row],[Index]]-E204,Tab_Compteur_1[[#This Row],[Quantité]])/Tab_Compteur_1[[#This Row],[Delta Jour]],""))</f>
        <v/>
      </c>
      <c r="H205" t="str">
        <f>IFERROR(Tab_Compteur_1[[#This Row],[Montant]]/Tab_Compteur_1[[#This Row],[Delta Jour]],"")</f>
        <v/>
      </c>
      <c r="I205" s="215" t="str">
        <f t="shared" si="11"/>
        <v/>
      </c>
      <c r="J205" s="507"/>
      <c r="K205" s="38"/>
      <c r="L205" s="38"/>
      <c r="M205" s="38"/>
      <c r="N205" s="38"/>
      <c r="O205"/>
    </row>
    <row r="206" spans="1:15">
      <c r="A206" s="501">
        <f t="shared" si="12"/>
        <v>1</v>
      </c>
      <c r="B206" s="236"/>
      <c r="C206" s="193"/>
      <c r="D206" s="195"/>
      <c r="E206" s="193"/>
      <c r="F206">
        <f t="shared" si="10"/>
        <v>0</v>
      </c>
      <c r="G206" t="str">
        <f>IF(IFERROR(IF(Str_TypeDonneesCpt1=Cpt_Index,Tab_Compteur_1[[#This Row],[Index]]-E205,Tab_Compteur_1[[#This Row],[Quantité]])/Tab_Compteur_1[[#This Row],[Delta Jour]],"")&lt;0,"",IFERROR(IF(Str_TypeDonneesCpt1=Cpt_Index,Tab_Compteur_1[[#This Row],[Index]]-E205,Tab_Compteur_1[[#This Row],[Quantité]])/Tab_Compteur_1[[#This Row],[Delta Jour]],""))</f>
        <v/>
      </c>
      <c r="H206" t="str">
        <f>IFERROR(Tab_Compteur_1[[#This Row],[Montant]]/Tab_Compteur_1[[#This Row],[Delta Jour]],"")</f>
        <v/>
      </c>
      <c r="I206" s="215" t="str">
        <f t="shared" si="11"/>
        <v/>
      </c>
      <c r="J206" s="507"/>
      <c r="K206" s="38"/>
      <c r="L206" s="38"/>
      <c r="M206" s="38"/>
      <c r="N206" s="38"/>
      <c r="O206"/>
    </row>
    <row r="207" spans="1:15">
      <c r="A207" s="501">
        <f t="shared" si="12"/>
        <v>1</v>
      </c>
      <c r="B207" s="236"/>
      <c r="C207" s="193"/>
      <c r="D207" s="195"/>
      <c r="E207" s="193"/>
      <c r="F207">
        <f t="shared" si="10"/>
        <v>0</v>
      </c>
      <c r="G207" t="str">
        <f>IF(IFERROR(IF(Str_TypeDonneesCpt1=Cpt_Index,Tab_Compteur_1[[#This Row],[Index]]-E206,Tab_Compteur_1[[#This Row],[Quantité]])/Tab_Compteur_1[[#This Row],[Delta Jour]],"")&lt;0,"",IFERROR(IF(Str_TypeDonneesCpt1=Cpt_Index,Tab_Compteur_1[[#This Row],[Index]]-E206,Tab_Compteur_1[[#This Row],[Quantité]])/Tab_Compteur_1[[#This Row],[Delta Jour]],""))</f>
        <v/>
      </c>
      <c r="H207" t="str">
        <f>IFERROR(Tab_Compteur_1[[#This Row],[Montant]]/Tab_Compteur_1[[#This Row],[Delta Jour]],"")</f>
        <v/>
      </c>
      <c r="I207" s="215" t="str">
        <f t="shared" si="11"/>
        <v/>
      </c>
      <c r="J207" s="507"/>
      <c r="K207" s="38"/>
      <c r="L207" s="38"/>
      <c r="M207" s="38"/>
      <c r="N207" s="38"/>
      <c r="O207"/>
    </row>
    <row r="208" spans="1:15">
      <c r="A208" s="501">
        <f t="shared" si="12"/>
        <v>1</v>
      </c>
      <c r="B208" s="236"/>
      <c r="C208" s="193"/>
      <c r="D208" s="195"/>
      <c r="E208" s="193"/>
      <c r="F208">
        <f t="shared" si="10"/>
        <v>0</v>
      </c>
      <c r="G208" t="str">
        <f>IF(IFERROR(IF(Str_TypeDonneesCpt1=Cpt_Index,Tab_Compteur_1[[#This Row],[Index]]-E207,Tab_Compteur_1[[#This Row],[Quantité]])/Tab_Compteur_1[[#This Row],[Delta Jour]],"")&lt;0,"",IFERROR(IF(Str_TypeDonneesCpt1=Cpt_Index,Tab_Compteur_1[[#This Row],[Index]]-E207,Tab_Compteur_1[[#This Row],[Quantité]])/Tab_Compteur_1[[#This Row],[Delta Jour]],""))</f>
        <v/>
      </c>
      <c r="H208" t="str">
        <f>IFERROR(Tab_Compteur_1[[#This Row],[Montant]]/Tab_Compteur_1[[#This Row],[Delta Jour]],"")</f>
        <v/>
      </c>
      <c r="I208" s="215" t="str">
        <f t="shared" si="11"/>
        <v/>
      </c>
      <c r="J208" s="507"/>
      <c r="K208" s="38"/>
      <c r="L208" s="38"/>
      <c r="M208" s="38"/>
      <c r="N208" s="38"/>
      <c r="O208"/>
    </row>
    <row r="209" spans="1:15">
      <c r="A209" s="501">
        <f t="shared" si="12"/>
        <v>1</v>
      </c>
      <c r="B209" s="236"/>
      <c r="C209" s="193"/>
      <c r="D209" s="195"/>
      <c r="E209" s="193"/>
      <c r="F209">
        <f t="shared" si="10"/>
        <v>0</v>
      </c>
      <c r="G209" t="str">
        <f>IF(IFERROR(IF(Str_TypeDonneesCpt1=Cpt_Index,Tab_Compteur_1[[#This Row],[Index]]-E208,Tab_Compteur_1[[#This Row],[Quantité]])/Tab_Compteur_1[[#This Row],[Delta Jour]],"")&lt;0,"",IFERROR(IF(Str_TypeDonneesCpt1=Cpt_Index,Tab_Compteur_1[[#This Row],[Index]]-E208,Tab_Compteur_1[[#This Row],[Quantité]])/Tab_Compteur_1[[#This Row],[Delta Jour]],""))</f>
        <v/>
      </c>
      <c r="H209" t="str">
        <f>IFERROR(Tab_Compteur_1[[#This Row],[Montant]]/Tab_Compteur_1[[#This Row],[Delta Jour]],"")</f>
        <v/>
      </c>
      <c r="I209" s="215" t="str">
        <f t="shared" si="11"/>
        <v/>
      </c>
      <c r="J209" s="507"/>
      <c r="K209" s="38"/>
      <c r="L209" s="38"/>
      <c r="M209" s="38"/>
      <c r="N209" s="38"/>
      <c r="O209"/>
    </row>
    <row r="210" spans="1:15">
      <c r="A210" s="501">
        <f t="shared" si="12"/>
        <v>1</v>
      </c>
      <c r="B210" s="236"/>
      <c r="C210" s="193"/>
      <c r="D210" s="195"/>
      <c r="E210" s="193"/>
      <c r="F210">
        <f t="shared" si="10"/>
        <v>0</v>
      </c>
      <c r="G210" t="str">
        <f>IF(IFERROR(IF(Str_TypeDonneesCpt1=Cpt_Index,Tab_Compteur_1[[#This Row],[Index]]-E209,Tab_Compteur_1[[#This Row],[Quantité]])/Tab_Compteur_1[[#This Row],[Delta Jour]],"")&lt;0,"",IFERROR(IF(Str_TypeDonneesCpt1=Cpt_Index,Tab_Compteur_1[[#This Row],[Index]]-E209,Tab_Compteur_1[[#This Row],[Quantité]])/Tab_Compteur_1[[#This Row],[Delta Jour]],""))</f>
        <v/>
      </c>
      <c r="H210" t="str">
        <f>IFERROR(Tab_Compteur_1[[#This Row],[Montant]]/Tab_Compteur_1[[#This Row],[Delta Jour]],"")</f>
        <v/>
      </c>
      <c r="I210" s="215" t="str">
        <f t="shared" si="11"/>
        <v/>
      </c>
      <c r="J210" s="507"/>
      <c r="K210" s="38"/>
      <c r="L210" s="38"/>
      <c r="M210" s="38"/>
      <c r="N210" s="38"/>
      <c r="O210"/>
    </row>
    <row r="211" spans="1:15">
      <c r="A211" s="501">
        <f t="shared" si="12"/>
        <v>1</v>
      </c>
      <c r="B211" s="236"/>
      <c r="C211" s="193"/>
      <c r="D211" s="195"/>
      <c r="E211" s="193"/>
      <c r="F211">
        <f t="shared" si="10"/>
        <v>0</v>
      </c>
      <c r="G211" t="str">
        <f>IF(IFERROR(IF(Str_TypeDonneesCpt1=Cpt_Index,Tab_Compteur_1[[#This Row],[Index]]-E210,Tab_Compteur_1[[#This Row],[Quantité]])/Tab_Compteur_1[[#This Row],[Delta Jour]],"")&lt;0,"",IFERROR(IF(Str_TypeDonneesCpt1=Cpt_Index,Tab_Compteur_1[[#This Row],[Index]]-E210,Tab_Compteur_1[[#This Row],[Quantité]])/Tab_Compteur_1[[#This Row],[Delta Jour]],""))</f>
        <v/>
      </c>
      <c r="H211" t="str">
        <f>IFERROR(Tab_Compteur_1[[#This Row],[Montant]]/Tab_Compteur_1[[#This Row],[Delta Jour]],"")</f>
        <v/>
      </c>
      <c r="I211" s="215" t="str">
        <f t="shared" si="11"/>
        <v/>
      </c>
      <c r="J211" s="507"/>
      <c r="K211" s="38"/>
      <c r="L211" s="38"/>
      <c r="M211" s="38"/>
      <c r="N211" s="38"/>
      <c r="O211"/>
    </row>
    <row r="212" spans="1:15">
      <c r="A212" s="501">
        <f t="shared" si="12"/>
        <v>1</v>
      </c>
      <c r="B212" s="236"/>
      <c r="C212" s="193"/>
      <c r="D212" s="195"/>
      <c r="E212" s="193"/>
      <c r="F212">
        <f t="shared" si="10"/>
        <v>0</v>
      </c>
      <c r="G212" t="str">
        <f>IF(IFERROR(IF(Str_TypeDonneesCpt1=Cpt_Index,Tab_Compteur_1[[#This Row],[Index]]-E211,Tab_Compteur_1[[#This Row],[Quantité]])/Tab_Compteur_1[[#This Row],[Delta Jour]],"")&lt;0,"",IFERROR(IF(Str_TypeDonneesCpt1=Cpt_Index,Tab_Compteur_1[[#This Row],[Index]]-E211,Tab_Compteur_1[[#This Row],[Quantité]])/Tab_Compteur_1[[#This Row],[Delta Jour]],""))</f>
        <v/>
      </c>
      <c r="H212" t="str">
        <f>IFERROR(Tab_Compteur_1[[#This Row],[Montant]]/Tab_Compteur_1[[#This Row],[Delta Jour]],"")</f>
        <v/>
      </c>
      <c r="I212" s="215" t="str">
        <f t="shared" si="11"/>
        <v/>
      </c>
      <c r="J212" s="507"/>
      <c r="K212" s="38"/>
      <c r="L212" s="38"/>
      <c r="M212" s="38"/>
      <c r="N212" s="38"/>
      <c r="O212"/>
    </row>
    <row r="213" spans="1:15">
      <c r="A213" s="501">
        <f t="shared" si="12"/>
        <v>1</v>
      </c>
      <c r="B213" s="236"/>
      <c r="C213" s="193"/>
      <c r="D213" s="195"/>
      <c r="E213" s="193"/>
      <c r="F213">
        <f t="shared" si="10"/>
        <v>0</v>
      </c>
      <c r="G213" t="str">
        <f>IF(IFERROR(IF(Str_TypeDonneesCpt1=Cpt_Index,Tab_Compteur_1[[#This Row],[Index]]-E212,Tab_Compteur_1[[#This Row],[Quantité]])/Tab_Compteur_1[[#This Row],[Delta Jour]],"")&lt;0,"",IFERROR(IF(Str_TypeDonneesCpt1=Cpt_Index,Tab_Compteur_1[[#This Row],[Index]]-E212,Tab_Compteur_1[[#This Row],[Quantité]])/Tab_Compteur_1[[#This Row],[Delta Jour]],""))</f>
        <v/>
      </c>
      <c r="H213" t="str">
        <f>IFERROR(Tab_Compteur_1[[#This Row],[Montant]]/Tab_Compteur_1[[#This Row],[Delta Jour]],"")</f>
        <v/>
      </c>
      <c r="I213" s="215" t="str">
        <f t="shared" si="11"/>
        <v/>
      </c>
      <c r="J213" s="507"/>
      <c r="K213" s="38"/>
      <c r="L213" s="38"/>
      <c r="M213" s="38"/>
      <c r="N213" s="38"/>
      <c r="O213"/>
    </row>
    <row r="214" spans="1:15">
      <c r="A214" s="501">
        <f t="shared" si="12"/>
        <v>1</v>
      </c>
      <c r="B214" s="236"/>
      <c r="C214" s="193"/>
      <c r="D214" s="195"/>
      <c r="E214" s="193"/>
      <c r="F214">
        <f t="shared" si="10"/>
        <v>0</v>
      </c>
      <c r="G214" t="str">
        <f>IF(IFERROR(IF(Str_TypeDonneesCpt1=Cpt_Index,Tab_Compteur_1[[#This Row],[Index]]-E213,Tab_Compteur_1[[#This Row],[Quantité]])/Tab_Compteur_1[[#This Row],[Delta Jour]],"")&lt;0,"",IFERROR(IF(Str_TypeDonneesCpt1=Cpt_Index,Tab_Compteur_1[[#This Row],[Index]]-E213,Tab_Compteur_1[[#This Row],[Quantité]])/Tab_Compteur_1[[#This Row],[Delta Jour]],""))</f>
        <v/>
      </c>
      <c r="H214" t="str">
        <f>IFERROR(Tab_Compteur_1[[#This Row],[Montant]]/Tab_Compteur_1[[#This Row],[Delta Jour]],"")</f>
        <v/>
      </c>
      <c r="I214" s="215" t="str">
        <f t="shared" si="11"/>
        <v/>
      </c>
      <c r="J214" s="507"/>
      <c r="K214" s="38"/>
      <c r="L214" s="38"/>
      <c r="M214" s="38"/>
      <c r="N214" s="38"/>
      <c r="O214"/>
    </row>
    <row r="215" spans="1:15">
      <c r="A215" s="501">
        <f t="shared" si="12"/>
        <v>1</v>
      </c>
      <c r="B215" s="236"/>
      <c r="C215" s="193"/>
      <c r="D215" s="195"/>
      <c r="E215" s="193"/>
      <c r="F215">
        <f t="shared" si="10"/>
        <v>0</v>
      </c>
      <c r="G215" t="str">
        <f>IF(IFERROR(IF(Str_TypeDonneesCpt1=Cpt_Index,Tab_Compteur_1[[#This Row],[Index]]-E214,Tab_Compteur_1[[#This Row],[Quantité]])/Tab_Compteur_1[[#This Row],[Delta Jour]],"")&lt;0,"",IFERROR(IF(Str_TypeDonneesCpt1=Cpt_Index,Tab_Compteur_1[[#This Row],[Index]]-E214,Tab_Compteur_1[[#This Row],[Quantité]])/Tab_Compteur_1[[#This Row],[Delta Jour]],""))</f>
        <v/>
      </c>
      <c r="H215" t="str">
        <f>IFERROR(Tab_Compteur_1[[#This Row],[Montant]]/Tab_Compteur_1[[#This Row],[Delta Jour]],"")</f>
        <v/>
      </c>
      <c r="I215" s="215" t="str">
        <f t="shared" si="11"/>
        <v/>
      </c>
      <c r="J215" s="507"/>
      <c r="K215" s="38"/>
      <c r="L215" s="38"/>
      <c r="M215" s="38"/>
      <c r="N215" s="38"/>
      <c r="O215"/>
    </row>
    <row r="216" spans="1:15">
      <c r="A216" s="501">
        <f t="shared" si="12"/>
        <v>1</v>
      </c>
      <c r="B216" s="236"/>
      <c r="C216" s="193"/>
      <c r="D216" s="195"/>
      <c r="E216" s="193"/>
      <c r="F216">
        <f t="shared" si="10"/>
        <v>0</v>
      </c>
      <c r="G216" t="str">
        <f>IF(IFERROR(IF(Str_TypeDonneesCpt1=Cpt_Index,Tab_Compteur_1[[#This Row],[Index]]-E215,Tab_Compteur_1[[#This Row],[Quantité]])/Tab_Compteur_1[[#This Row],[Delta Jour]],"")&lt;0,"",IFERROR(IF(Str_TypeDonneesCpt1=Cpt_Index,Tab_Compteur_1[[#This Row],[Index]]-E215,Tab_Compteur_1[[#This Row],[Quantité]])/Tab_Compteur_1[[#This Row],[Delta Jour]],""))</f>
        <v/>
      </c>
      <c r="H216" t="str">
        <f>IFERROR(Tab_Compteur_1[[#This Row],[Montant]]/Tab_Compteur_1[[#This Row],[Delta Jour]],"")</f>
        <v/>
      </c>
      <c r="I216" s="215" t="str">
        <f t="shared" si="11"/>
        <v/>
      </c>
      <c r="J216" s="507"/>
      <c r="K216" s="38"/>
      <c r="L216" s="38"/>
      <c r="M216" s="38"/>
      <c r="N216" s="38"/>
      <c r="O216"/>
    </row>
    <row r="217" spans="1:15">
      <c r="A217" s="501">
        <f t="shared" si="12"/>
        <v>1</v>
      </c>
      <c r="B217" s="236"/>
      <c r="C217" s="193"/>
      <c r="D217" s="195"/>
      <c r="E217" s="193"/>
      <c r="F217">
        <f t="shared" si="10"/>
        <v>0</v>
      </c>
      <c r="G217" t="str">
        <f>IF(IFERROR(IF(Str_TypeDonneesCpt1=Cpt_Index,Tab_Compteur_1[[#This Row],[Index]]-E216,Tab_Compteur_1[[#This Row],[Quantité]])/Tab_Compteur_1[[#This Row],[Delta Jour]],"")&lt;0,"",IFERROR(IF(Str_TypeDonneesCpt1=Cpt_Index,Tab_Compteur_1[[#This Row],[Index]]-E216,Tab_Compteur_1[[#This Row],[Quantité]])/Tab_Compteur_1[[#This Row],[Delta Jour]],""))</f>
        <v/>
      </c>
      <c r="H217" t="str">
        <f>IFERROR(Tab_Compteur_1[[#This Row],[Montant]]/Tab_Compteur_1[[#This Row],[Delta Jour]],"")</f>
        <v/>
      </c>
      <c r="I217" s="215" t="str">
        <f t="shared" si="11"/>
        <v/>
      </c>
      <c r="J217" s="507"/>
      <c r="K217" s="38"/>
      <c r="L217" s="38"/>
      <c r="M217" s="38"/>
      <c r="N217" s="38"/>
      <c r="O217"/>
    </row>
    <row r="218" spans="1:15">
      <c r="A218" s="501">
        <f t="shared" si="12"/>
        <v>1</v>
      </c>
      <c r="B218" s="236"/>
      <c r="C218" s="193"/>
      <c r="D218" s="195"/>
      <c r="E218" s="193"/>
      <c r="F218">
        <f t="shared" si="10"/>
        <v>0</v>
      </c>
      <c r="G218" t="str">
        <f>IF(IFERROR(IF(Str_TypeDonneesCpt1=Cpt_Index,Tab_Compteur_1[[#This Row],[Index]]-E217,Tab_Compteur_1[[#This Row],[Quantité]])/Tab_Compteur_1[[#This Row],[Delta Jour]],"")&lt;0,"",IFERROR(IF(Str_TypeDonneesCpt1=Cpt_Index,Tab_Compteur_1[[#This Row],[Index]]-E217,Tab_Compteur_1[[#This Row],[Quantité]])/Tab_Compteur_1[[#This Row],[Delta Jour]],""))</f>
        <v/>
      </c>
      <c r="H218" t="str">
        <f>IFERROR(Tab_Compteur_1[[#This Row],[Montant]]/Tab_Compteur_1[[#This Row],[Delta Jour]],"")</f>
        <v/>
      </c>
      <c r="I218" s="215" t="str">
        <f t="shared" si="11"/>
        <v/>
      </c>
      <c r="J218" s="507"/>
      <c r="K218" s="38"/>
      <c r="L218" s="38"/>
      <c r="M218" s="38"/>
      <c r="N218" s="38"/>
      <c r="O218"/>
    </row>
    <row r="219" spans="1:15">
      <c r="A219" s="501">
        <f t="shared" si="12"/>
        <v>1</v>
      </c>
      <c r="B219" s="236"/>
      <c r="C219" s="193"/>
      <c r="D219" s="195"/>
      <c r="E219" s="193"/>
      <c r="F219">
        <f t="shared" si="10"/>
        <v>0</v>
      </c>
      <c r="G219" t="str">
        <f>IF(IFERROR(IF(Str_TypeDonneesCpt1=Cpt_Index,Tab_Compteur_1[[#This Row],[Index]]-E218,Tab_Compteur_1[[#This Row],[Quantité]])/Tab_Compteur_1[[#This Row],[Delta Jour]],"")&lt;0,"",IFERROR(IF(Str_TypeDonneesCpt1=Cpt_Index,Tab_Compteur_1[[#This Row],[Index]]-E218,Tab_Compteur_1[[#This Row],[Quantité]])/Tab_Compteur_1[[#This Row],[Delta Jour]],""))</f>
        <v/>
      </c>
      <c r="H219" t="str">
        <f>IFERROR(Tab_Compteur_1[[#This Row],[Montant]]/Tab_Compteur_1[[#This Row],[Delta Jour]],"")</f>
        <v/>
      </c>
      <c r="I219" s="215" t="str">
        <f t="shared" si="11"/>
        <v/>
      </c>
      <c r="J219" s="507"/>
      <c r="K219" s="38"/>
      <c r="L219" s="38"/>
      <c r="M219" s="38"/>
      <c r="N219" s="38"/>
      <c r="O219"/>
    </row>
    <row r="220" spans="1:15">
      <c r="A220" s="501">
        <f t="shared" si="12"/>
        <v>1</v>
      </c>
      <c r="B220" s="236"/>
      <c r="C220" s="193"/>
      <c r="D220" s="195"/>
      <c r="E220" s="193"/>
      <c r="F220">
        <f t="shared" si="10"/>
        <v>0</v>
      </c>
      <c r="G220" t="str">
        <f>IF(IFERROR(IF(Str_TypeDonneesCpt1=Cpt_Index,Tab_Compteur_1[[#This Row],[Index]]-E219,Tab_Compteur_1[[#This Row],[Quantité]])/Tab_Compteur_1[[#This Row],[Delta Jour]],"")&lt;0,"",IFERROR(IF(Str_TypeDonneesCpt1=Cpt_Index,Tab_Compteur_1[[#This Row],[Index]]-E219,Tab_Compteur_1[[#This Row],[Quantité]])/Tab_Compteur_1[[#This Row],[Delta Jour]],""))</f>
        <v/>
      </c>
      <c r="H220" t="str">
        <f>IFERROR(Tab_Compteur_1[[#This Row],[Montant]]/Tab_Compteur_1[[#This Row],[Delta Jour]],"")</f>
        <v/>
      </c>
      <c r="I220" s="215" t="str">
        <f t="shared" si="11"/>
        <v/>
      </c>
      <c r="J220" s="507"/>
      <c r="K220" s="38"/>
      <c r="L220" s="38"/>
      <c r="M220" s="38"/>
      <c r="N220" s="38"/>
      <c r="O220"/>
    </row>
    <row r="221" spans="1:15">
      <c r="A221" s="501">
        <f t="shared" si="12"/>
        <v>1</v>
      </c>
      <c r="B221" s="236"/>
      <c r="C221" s="193"/>
      <c r="D221" s="195"/>
      <c r="E221" s="193"/>
      <c r="F221">
        <f t="shared" si="10"/>
        <v>0</v>
      </c>
      <c r="G221" t="str">
        <f>IF(IFERROR(IF(Str_TypeDonneesCpt1=Cpt_Index,Tab_Compteur_1[[#This Row],[Index]]-E220,Tab_Compteur_1[[#This Row],[Quantité]])/Tab_Compteur_1[[#This Row],[Delta Jour]],"")&lt;0,"",IFERROR(IF(Str_TypeDonneesCpt1=Cpt_Index,Tab_Compteur_1[[#This Row],[Index]]-E220,Tab_Compteur_1[[#This Row],[Quantité]])/Tab_Compteur_1[[#This Row],[Delta Jour]],""))</f>
        <v/>
      </c>
      <c r="H221" t="str">
        <f>IFERROR(Tab_Compteur_1[[#This Row],[Montant]]/Tab_Compteur_1[[#This Row],[Delta Jour]],"")</f>
        <v/>
      </c>
      <c r="I221" s="215" t="str">
        <f t="shared" si="11"/>
        <v/>
      </c>
      <c r="J221" s="507"/>
      <c r="K221" s="38"/>
      <c r="L221" s="38"/>
      <c r="M221" s="38"/>
      <c r="N221" s="38"/>
      <c r="O221"/>
    </row>
    <row r="222" spans="1:15">
      <c r="A222" s="501">
        <f t="shared" si="12"/>
        <v>1</v>
      </c>
      <c r="B222" s="236"/>
      <c r="C222" s="193"/>
      <c r="D222" s="195"/>
      <c r="E222" s="193"/>
      <c r="F222">
        <f t="shared" si="10"/>
        <v>0</v>
      </c>
      <c r="G222" t="str">
        <f>IF(IFERROR(IF(Str_TypeDonneesCpt1=Cpt_Index,Tab_Compteur_1[[#This Row],[Index]]-E221,Tab_Compteur_1[[#This Row],[Quantité]])/Tab_Compteur_1[[#This Row],[Delta Jour]],"")&lt;0,"",IFERROR(IF(Str_TypeDonneesCpt1=Cpt_Index,Tab_Compteur_1[[#This Row],[Index]]-E221,Tab_Compteur_1[[#This Row],[Quantité]])/Tab_Compteur_1[[#This Row],[Delta Jour]],""))</f>
        <v/>
      </c>
      <c r="H222" t="str">
        <f>IFERROR(Tab_Compteur_1[[#This Row],[Montant]]/Tab_Compteur_1[[#This Row],[Delta Jour]],"")</f>
        <v/>
      </c>
      <c r="I222" s="215" t="str">
        <f t="shared" si="11"/>
        <v/>
      </c>
      <c r="J222" s="507"/>
      <c r="K222" s="38"/>
      <c r="L222" s="38"/>
      <c r="M222" s="38"/>
      <c r="N222" s="38"/>
      <c r="O222"/>
    </row>
    <row r="223" spans="1:15">
      <c r="A223" s="501">
        <f t="shared" si="12"/>
        <v>1</v>
      </c>
      <c r="B223" s="236"/>
      <c r="C223" s="193"/>
      <c r="D223" s="195"/>
      <c r="E223" s="193"/>
      <c r="F223">
        <f t="shared" si="10"/>
        <v>0</v>
      </c>
      <c r="G223" t="str">
        <f>IF(IFERROR(IF(Str_TypeDonneesCpt1=Cpt_Index,Tab_Compteur_1[[#This Row],[Index]]-E222,Tab_Compteur_1[[#This Row],[Quantité]])/Tab_Compteur_1[[#This Row],[Delta Jour]],"")&lt;0,"",IFERROR(IF(Str_TypeDonneesCpt1=Cpt_Index,Tab_Compteur_1[[#This Row],[Index]]-E222,Tab_Compteur_1[[#This Row],[Quantité]])/Tab_Compteur_1[[#This Row],[Delta Jour]],""))</f>
        <v/>
      </c>
      <c r="H223" t="str">
        <f>IFERROR(Tab_Compteur_1[[#This Row],[Montant]]/Tab_Compteur_1[[#This Row],[Delta Jour]],"")</f>
        <v/>
      </c>
      <c r="I223" s="215" t="str">
        <f t="shared" si="11"/>
        <v/>
      </c>
      <c r="J223" s="507"/>
      <c r="K223" s="38"/>
      <c r="L223" s="38"/>
      <c r="M223" s="38"/>
      <c r="N223" s="38"/>
      <c r="O223"/>
    </row>
    <row r="224" spans="1:15">
      <c r="A224" s="501">
        <f t="shared" si="12"/>
        <v>1</v>
      </c>
      <c r="B224" s="236"/>
      <c r="C224" s="193"/>
      <c r="D224" s="195"/>
      <c r="E224" s="193"/>
      <c r="F224">
        <f t="shared" si="10"/>
        <v>0</v>
      </c>
      <c r="G224" t="str">
        <f>IF(IFERROR(IF(Str_TypeDonneesCpt1=Cpt_Index,Tab_Compteur_1[[#This Row],[Index]]-E223,Tab_Compteur_1[[#This Row],[Quantité]])/Tab_Compteur_1[[#This Row],[Delta Jour]],"")&lt;0,"",IFERROR(IF(Str_TypeDonneesCpt1=Cpt_Index,Tab_Compteur_1[[#This Row],[Index]]-E223,Tab_Compteur_1[[#This Row],[Quantité]])/Tab_Compteur_1[[#This Row],[Delta Jour]],""))</f>
        <v/>
      </c>
      <c r="H224" t="str">
        <f>IFERROR(Tab_Compteur_1[[#This Row],[Montant]]/Tab_Compteur_1[[#This Row],[Delta Jour]],"")</f>
        <v/>
      </c>
      <c r="I224" s="215" t="str">
        <f t="shared" si="11"/>
        <v/>
      </c>
      <c r="J224" s="507"/>
      <c r="K224" s="38"/>
      <c r="L224" s="38"/>
      <c r="M224" s="38"/>
      <c r="N224" s="38"/>
      <c r="O224"/>
    </row>
    <row r="225" spans="1:15">
      <c r="A225" s="501">
        <f t="shared" si="12"/>
        <v>1</v>
      </c>
      <c r="B225" s="236"/>
      <c r="C225" s="193"/>
      <c r="D225" s="195"/>
      <c r="E225" s="193"/>
      <c r="F225">
        <f t="shared" si="10"/>
        <v>0</v>
      </c>
      <c r="G225" t="str">
        <f>IF(IFERROR(IF(Str_TypeDonneesCpt1=Cpt_Index,Tab_Compteur_1[[#This Row],[Index]]-E224,Tab_Compteur_1[[#This Row],[Quantité]])/Tab_Compteur_1[[#This Row],[Delta Jour]],"")&lt;0,"",IFERROR(IF(Str_TypeDonneesCpt1=Cpt_Index,Tab_Compteur_1[[#This Row],[Index]]-E224,Tab_Compteur_1[[#This Row],[Quantité]])/Tab_Compteur_1[[#This Row],[Delta Jour]],""))</f>
        <v/>
      </c>
      <c r="H225" t="str">
        <f>IFERROR(Tab_Compteur_1[[#This Row],[Montant]]/Tab_Compteur_1[[#This Row],[Delta Jour]],"")</f>
        <v/>
      </c>
      <c r="I225" s="215" t="str">
        <f t="shared" si="11"/>
        <v/>
      </c>
      <c r="J225" s="507"/>
      <c r="K225" s="38"/>
      <c r="L225" s="38"/>
      <c r="M225" s="38"/>
      <c r="N225" s="38"/>
      <c r="O225"/>
    </row>
    <row r="226" spans="1:15">
      <c r="A226" s="501">
        <f t="shared" si="12"/>
        <v>1</v>
      </c>
      <c r="B226" s="236"/>
      <c r="C226" s="193"/>
      <c r="D226" s="195"/>
      <c r="E226" s="193"/>
      <c r="F226">
        <f t="shared" si="10"/>
        <v>0</v>
      </c>
      <c r="G226" t="str">
        <f>IF(IFERROR(IF(Str_TypeDonneesCpt1=Cpt_Index,Tab_Compteur_1[[#This Row],[Index]]-E225,Tab_Compteur_1[[#This Row],[Quantité]])/Tab_Compteur_1[[#This Row],[Delta Jour]],"")&lt;0,"",IFERROR(IF(Str_TypeDonneesCpt1=Cpt_Index,Tab_Compteur_1[[#This Row],[Index]]-E225,Tab_Compteur_1[[#This Row],[Quantité]])/Tab_Compteur_1[[#This Row],[Delta Jour]],""))</f>
        <v/>
      </c>
      <c r="H226" t="str">
        <f>IFERROR(Tab_Compteur_1[[#This Row],[Montant]]/Tab_Compteur_1[[#This Row],[Delta Jour]],"")</f>
        <v/>
      </c>
      <c r="I226" s="215" t="str">
        <f t="shared" si="11"/>
        <v/>
      </c>
      <c r="J226" s="507"/>
      <c r="K226" s="38"/>
      <c r="L226" s="38"/>
      <c r="M226" s="38"/>
      <c r="N226" s="38"/>
      <c r="O226"/>
    </row>
    <row r="227" spans="1:15">
      <c r="A227" s="501">
        <f t="shared" si="12"/>
        <v>1</v>
      </c>
      <c r="B227" s="236"/>
      <c r="C227" s="193"/>
      <c r="D227" s="195"/>
      <c r="E227" s="193"/>
      <c r="F227">
        <f t="shared" si="10"/>
        <v>0</v>
      </c>
      <c r="G227" t="str">
        <f>IF(IFERROR(IF(Str_TypeDonneesCpt1=Cpt_Index,Tab_Compteur_1[[#This Row],[Index]]-E226,Tab_Compteur_1[[#This Row],[Quantité]])/Tab_Compteur_1[[#This Row],[Delta Jour]],"")&lt;0,"",IFERROR(IF(Str_TypeDonneesCpt1=Cpt_Index,Tab_Compteur_1[[#This Row],[Index]]-E226,Tab_Compteur_1[[#This Row],[Quantité]])/Tab_Compteur_1[[#This Row],[Delta Jour]],""))</f>
        <v/>
      </c>
      <c r="H227" t="str">
        <f>IFERROR(Tab_Compteur_1[[#This Row],[Montant]]/Tab_Compteur_1[[#This Row],[Delta Jour]],"")</f>
        <v/>
      </c>
      <c r="I227" s="215" t="str">
        <f t="shared" si="11"/>
        <v/>
      </c>
      <c r="J227" s="507"/>
      <c r="K227" s="38"/>
      <c r="L227" s="38"/>
      <c r="M227" s="38"/>
      <c r="N227" s="38"/>
      <c r="O227"/>
    </row>
    <row r="228" spans="1:15">
      <c r="A228" s="501">
        <f t="shared" si="12"/>
        <v>1</v>
      </c>
      <c r="B228" s="236"/>
      <c r="C228" s="193"/>
      <c r="D228" s="195"/>
      <c r="E228" s="193"/>
      <c r="F228">
        <f t="shared" si="10"/>
        <v>0</v>
      </c>
      <c r="G228" t="str">
        <f>IF(IFERROR(IF(Str_TypeDonneesCpt1=Cpt_Index,Tab_Compteur_1[[#This Row],[Index]]-E227,Tab_Compteur_1[[#This Row],[Quantité]])/Tab_Compteur_1[[#This Row],[Delta Jour]],"")&lt;0,"",IFERROR(IF(Str_TypeDonneesCpt1=Cpt_Index,Tab_Compteur_1[[#This Row],[Index]]-E227,Tab_Compteur_1[[#This Row],[Quantité]])/Tab_Compteur_1[[#This Row],[Delta Jour]],""))</f>
        <v/>
      </c>
      <c r="H228" t="str">
        <f>IFERROR(Tab_Compteur_1[[#This Row],[Montant]]/Tab_Compteur_1[[#This Row],[Delta Jour]],"")</f>
        <v/>
      </c>
      <c r="I228" s="215" t="str">
        <f t="shared" si="11"/>
        <v/>
      </c>
      <c r="J228" s="507"/>
      <c r="K228" s="38"/>
      <c r="L228" s="38"/>
      <c r="M228" s="38"/>
      <c r="N228" s="38"/>
      <c r="O228"/>
    </row>
    <row r="229" spans="1:15">
      <c r="A229" s="501">
        <f t="shared" si="12"/>
        <v>1</v>
      </c>
      <c r="B229" s="236"/>
      <c r="C229" s="193"/>
      <c r="D229" s="195"/>
      <c r="E229" s="193"/>
      <c r="F229">
        <f t="shared" si="10"/>
        <v>0</v>
      </c>
      <c r="G229" t="str">
        <f>IF(IFERROR(IF(Str_TypeDonneesCpt1=Cpt_Index,Tab_Compteur_1[[#This Row],[Index]]-E228,Tab_Compteur_1[[#This Row],[Quantité]])/Tab_Compteur_1[[#This Row],[Delta Jour]],"")&lt;0,"",IFERROR(IF(Str_TypeDonneesCpt1=Cpt_Index,Tab_Compteur_1[[#This Row],[Index]]-E228,Tab_Compteur_1[[#This Row],[Quantité]])/Tab_Compteur_1[[#This Row],[Delta Jour]],""))</f>
        <v/>
      </c>
      <c r="H229" t="str">
        <f>IFERROR(Tab_Compteur_1[[#This Row],[Montant]]/Tab_Compteur_1[[#This Row],[Delta Jour]],"")</f>
        <v/>
      </c>
      <c r="I229" s="215" t="str">
        <f t="shared" si="11"/>
        <v/>
      </c>
      <c r="J229" s="507"/>
      <c r="K229" s="38"/>
      <c r="L229" s="38"/>
      <c r="M229" s="38"/>
      <c r="N229" s="38"/>
      <c r="O229"/>
    </row>
    <row r="230" spans="1:15">
      <c r="A230" s="501">
        <f t="shared" si="12"/>
        <v>1</v>
      </c>
      <c r="B230" s="236"/>
      <c r="C230" s="193"/>
      <c r="D230" s="195"/>
      <c r="E230" s="193"/>
      <c r="F230">
        <f t="shared" si="10"/>
        <v>0</v>
      </c>
      <c r="G230" t="str">
        <f>IF(IFERROR(IF(Str_TypeDonneesCpt1=Cpt_Index,Tab_Compteur_1[[#This Row],[Index]]-E229,Tab_Compteur_1[[#This Row],[Quantité]])/Tab_Compteur_1[[#This Row],[Delta Jour]],"")&lt;0,"",IFERROR(IF(Str_TypeDonneesCpt1=Cpt_Index,Tab_Compteur_1[[#This Row],[Index]]-E229,Tab_Compteur_1[[#This Row],[Quantité]])/Tab_Compteur_1[[#This Row],[Delta Jour]],""))</f>
        <v/>
      </c>
      <c r="H230" t="str">
        <f>IFERROR(Tab_Compteur_1[[#This Row],[Montant]]/Tab_Compteur_1[[#This Row],[Delta Jour]],"")</f>
        <v/>
      </c>
      <c r="I230" s="215" t="str">
        <f t="shared" si="11"/>
        <v/>
      </c>
      <c r="J230" s="507"/>
      <c r="K230" s="38"/>
      <c r="L230" s="38"/>
      <c r="M230" s="38"/>
      <c r="N230" s="38"/>
      <c r="O230"/>
    </row>
    <row r="231" spans="1:15">
      <c r="A231" s="501">
        <f t="shared" si="12"/>
        <v>1</v>
      </c>
      <c r="B231" s="236"/>
      <c r="C231" s="193"/>
      <c r="D231" s="195"/>
      <c r="E231" s="193"/>
      <c r="F231">
        <f t="shared" si="10"/>
        <v>0</v>
      </c>
      <c r="G231" t="str">
        <f>IF(IFERROR(IF(Str_TypeDonneesCpt1=Cpt_Index,Tab_Compteur_1[[#This Row],[Index]]-E230,Tab_Compteur_1[[#This Row],[Quantité]])/Tab_Compteur_1[[#This Row],[Delta Jour]],"")&lt;0,"",IFERROR(IF(Str_TypeDonneesCpt1=Cpt_Index,Tab_Compteur_1[[#This Row],[Index]]-E230,Tab_Compteur_1[[#This Row],[Quantité]])/Tab_Compteur_1[[#This Row],[Delta Jour]],""))</f>
        <v/>
      </c>
      <c r="H231" t="str">
        <f>IFERROR(Tab_Compteur_1[[#This Row],[Montant]]/Tab_Compteur_1[[#This Row],[Delta Jour]],"")</f>
        <v/>
      </c>
      <c r="I231" s="215" t="str">
        <f t="shared" si="11"/>
        <v/>
      </c>
      <c r="J231" s="507"/>
      <c r="K231" s="38"/>
      <c r="L231" s="38"/>
      <c r="M231" s="38"/>
      <c r="N231" s="38"/>
      <c r="O231"/>
    </row>
    <row r="232" spans="1:15">
      <c r="A232" s="501">
        <f t="shared" si="12"/>
        <v>1</v>
      </c>
      <c r="B232" s="236"/>
      <c r="C232" s="193"/>
      <c r="D232" s="195"/>
      <c r="E232" s="193"/>
      <c r="F232">
        <f t="shared" si="10"/>
        <v>0</v>
      </c>
      <c r="G232" t="str">
        <f>IF(IFERROR(IF(Str_TypeDonneesCpt1=Cpt_Index,Tab_Compteur_1[[#This Row],[Index]]-E231,Tab_Compteur_1[[#This Row],[Quantité]])/Tab_Compteur_1[[#This Row],[Delta Jour]],"")&lt;0,"",IFERROR(IF(Str_TypeDonneesCpt1=Cpt_Index,Tab_Compteur_1[[#This Row],[Index]]-E231,Tab_Compteur_1[[#This Row],[Quantité]])/Tab_Compteur_1[[#This Row],[Delta Jour]],""))</f>
        <v/>
      </c>
      <c r="H232" t="str">
        <f>IFERROR(Tab_Compteur_1[[#This Row],[Montant]]/Tab_Compteur_1[[#This Row],[Delta Jour]],"")</f>
        <v/>
      </c>
      <c r="I232" s="215" t="str">
        <f t="shared" si="11"/>
        <v/>
      </c>
      <c r="J232" s="507"/>
      <c r="K232" s="38"/>
      <c r="L232" s="38"/>
      <c r="M232" s="38"/>
      <c r="N232" s="38"/>
      <c r="O232"/>
    </row>
    <row r="233" spans="1:15">
      <c r="A233" s="501">
        <f t="shared" si="12"/>
        <v>1</v>
      </c>
      <c r="B233" s="236"/>
      <c r="C233" s="193"/>
      <c r="D233" s="195"/>
      <c r="E233" s="193"/>
      <c r="F233">
        <f t="shared" si="10"/>
        <v>0</v>
      </c>
      <c r="G233" t="str">
        <f>IF(IFERROR(IF(Str_TypeDonneesCpt1=Cpt_Index,Tab_Compteur_1[[#This Row],[Index]]-E232,Tab_Compteur_1[[#This Row],[Quantité]])/Tab_Compteur_1[[#This Row],[Delta Jour]],"")&lt;0,"",IFERROR(IF(Str_TypeDonneesCpt1=Cpt_Index,Tab_Compteur_1[[#This Row],[Index]]-E232,Tab_Compteur_1[[#This Row],[Quantité]])/Tab_Compteur_1[[#This Row],[Delta Jour]],""))</f>
        <v/>
      </c>
      <c r="H233" t="str">
        <f>IFERROR(Tab_Compteur_1[[#This Row],[Montant]]/Tab_Compteur_1[[#This Row],[Delta Jour]],"")</f>
        <v/>
      </c>
      <c r="I233" s="215" t="str">
        <f t="shared" si="11"/>
        <v/>
      </c>
      <c r="J233" s="507"/>
      <c r="K233" s="38"/>
      <c r="L233" s="38"/>
      <c r="M233" s="38"/>
      <c r="N233" s="38"/>
      <c r="O233"/>
    </row>
    <row r="234" spans="1:15">
      <c r="A234" s="501">
        <f t="shared" si="12"/>
        <v>1</v>
      </c>
      <c r="B234" s="236"/>
      <c r="C234" s="193"/>
      <c r="D234" s="195"/>
      <c r="E234" s="193"/>
      <c r="F234">
        <f t="shared" si="10"/>
        <v>0</v>
      </c>
      <c r="G234" t="str">
        <f>IF(IFERROR(IF(Str_TypeDonneesCpt1=Cpt_Index,Tab_Compteur_1[[#This Row],[Index]]-E233,Tab_Compteur_1[[#This Row],[Quantité]])/Tab_Compteur_1[[#This Row],[Delta Jour]],"")&lt;0,"",IFERROR(IF(Str_TypeDonneesCpt1=Cpt_Index,Tab_Compteur_1[[#This Row],[Index]]-E233,Tab_Compteur_1[[#This Row],[Quantité]])/Tab_Compteur_1[[#This Row],[Delta Jour]],""))</f>
        <v/>
      </c>
      <c r="H234" t="str">
        <f>IFERROR(Tab_Compteur_1[[#This Row],[Montant]]/Tab_Compteur_1[[#This Row],[Delta Jour]],"")</f>
        <v/>
      </c>
      <c r="I234" s="215" t="str">
        <f t="shared" si="11"/>
        <v/>
      </c>
      <c r="J234" s="507"/>
      <c r="K234" s="38"/>
      <c r="L234" s="38"/>
      <c r="M234" s="38"/>
      <c r="N234" s="38"/>
      <c r="O234"/>
    </row>
    <row r="235" spans="1:15">
      <c r="A235" s="501">
        <f t="shared" si="12"/>
        <v>1</v>
      </c>
      <c r="B235" s="236"/>
      <c r="C235" s="193"/>
      <c r="D235" s="195"/>
      <c r="E235" s="193"/>
      <c r="F235">
        <f t="shared" si="10"/>
        <v>0</v>
      </c>
      <c r="G235" t="str">
        <f>IF(IFERROR(IF(Str_TypeDonneesCpt1=Cpt_Index,Tab_Compteur_1[[#This Row],[Index]]-E234,Tab_Compteur_1[[#This Row],[Quantité]])/Tab_Compteur_1[[#This Row],[Delta Jour]],"")&lt;0,"",IFERROR(IF(Str_TypeDonneesCpt1=Cpt_Index,Tab_Compteur_1[[#This Row],[Index]]-E234,Tab_Compteur_1[[#This Row],[Quantité]])/Tab_Compteur_1[[#This Row],[Delta Jour]],""))</f>
        <v/>
      </c>
      <c r="H235" t="str">
        <f>IFERROR(Tab_Compteur_1[[#This Row],[Montant]]/Tab_Compteur_1[[#This Row],[Delta Jour]],"")</f>
        <v/>
      </c>
      <c r="I235" s="215" t="str">
        <f t="shared" si="11"/>
        <v/>
      </c>
      <c r="J235" s="507"/>
      <c r="K235" s="38"/>
      <c r="L235" s="38"/>
      <c r="M235" s="38"/>
      <c r="N235" s="38"/>
      <c r="O235"/>
    </row>
    <row r="236" spans="1:15">
      <c r="A236" s="501">
        <f t="shared" si="12"/>
        <v>1</v>
      </c>
      <c r="B236" s="236"/>
      <c r="C236" s="193"/>
      <c r="D236" s="195"/>
      <c r="E236" s="193"/>
      <c r="F236">
        <f t="shared" si="10"/>
        <v>0</v>
      </c>
      <c r="G236" t="str">
        <f>IF(IFERROR(IF(Str_TypeDonneesCpt1=Cpt_Index,Tab_Compteur_1[[#This Row],[Index]]-E235,Tab_Compteur_1[[#This Row],[Quantité]])/Tab_Compteur_1[[#This Row],[Delta Jour]],"")&lt;0,"",IFERROR(IF(Str_TypeDonneesCpt1=Cpt_Index,Tab_Compteur_1[[#This Row],[Index]]-E235,Tab_Compteur_1[[#This Row],[Quantité]])/Tab_Compteur_1[[#This Row],[Delta Jour]],""))</f>
        <v/>
      </c>
      <c r="H236" t="str">
        <f>IFERROR(Tab_Compteur_1[[#This Row],[Montant]]/Tab_Compteur_1[[#This Row],[Delta Jour]],"")</f>
        <v/>
      </c>
      <c r="I236" s="215" t="str">
        <f t="shared" si="11"/>
        <v/>
      </c>
      <c r="J236" s="507"/>
      <c r="K236" s="38"/>
      <c r="L236" s="38"/>
      <c r="M236" s="38"/>
      <c r="N236" s="38"/>
      <c r="O236"/>
    </row>
    <row r="237" spans="1:15">
      <c r="A237" s="501">
        <f t="shared" si="12"/>
        <v>1</v>
      </c>
      <c r="B237" s="236"/>
      <c r="C237" s="193"/>
      <c r="D237" s="195"/>
      <c r="E237" s="193"/>
      <c r="F237">
        <f t="shared" si="10"/>
        <v>0</v>
      </c>
      <c r="G237" t="str">
        <f>IF(IFERROR(IF(Str_TypeDonneesCpt1=Cpt_Index,Tab_Compteur_1[[#This Row],[Index]]-E236,Tab_Compteur_1[[#This Row],[Quantité]])/Tab_Compteur_1[[#This Row],[Delta Jour]],"")&lt;0,"",IFERROR(IF(Str_TypeDonneesCpt1=Cpt_Index,Tab_Compteur_1[[#This Row],[Index]]-E236,Tab_Compteur_1[[#This Row],[Quantité]])/Tab_Compteur_1[[#This Row],[Delta Jour]],""))</f>
        <v/>
      </c>
      <c r="H237" t="str">
        <f>IFERROR(Tab_Compteur_1[[#This Row],[Montant]]/Tab_Compteur_1[[#This Row],[Delta Jour]],"")</f>
        <v/>
      </c>
      <c r="I237" s="215" t="str">
        <f t="shared" si="11"/>
        <v/>
      </c>
      <c r="J237" s="507"/>
      <c r="K237" s="38"/>
      <c r="L237" s="38"/>
      <c r="M237" s="38"/>
      <c r="N237" s="38"/>
      <c r="O237"/>
    </row>
    <row r="238" spans="1:15">
      <c r="A238" s="501">
        <f t="shared" si="12"/>
        <v>1</v>
      </c>
      <c r="B238" s="236"/>
      <c r="C238" s="193"/>
      <c r="D238" s="195"/>
      <c r="E238" s="193"/>
      <c r="F238">
        <f t="shared" si="10"/>
        <v>0</v>
      </c>
      <c r="G238" t="str">
        <f>IF(IFERROR(IF(Str_TypeDonneesCpt1=Cpt_Index,Tab_Compteur_1[[#This Row],[Index]]-E237,Tab_Compteur_1[[#This Row],[Quantité]])/Tab_Compteur_1[[#This Row],[Delta Jour]],"")&lt;0,"",IFERROR(IF(Str_TypeDonneesCpt1=Cpt_Index,Tab_Compteur_1[[#This Row],[Index]]-E237,Tab_Compteur_1[[#This Row],[Quantité]])/Tab_Compteur_1[[#This Row],[Delta Jour]],""))</f>
        <v/>
      </c>
      <c r="H238" t="str">
        <f>IFERROR(Tab_Compteur_1[[#This Row],[Montant]]/Tab_Compteur_1[[#This Row],[Delta Jour]],"")</f>
        <v/>
      </c>
      <c r="I238" s="215" t="str">
        <f t="shared" si="11"/>
        <v/>
      </c>
      <c r="J238" s="507"/>
      <c r="K238" s="38"/>
      <c r="L238" s="38"/>
      <c r="M238" s="38"/>
      <c r="N238" s="38"/>
      <c r="O238"/>
    </row>
    <row r="239" spans="1:15">
      <c r="A239" s="501">
        <f t="shared" si="12"/>
        <v>1</v>
      </c>
      <c r="B239" s="236"/>
      <c r="C239" s="193"/>
      <c r="D239" s="195"/>
      <c r="E239" s="193"/>
      <c r="F239">
        <f t="shared" si="10"/>
        <v>0</v>
      </c>
      <c r="G239" t="str">
        <f>IF(IFERROR(IF(Str_TypeDonneesCpt1=Cpt_Index,Tab_Compteur_1[[#This Row],[Index]]-E238,Tab_Compteur_1[[#This Row],[Quantité]])/Tab_Compteur_1[[#This Row],[Delta Jour]],"")&lt;0,"",IFERROR(IF(Str_TypeDonneesCpt1=Cpt_Index,Tab_Compteur_1[[#This Row],[Index]]-E238,Tab_Compteur_1[[#This Row],[Quantité]])/Tab_Compteur_1[[#This Row],[Delta Jour]],""))</f>
        <v/>
      </c>
      <c r="H239" t="str">
        <f>IFERROR(Tab_Compteur_1[[#This Row],[Montant]]/Tab_Compteur_1[[#This Row],[Delta Jour]],"")</f>
        <v/>
      </c>
      <c r="I239" s="215" t="str">
        <f t="shared" si="11"/>
        <v/>
      </c>
      <c r="J239" s="507"/>
      <c r="K239" s="38"/>
      <c r="L239" s="38"/>
      <c r="M239" s="38"/>
      <c r="N239" s="38"/>
      <c r="O239"/>
    </row>
    <row r="240" spans="1:15">
      <c r="A240" s="501">
        <f t="shared" si="12"/>
        <v>1</v>
      </c>
      <c r="B240" s="236"/>
      <c r="C240" s="193"/>
      <c r="D240" s="195"/>
      <c r="E240" s="193"/>
      <c r="F240">
        <f t="shared" si="10"/>
        <v>0</v>
      </c>
      <c r="G240" t="str">
        <f>IF(IFERROR(IF(Str_TypeDonneesCpt1=Cpt_Index,Tab_Compteur_1[[#This Row],[Index]]-E239,Tab_Compteur_1[[#This Row],[Quantité]])/Tab_Compteur_1[[#This Row],[Delta Jour]],"")&lt;0,"",IFERROR(IF(Str_TypeDonneesCpt1=Cpt_Index,Tab_Compteur_1[[#This Row],[Index]]-E239,Tab_Compteur_1[[#This Row],[Quantité]])/Tab_Compteur_1[[#This Row],[Delta Jour]],""))</f>
        <v/>
      </c>
      <c r="H240" t="str">
        <f>IFERROR(Tab_Compteur_1[[#This Row],[Montant]]/Tab_Compteur_1[[#This Row],[Delta Jour]],"")</f>
        <v/>
      </c>
      <c r="I240" s="215" t="str">
        <f t="shared" si="11"/>
        <v/>
      </c>
      <c r="J240" s="192"/>
      <c r="K240" s="38"/>
      <c r="L240" s="38"/>
      <c r="M240" s="38"/>
      <c r="N240" s="38"/>
      <c r="O240"/>
    </row>
    <row r="241" spans="1:15">
      <c r="A241" s="501">
        <f t="shared" si="12"/>
        <v>1</v>
      </c>
      <c r="B241" s="236"/>
      <c r="C241" s="193"/>
      <c r="D241" s="195"/>
      <c r="E241" s="193"/>
      <c r="F241">
        <f t="shared" si="10"/>
        <v>0</v>
      </c>
      <c r="G241" t="str">
        <f>IF(IFERROR(IF(Str_TypeDonneesCpt1=Cpt_Index,Tab_Compteur_1[[#This Row],[Index]]-E240,Tab_Compteur_1[[#This Row],[Quantité]])/Tab_Compteur_1[[#This Row],[Delta Jour]],"")&lt;0,"",IFERROR(IF(Str_TypeDonneesCpt1=Cpt_Index,Tab_Compteur_1[[#This Row],[Index]]-E240,Tab_Compteur_1[[#This Row],[Quantité]])/Tab_Compteur_1[[#This Row],[Delta Jour]],""))</f>
        <v/>
      </c>
      <c r="H241" t="str">
        <f>IFERROR(Tab_Compteur_1[[#This Row],[Montant]]/Tab_Compteur_1[[#This Row],[Delta Jour]],"")</f>
        <v/>
      </c>
      <c r="I241" s="215" t="str">
        <f t="shared" si="11"/>
        <v/>
      </c>
      <c r="J241" s="192"/>
      <c r="K241" s="38"/>
      <c r="L241" s="38"/>
      <c r="M241" s="38"/>
      <c r="N241" s="38"/>
      <c r="O241"/>
    </row>
    <row r="242" spans="1:15">
      <c r="A242" s="501">
        <f t="shared" si="12"/>
        <v>1</v>
      </c>
      <c r="B242" s="236"/>
      <c r="C242" s="193"/>
      <c r="D242" s="195"/>
      <c r="E242" s="193"/>
      <c r="F242">
        <f t="shared" si="10"/>
        <v>0</v>
      </c>
      <c r="G242" t="str">
        <f>IF(IFERROR(IF(Str_TypeDonneesCpt1=Cpt_Index,Tab_Compteur_1[[#This Row],[Index]]-E241,Tab_Compteur_1[[#This Row],[Quantité]])/Tab_Compteur_1[[#This Row],[Delta Jour]],"")&lt;0,"",IFERROR(IF(Str_TypeDonneesCpt1=Cpt_Index,Tab_Compteur_1[[#This Row],[Index]]-E241,Tab_Compteur_1[[#This Row],[Quantité]])/Tab_Compteur_1[[#This Row],[Delta Jour]],""))</f>
        <v/>
      </c>
      <c r="H242" t="str">
        <f>IFERROR(Tab_Compteur_1[[#This Row],[Montant]]/Tab_Compteur_1[[#This Row],[Delta Jour]],"")</f>
        <v/>
      </c>
      <c r="I242" s="215" t="str">
        <f t="shared" si="11"/>
        <v/>
      </c>
      <c r="J242" s="192"/>
      <c r="K242" s="38"/>
      <c r="L242" s="38"/>
      <c r="M242" s="38"/>
      <c r="N242" s="38"/>
      <c r="O242"/>
    </row>
    <row r="243" spans="1:15">
      <c r="A243" s="501">
        <f t="shared" si="12"/>
        <v>1</v>
      </c>
      <c r="B243" s="236"/>
      <c r="C243" s="193"/>
      <c r="D243" s="195"/>
      <c r="E243" s="193"/>
      <c r="F243">
        <f t="shared" si="10"/>
        <v>0</v>
      </c>
      <c r="G243" t="str">
        <f>IF(IFERROR(IF(Str_TypeDonneesCpt1=Cpt_Index,Tab_Compteur_1[[#This Row],[Index]]-E242,Tab_Compteur_1[[#This Row],[Quantité]])/Tab_Compteur_1[[#This Row],[Delta Jour]],"")&lt;0,"",IFERROR(IF(Str_TypeDonneesCpt1=Cpt_Index,Tab_Compteur_1[[#This Row],[Index]]-E242,Tab_Compteur_1[[#This Row],[Quantité]])/Tab_Compteur_1[[#This Row],[Delta Jour]],""))</f>
        <v/>
      </c>
      <c r="H243" t="str">
        <f>IFERROR(Tab_Compteur_1[[#This Row],[Montant]]/Tab_Compteur_1[[#This Row],[Delta Jour]],"")</f>
        <v/>
      </c>
      <c r="I243" s="215" t="str">
        <f t="shared" si="11"/>
        <v/>
      </c>
      <c r="J243" s="192"/>
      <c r="K243" s="38"/>
      <c r="L243" s="38"/>
      <c r="M243" s="38"/>
      <c r="N243" s="38"/>
      <c r="O243"/>
    </row>
  </sheetData>
  <sheetProtection sheet="1"/>
  <protectedRanges>
    <protectedRange sqref="E4:E243" name="Plage2"/>
    <protectedRange sqref="B4:D243" name="Plage1"/>
  </protectedRanges>
  <mergeCells count="1">
    <mergeCell ref="K34:M56"/>
  </mergeCells>
  <conditionalFormatting sqref="B4:B243">
    <cfRule type="expression" dxfId="116"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8"/>
  <dimension ref="A1:R369"/>
  <sheetViews>
    <sheetView workbookViewId="0"/>
  </sheetViews>
  <sheetFormatPr baseColWidth="10" defaultColWidth="11.453125" defaultRowHeight="14.5"/>
  <sheetData>
    <row r="1" spans="1:18">
      <c r="A1" t="s">
        <v>7</v>
      </c>
      <c r="B1">
        <f>Calcul_Bilan_Energie!N2</f>
        <v>2025</v>
      </c>
      <c r="O1" t="s">
        <v>264</v>
      </c>
    </row>
    <row r="2" spans="1:18">
      <c r="B2" t="str">
        <f>Controle_des_données!A42</f>
        <v>Continu</v>
      </c>
      <c r="O2" t="s">
        <v>265</v>
      </c>
      <c r="P2" t="s">
        <v>266</v>
      </c>
      <c r="Q2" t="s">
        <v>267</v>
      </c>
      <c r="R2" t="s">
        <v>268</v>
      </c>
    </row>
    <row r="3" spans="1:18">
      <c r="A3" t="s">
        <v>269</v>
      </c>
      <c r="B3" t="s">
        <v>270</v>
      </c>
      <c r="C3" t="s">
        <v>271</v>
      </c>
      <c r="D3" t="s">
        <v>272</v>
      </c>
      <c r="E3" t="s">
        <v>273</v>
      </c>
      <c r="F3" t="s">
        <v>274</v>
      </c>
      <c r="I3" t="s">
        <v>212</v>
      </c>
      <c r="O3" s="3">
        <v>37622</v>
      </c>
      <c r="P3">
        <v>2003</v>
      </c>
      <c r="Q3" t="s">
        <v>275</v>
      </c>
      <c r="R3" t="s">
        <v>276</v>
      </c>
    </row>
    <row r="4" spans="1:18">
      <c r="A4" s="3">
        <f>DATE(B1,1,1)</f>
        <v>45658</v>
      </c>
      <c r="B4">
        <f>WEEKDAY(A4,2)</f>
        <v>3</v>
      </c>
      <c r="C4">
        <f>IF(AND(B4=6,$B$2&lt;&gt;$I$3,$B$2&lt;&gt;$I$5),1,0)</f>
        <v>0</v>
      </c>
      <c r="D4">
        <f>IF(AND(B4=7,$B$2&lt;&gt;$I$3),1,0)</f>
        <v>0</v>
      </c>
      <c r="E4">
        <f>IF($B$2&lt;&gt;$I$3,COUNTIF(Tab_fériés[date],A4),0)</f>
        <v>0</v>
      </c>
      <c r="F4">
        <f>IFERROR(IF(SUM(C4:E4)&gt;0,1,0),0)</f>
        <v>0</v>
      </c>
      <c r="I4" t="s">
        <v>216</v>
      </c>
      <c r="O4" s="3">
        <v>37732</v>
      </c>
      <c r="P4">
        <v>2003</v>
      </c>
      <c r="Q4" t="s">
        <v>275</v>
      </c>
      <c r="R4" t="s">
        <v>277</v>
      </c>
    </row>
    <row r="5" spans="1:18">
      <c r="A5" s="3">
        <f>A4+1</f>
        <v>45659</v>
      </c>
      <c r="B5">
        <f t="shared" ref="B5:B68" si="0">WEEKDAY(A5,2)</f>
        <v>4</v>
      </c>
      <c r="C5">
        <f>IF(AND(B5=6,$B$2&lt;&gt;$I$3,$B$2&lt;&gt;$I$5),1,0)</f>
        <v>0</v>
      </c>
      <c r="D5">
        <f t="shared" ref="D5:D68" si="1">IF(AND(B5=7,$B$2&lt;&gt;$I$3),1,0)</f>
        <v>0</v>
      </c>
      <c r="E5">
        <f>IF($B$2&lt;&gt;$I$3,COUNTIF(Tab_fériés[date],A5),0)</f>
        <v>0</v>
      </c>
      <c r="F5">
        <f t="shared" ref="F5:F68" si="2">IFERROR(IF(SUM(C5:E5)&gt;0,1,0),0)</f>
        <v>0</v>
      </c>
      <c r="I5" t="s">
        <v>220</v>
      </c>
      <c r="O5" s="3">
        <v>37742</v>
      </c>
      <c r="P5">
        <v>2003</v>
      </c>
      <c r="Q5" t="s">
        <v>275</v>
      </c>
      <c r="R5" t="s">
        <v>278</v>
      </c>
    </row>
    <row r="6" spans="1:18">
      <c r="A6" s="3">
        <f t="shared" ref="A6:A69" si="3">A5+1</f>
        <v>45660</v>
      </c>
      <c r="B6">
        <f t="shared" si="0"/>
        <v>5</v>
      </c>
      <c r="C6">
        <f t="shared" ref="C6:C69" si="4">IF(AND(B6=6,$B$2&lt;&gt;$I$3,$B$2&lt;&gt;$I$5),1,0)</f>
        <v>0</v>
      </c>
      <c r="D6">
        <f t="shared" si="1"/>
        <v>0</v>
      </c>
      <c r="E6">
        <f>IF($B$2&lt;&gt;$I$3,COUNTIF(Tab_fériés[date],A6),0)</f>
        <v>0</v>
      </c>
      <c r="F6">
        <f t="shared" si="2"/>
        <v>0</v>
      </c>
      <c r="I6" t="s">
        <v>279</v>
      </c>
      <c r="O6" s="3">
        <v>37749</v>
      </c>
      <c r="P6">
        <v>2003</v>
      </c>
      <c r="Q6" t="s">
        <v>275</v>
      </c>
      <c r="R6" s="148">
        <v>45054</v>
      </c>
    </row>
    <row r="7" spans="1:18">
      <c r="A7" s="3">
        <f t="shared" si="3"/>
        <v>45661</v>
      </c>
      <c r="B7">
        <f t="shared" si="0"/>
        <v>6</v>
      </c>
      <c r="C7">
        <f t="shared" si="4"/>
        <v>0</v>
      </c>
      <c r="D7">
        <f t="shared" si="1"/>
        <v>0</v>
      </c>
      <c r="E7">
        <f>IF($B$2&lt;&gt;$I$3,COUNTIF(Tab_fériés[date],A7),0)</f>
        <v>0</v>
      </c>
      <c r="F7">
        <f t="shared" si="2"/>
        <v>0</v>
      </c>
      <c r="I7" t="s">
        <v>280</v>
      </c>
      <c r="O7" s="3">
        <v>37770</v>
      </c>
      <c r="P7">
        <v>2003</v>
      </c>
      <c r="Q7" t="s">
        <v>275</v>
      </c>
      <c r="R7" t="s">
        <v>281</v>
      </c>
    </row>
    <row r="8" spans="1:18">
      <c r="A8" s="3">
        <f t="shared" si="3"/>
        <v>45662</v>
      </c>
      <c r="B8">
        <f t="shared" si="0"/>
        <v>7</v>
      </c>
      <c r="C8">
        <f t="shared" si="4"/>
        <v>0</v>
      </c>
      <c r="D8">
        <f t="shared" si="1"/>
        <v>0</v>
      </c>
      <c r="E8">
        <f>IF($B$2&lt;&gt;$I$3,COUNTIF(Tab_fériés[date],A8),0)</f>
        <v>0</v>
      </c>
      <c r="F8">
        <f t="shared" si="2"/>
        <v>0</v>
      </c>
      <c r="O8" s="3">
        <v>37781</v>
      </c>
      <c r="P8">
        <v>2003</v>
      </c>
      <c r="Q8" t="s">
        <v>275</v>
      </c>
      <c r="R8" t="s">
        <v>282</v>
      </c>
    </row>
    <row r="9" spans="1:18">
      <c r="A9" s="3">
        <f t="shared" si="3"/>
        <v>45663</v>
      </c>
      <c r="B9">
        <f t="shared" si="0"/>
        <v>1</v>
      </c>
      <c r="C9">
        <f t="shared" si="4"/>
        <v>0</v>
      </c>
      <c r="D9">
        <f t="shared" si="1"/>
        <v>0</v>
      </c>
      <c r="E9">
        <f>IF($B$2&lt;&gt;$I$3,COUNTIF(Tab_fériés[date],A9),0)</f>
        <v>0</v>
      </c>
      <c r="F9">
        <f t="shared" si="2"/>
        <v>0</v>
      </c>
      <c r="O9" s="3">
        <v>37816</v>
      </c>
      <c r="P9">
        <v>2003</v>
      </c>
      <c r="Q9" t="s">
        <v>275</v>
      </c>
      <c r="R9" s="148">
        <v>45121</v>
      </c>
    </row>
    <row r="10" spans="1:18">
      <c r="A10" s="3">
        <f t="shared" si="3"/>
        <v>45664</v>
      </c>
      <c r="B10">
        <f t="shared" si="0"/>
        <v>2</v>
      </c>
      <c r="C10">
        <f t="shared" si="4"/>
        <v>0</v>
      </c>
      <c r="D10">
        <f t="shared" si="1"/>
        <v>0</v>
      </c>
      <c r="E10">
        <f>IF($B$2&lt;&gt;$I$3,COUNTIF(Tab_fériés[date],A10),0)</f>
        <v>0</v>
      </c>
      <c r="F10">
        <f t="shared" si="2"/>
        <v>0</v>
      </c>
      <c r="I10" t="s">
        <v>283</v>
      </c>
      <c r="K10">
        <f>SUM(F4:F369)</f>
        <v>0</v>
      </c>
      <c r="O10" s="3">
        <v>37848</v>
      </c>
      <c r="P10">
        <v>2003</v>
      </c>
      <c r="Q10" t="s">
        <v>275</v>
      </c>
      <c r="R10" t="s">
        <v>284</v>
      </c>
    </row>
    <row r="11" spans="1:18">
      <c r="A11" s="3">
        <f t="shared" si="3"/>
        <v>45665</v>
      </c>
      <c r="B11">
        <f t="shared" si="0"/>
        <v>3</v>
      </c>
      <c r="C11">
        <f t="shared" si="4"/>
        <v>0</v>
      </c>
      <c r="D11">
        <f t="shared" si="1"/>
        <v>0</v>
      </c>
      <c r="E11">
        <f>IF($B$2&lt;&gt;$I$3,COUNTIF(Tab_fériés[date],A11),0)</f>
        <v>0</v>
      </c>
      <c r="F11">
        <f t="shared" si="2"/>
        <v>0</v>
      </c>
      <c r="O11" s="3">
        <v>37926</v>
      </c>
      <c r="P11">
        <v>2003</v>
      </c>
      <c r="Q11" t="s">
        <v>275</v>
      </c>
      <c r="R11" t="s">
        <v>285</v>
      </c>
    </row>
    <row r="12" spans="1:18">
      <c r="A12" s="3">
        <f t="shared" si="3"/>
        <v>45666</v>
      </c>
      <c r="B12">
        <f t="shared" si="0"/>
        <v>4</v>
      </c>
      <c r="C12">
        <f t="shared" si="4"/>
        <v>0</v>
      </c>
      <c r="D12">
        <f t="shared" si="1"/>
        <v>0</v>
      </c>
      <c r="E12">
        <f>IF($B$2&lt;&gt;$I$3,COUNTIF(Tab_fériés[date],A12),0)</f>
        <v>0</v>
      </c>
      <c r="F12">
        <f t="shared" si="2"/>
        <v>0</v>
      </c>
      <c r="O12" s="3">
        <v>37936</v>
      </c>
      <c r="P12">
        <v>2003</v>
      </c>
      <c r="Q12" t="s">
        <v>275</v>
      </c>
      <c r="R12" s="148">
        <v>45241</v>
      </c>
    </row>
    <row r="13" spans="1:18">
      <c r="A13" s="3">
        <f t="shared" si="3"/>
        <v>45667</v>
      </c>
      <c r="B13">
        <f t="shared" si="0"/>
        <v>5</v>
      </c>
      <c r="C13">
        <f t="shared" si="4"/>
        <v>0</v>
      </c>
      <c r="D13">
        <f t="shared" si="1"/>
        <v>0</v>
      </c>
      <c r="E13">
        <f>IF($B$2&lt;&gt;$I$3,COUNTIF(Tab_fériés[date],A13),0)</f>
        <v>0</v>
      </c>
      <c r="F13">
        <f t="shared" si="2"/>
        <v>0</v>
      </c>
      <c r="O13" s="3">
        <v>37980</v>
      </c>
      <c r="P13">
        <v>2003</v>
      </c>
      <c r="Q13" t="s">
        <v>275</v>
      </c>
      <c r="R13" t="s">
        <v>286</v>
      </c>
    </row>
    <row r="14" spans="1:18">
      <c r="A14" s="3">
        <f t="shared" si="3"/>
        <v>45668</v>
      </c>
      <c r="B14">
        <f t="shared" si="0"/>
        <v>6</v>
      </c>
      <c r="C14">
        <f t="shared" si="4"/>
        <v>0</v>
      </c>
      <c r="D14">
        <f t="shared" si="1"/>
        <v>0</v>
      </c>
      <c r="E14">
        <f>IF($B$2&lt;&gt;$I$3,COUNTIF(Tab_fériés[date],A14),0)</f>
        <v>0</v>
      </c>
      <c r="F14">
        <f t="shared" si="2"/>
        <v>0</v>
      </c>
      <c r="O14" s="3">
        <v>37987</v>
      </c>
      <c r="P14">
        <v>2004</v>
      </c>
      <c r="Q14" t="s">
        <v>275</v>
      </c>
      <c r="R14" t="s">
        <v>276</v>
      </c>
    </row>
    <row r="15" spans="1:18">
      <c r="A15" s="3">
        <f t="shared" si="3"/>
        <v>45669</v>
      </c>
      <c r="B15">
        <f t="shared" si="0"/>
        <v>7</v>
      </c>
      <c r="C15">
        <f t="shared" si="4"/>
        <v>0</v>
      </c>
      <c r="D15">
        <f t="shared" si="1"/>
        <v>0</v>
      </c>
      <c r="E15">
        <f>IF($B$2&lt;&gt;$I$3,COUNTIF(Tab_fériés[date],A15),0)</f>
        <v>0</v>
      </c>
      <c r="F15">
        <f t="shared" si="2"/>
        <v>0</v>
      </c>
      <c r="O15" s="3">
        <v>38089</v>
      </c>
      <c r="P15">
        <v>2004</v>
      </c>
      <c r="Q15" t="s">
        <v>275</v>
      </c>
      <c r="R15" t="s">
        <v>277</v>
      </c>
    </row>
    <row r="16" spans="1:18">
      <c r="A16" s="3">
        <f t="shared" si="3"/>
        <v>45670</v>
      </c>
      <c r="B16">
        <f t="shared" si="0"/>
        <v>1</v>
      </c>
      <c r="C16">
        <f t="shared" si="4"/>
        <v>0</v>
      </c>
      <c r="D16">
        <f t="shared" si="1"/>
        <v>0</v>
      </c>
      <c r="E16">
        <f>IF($B$2&lt;&gt;$I$3,COUNTIF(Tab_fériés[date],A16),0)</f>
        <v>0</v>
      </c>
      <c r="F16">
        <f t="shared" si="2"/>
        <v>0</v>
      </c>
      <c r="O16" s="3">
        <v>38108</v>
      </c>
      <c r="P16">
        <v>2004</v>
      </c>
      <c r="Q16" t="s">
        <v>275</v>
      </c>
      <c r="R16" t="s">
        <v>278</v>
      </c>
    </row>
    <row r="17" spans="1:18">
      <c r="A17" s="3">
        <f t="shared" si="3"/>
        <v>45671</v>
      </c>
      <c r="B17">
        <f t="shared" si="0"/>
        <v>2</v>
      </c>
      <c r="C17">
        <f t="shared" si="4"/>
        <v>0</v>
      </c>
      <c r="D17">
        <f t="shared" si="1"/>
        <v>0</v>
      </c>
      <c r="E17">
        <f>IF($B$2&lt;&gt;$I$3,COUNTIF(Tab_fériés[date],A17),0)</f>
        <v>0</v>
      </c>
      <c r="F17">
        <f t="shared" si="2"/>
        <v>0</v>
      </c>
      <c r="O17" s="3">
        <v>38115</v>
      </c>
      <c r="P17">
        <v>2004</v>
      </c>
      <c r="Q17" t="s">
        <v>275</v>
      </c>
      <c r="R17" s="148">
        <v>45054</v>
      </c>
    </row>
    <row r="18" spans="1:18">
      <c r="A18" s="3">
        <f t="shared" si="3"/>
        <v>45672</v>
      </c>
      <c r="B18">
        <f t="shared" si="0"/>
        <v>3</v>
      </c>
      <c r="C18">
        <f t="shared" si="4"/>
        <v>0</v>
      </c>
      <c r="D18">
        <f t="shared" si="1"/>
        <v>0</v>
      </c>
      <c r="E18">
        <f>IF($B$2&lt;&gt;$I$3,COUNTIF(Tab_fériés[date],A18),0)</f>
        <v>0</v>
      </c>
      <c r="F18">
        <f t="shared" si="2"/>
        <v>0</v>
      </c>
      <c r="O18" s="3">
        <v>38127</v>
      </c>
      <c r="P18">
        <v>2004</v>
      </c>
      <c r="Q18" t="s">
        <v>275</v>
      </c>
      <c r="R18" t="s">
        <v>281</v>
      </c>
    </row>
    <row r="19" spans="1:18">
      <c r="A19" s="3">
        <f t="shared" si="3"/>
        <v>45673</v>
      </c>
      <c r="B19">
        <f t="shared" si="0"/>
        <v>4</v>
      </c>
      <c r="C19">
        <f t="shared" si="4"/>
        <v>0</v>
      </c>
      <c r="D19">
        <f t="shared" si="1"/>
        <v>0</v>
      </c>
      <c r="E19">
        <f>IF($B$2&lt;&gt;$I$3,COUNTIF(Tab_fériés[date],A19),0)</f>
        <v>0</v>
      </c>
      <c r="F19">
        <f t="shared" si="2"/>
        <v>0</v>
      </c>
      <c r="O19" s="3">
        <v>38138</v>
      </c>
      <c r="P19">
        <v>2004</v>
      </c>
      <c r="Q19" t="s">
        <v>275</v>
      </c>
      <c r="R19" t="s">
        <v>282</v>
      </c>
    </row>
    <row r="20" spans="1:18">
      <c r="A20" s="3">
        <f t="shared" si="3"/>
        <v>45674</v>
      </c>
      <c r="B20">
        <f t="shared" si="0"/>
        <v>5</v>
      </c>
      <c r="C20">
        <f t="shared" si="4"/>
        <v>0</v>
      </c>
      <c r="D20">
        <f t="shared" si="1"/>
        <v>0</v>
      </c>
      <c r="E20">
        <f>IF($B$2&lt;&gt;$I$3,COUNTIF(Tab_fériés[date],A20),0)</f>
        <v>0</v>
      </c>
      <c r="F20">
        <f t="shared" si="2"/>
        <v>0</v>
      </c>
      <c r="O20" s="3">
        <v>38182</v>
      </c>
      <c r="P20">
        <v>2004</v>
      </c>
      <c r="Q20" t="s">
        <v>275</v>
      </c>
      <c r="R20" s="148">
        <v>45121</v>
      </c>
    </row>
    <row r="21" spans="1:18">
      <c r="A21" s="3">
        <f t="shared" si="3"/>
        <v>45675</v>
      </c>
      <c r="B21">
        <f t="shared" si="0"/>
        <v>6</v>
      </c>
      <c r="C21">
        <f t="shared" si="4"/>
        <v>0</v>
      </c>
      <c r="D21">
        <f t="shared" si="1"/>
        <v>0</v>
      </c>
      <c r="E21">
        <f>IF($B$2&lt;&gt;$I$3,COUNTIF(Tab_fériés[date],A21),0)</f>
        <v>0</v>
      </c>
      <c r="F21">
        <f t="shared" si="2"/>
        <v>0</v>
      </c>
      <c r="O21" s="3">
        <v>38214</v>
      </c>
      <c r="P21">
        <v>2004</v>
      </c>
      <c r="Q21" t="s">
        <v>275</v>
      </c>
      <c r="R21" t="s">
        <v>284</v>
      </c>
    </row>
    <row r="22" spans="1:18">
      <c r="A22" s="3">
        <f t="shared" si="3"/>
        <v>45676</v>
      </c>
      <c r="B22">
        <f t="shared" si="0"/>
        <v>7</v>
      </c>
      <c r="C22">
        <f t="shared" si="4"/>
        <v>0</v>
      </c>
      <c r="D22">
        <f t="shared" si="1"/>
        <v>0</v>
      </c>
      <c r="E22">
        <f>IF($B$2&lt;&gt;$I$3,COUNTIF(Tab_fériés[date],A22),0)</f>
        <v>0</v>
      </c>
      <c r="F22">
        <f t="shared" si="2"/>
        <v>0</v>
      </c>
      <c r="O22" s="3">
        <v>38292</v>
      </c>
      <c r="P22">
        <v>2004</v>
      </c>
      <c r="Q22" t="s">
        <v>275</v>
      </c>
      <c r="R22" t="s">
        <v>285</v>
      </c>
    </row>
    <row r="23" spans="1:18">
      <c r="A23" s="3">
        <f t="shared" si="3"/>
        <v>45677</v>
      </c>
      <c r="B23">
        <f t="shared" si="0"/>
        <v>1</v>
      </c>
      <c r="C23">
        <f t="shared" si="4"/>
        <v>0</v>
      </c>
      <c r="D23">
        <f t="shared" si="1"/>
        <v>0</v>
      </c>
      <c r="E23">
        <f>IF($B$2&lt;&gt;$I$3,COUNTIF(Tab_fériés[date],A23),0)</f>
        <v>0</v>
      </c>
      <c r="F23">
        <f t="shared" si="2"/>
        <v>0</v>
      </c>
      <c r="O23" s="3">
        <v>38302</v>
      </c>
      <c r="P23">
        <v>2004</v>
      </c>
      <c r="Q23" t="s">
        <v>275</v>
      </c>
      <c r="R23" s="148">
        <v>45241</v>
      </c>
    </row>
    <row r="24" spans="1:18">
      <c r="A24" s="3">
        <f t="shared" si="3"/>
        <v>45678</v>
      </c>
      <c r="B24">
        <f t="shared" si="0"/>
        <v>2</v>
      </c>
      <c r="C24">
        <f t="shared" si="4"/>
        <v>0</v>
      </c>
      <c r="D24">
        <f t="shared" si="1"/>
        <v>0</v>
      </c>
      <c r="E24">
        <f>IF($B$2&lt;&gt;$I$3,COUNTIF(Tab_fériés[date],A24),0)</f>
        <v>0</v>
      </c>
      <c r="F24">
        <f t="shared" si="2"/>
        <v>0</v>
      </c>
      <c r="O24" s="3">
        <v>38346</v>
      </c>
      <c r="P24">
        <v>2004</v>
      </c>
      <c r="Q24" t="s">
        <v>275</v>
      </c>
      <c r="R24" t="s">
        <v>286</v>
      </c>
    </row>
    <row r="25" spans="1:18">
      <c r="A25" s="3">
        <f t="shared" si="3"/>
        <v>45679</v>
      </c>
      <c r="B25">
        <f t="shared" si="0"/>
        <v>3</v>
      </c>
      <c r="C25">
        <f t="shared" si="4"/>
        <v>0</v>
      </c>
      <c r="D25">
        <f t="shared" si="1"/>
        <v>0</v>
      </c>
      <c r="E25">
        <f>IF($B$2&lt;&gt;$I$3,COUNTIF(Tab_fériés[date],A25),0)</f>
        <v>0</v>
      </c>
      <c r="F25">
        <f t="shared" si="2"/>
        <v>0</v>
      </c>
      <c r="O25" s="3">
        <v>38353</v>
      </c>
      <c r="P25">
        <v>2005</v>
      </c>
      <c r="Q25" t="s">
        <v>275</v>
      </c>
      <c r="R25" t="s">
        <v>276</v>
      </c>
    </row>
    <row r="26" spans="1:18">
      <c r="A26" s="3">
        <f t="shared" si="3"/>
        <v>45680</v>
      </c>
      <c r="B26">
        <f t="shared" si="0"/>
        <v>4</v>
      </c>
      <c r="C26">
        <f t="shared" si="4"/>
        <v>0</v>
      </c>
      <c r="D26">
        <f t="shared" si="1"/>
        <v>0</v>
      </c>
      <c r="E26">
        <f>IF($B$2&lt;&gt;$I$3,COUNTIF(Tab_fériés[date],A26),0)</f>
        <v>0</v>
      </c>
      <c r="F26">
        <f t="shared" si="2"/>
        <v>0</v>
      </c>
      <c r="O26" s="3">
        <v>38439</v>
      </c>
      <c r="P26">
        <v>2005</v>
      </c>
      <c r="Q26" t="s">
        <v>275</v>
      </c>
      <c r="R26" t="s">
        <v>277</v>
      </c>
    </row>
    <row r="27" spans="1:18">
      <c r="A27" s="3">
        <f t="shared" si="3"/>
        <v>45681</v>
      </c>
      <c r="B27">
        <f t="shared" si="0"/>
        <v>5</v>
      </c>
      <c r="C27">
        <f t="shared" si="4"/>
        <v>0</v>
      </c>
      <c r="D27">
        <f t="shared" si="1"/>
        <v>0</v>
      </c>
      <c r="E27">
        <f>IF($B$2&lt;&gt;$I$3,COUNTIF(Tab_fériés[date],A27),0)</f>
        <v>0</v>
      </c>
      <c r="F27">
        <f t="shared" si="2"/>
        <v>0</v>
      </c>
      <c r="O27" s="3">
        <v>38473</v>
      </c>
      <c r="P27">
        <v>2005</v>
      </c>
      <c r="Q27" t="s">
        <v>275</v>
      </c>
      <c r="R27" t="s">
        <v>278</v>
      </c>
    </row>
    <row r="28" spans="1:18">
      <c r="A28" s="3">
        <f t="shared" si="3"/>
        <v>45682</v>
      </c>
      <c r="B28">
        <f t="shared" si="0"/>
        <v>6</v>
      </c>
      <c r="C28">
        <f t="shared" si="4"/>
        <v>0</v>
      </c>
      <c r="D28">
        <f t="shared" si="1"/>
        <v>0</v>
      </c>
      <c r="E28">
        <f>IF($B$2&lt;&gt;$I$3,COUNTIF(Tab_fériés[date],A28),0)</f>
        <v>0</v>
      </c>
      <c r="F28">
        <f t="shared" si="2"/>
        <v>0</v>
      </c>
      <c r="O28" s="3">
        <v>38477</v>
      </c>
      <c r="P28">
        <v>2005</v>
      </c>
      <c r="Q28" t="s">
        <v>275</v>
      </c>
      <c r="R28" t="s">
        <v>281</v>
      </c>
    </row>
    <row r="29" spans="1:18">
      <c r="A29" s="3">
        <f t="shared" si="3"/>
        <v>45683</v>
      </c>
      <c r="B29">
        <f t="shared" si="0"/>
        <v>7</v>
      </c>
      <c r="C29">
        <f t="shared" si="4"/>
        <v>0</v>
      </c>
      <c r="D29">
        <f t="shared" si="1"/>
        <v>0</v>
      </c>
      <c r="E29">
        <f>IF($B$2&lt;&gt;$I$3,COUNTIF(Tab_fériés[date],A29),0)</f>
        <v>0</v>
      </c>
      <c r="F29">
        <f t="shared" si="2"/>
        <v>0</v>
      </c>
      <c r="O29" s="3">
        <v>38480</v>
      </c>
      <c r="P29">
        <v>2005</v>
      </c>
      <c r="Q29" t="s">
        <v>275</v>
      </c>
      <c r="R29" s="148">
        <v>45054</v>
      </c>
    </row>
    <row r="30" spans="1:18">
      <c r="A30" s="3">
        <f t="shared" si="3"/>
        <v>45684</v>
      </c>
      <c r="B30">
        <f t="shared" si="0"/>
        <v>1</v>
      </c>
      <c r="C30">
        <f t="shared" si="4"/>
        <v>0</v>
      </c>
      <c r="D30">
        <f t="shared" si="1"/>
        <v>0</v>
      </c>
      <c r="E30">
        <f>IF($B$2&lt;&gt;$I$3,COUNTIF(Tab_fériés[date],A30),0)</f>
        <v>0</v>
      </c>
      <c r="F30">
        <f t="shared" si="2"/>
        <v>0</v>
      </c>
      <c r="O30" s="3">
        <v>38488</v>
      </c>
      <c r="P30">
        <v>2005</v>
      </c>
      <c r="Q30" t="s">
        <v>275</v>
      </c>
      <c r="R30" t="s">
        <v>282</v>
      </c>
    </row>
    <row r="31" spans="1:18">
      <c r="A31" s="3">
        <f t="shared" si="3"/>
        <v>45685</v>
      </c>
      <c r="B31">
        <f t="shared" si="0"/>
        <v>2</v>
      </c>
      <c r="C31">
        <f t="shared" si="4"/>
        <v>0</v>
      </c>
      <c r="D31">
        <f t="shared" si="1"/>
        <v>0</v>
      </c>
      <c r="E31">
        <f>IF($B$2&lt;&gt;$I$3,COUNTIF(Tab_fériés[date],A31),0)</f>
        <v>0</v>
      </c>
      <c r="F31">
        <f t="shared" si="2"/>
        <v>0</v>
      </c>
      <c r="O31" s="3">
        <v>38547</v>
      </c>
      <c r="P31">
        <v>2005</v>
      </c>
      <c r="Q31" t="s">
        <v>275</v>
      </c>
      <c r="R31" s="148">
        <v>45121</v>
      </c>
    </row>
    <row r="32" spans="1:18">
      <c r="A32" s="3">
        <f t="shared" si="3"/>
        <v>45686</v>
      </c>
      <c r="B32">
        <f t="shared" si="0"/>
        <v>3</v>
      </c>
      <c r="C32">
        <f t="shared" si="4"/>
        <v>0</v>
      </c>
      <c r="D32">
        <f t="shared" si="1"/>
        <v>0</v>
      </c>
      <c r="E32">
        <f>IF($B$2&lt;&gt;$I$3,COUNTIF(Tab_fériés[date],A32),0)</f>
        <v>0</v>
      </c>
      <c r="F32">
        <f t="shared" si="2"/>
        <v>0</v>
      </c>
      <c r="O32" s="3">
        <v>38579</v>
      </c>
      <c r="P32">
        <v>2005</v>
      </c>
      <c r="Q32" t="s">
        <v>275</v>
      </c>
      <c r="R32" t="s">
        <v>284</v>
      </c>
    </row>
    <row r="33" spans="1:18">
      <c r="A33" s="3">
        <f t="shared" si="3"/>
        <v>45687</v>
      </c>
      <c r="B33">
        <f t="shared" si="0"/>
        <v>4</v>
      </c>
      <c r="C33">
        <f t="shared" si="4"/>
        <v>0</v>
      </c>
      <c r="D33">
        <f t="shared" si="1"/>
        <v>0</v>
      </c>
      <c r="E33">
        <f>IF($B$2&lt;&gt;$I$3,COUNTIF(Tab_fériés[date],A33),0)</f>
        <v>0</v>
      </c>
      <c r="F33">
        <f t="shared" si="2"/>
        <v>0</v>
      </c>
      <c r="O33" s="3">
        <v>38657</v>
      </c>
      <c r="P33">
        <v>2005</v>
      </c>
      <c r="Q33" t="s">
        <v>275</v>
      </c>
      <c r="R33" t="s">
        <v>285</v>
      </c>
    </row>
    <row r="34" spans="1:18">
      <c r="A34" s="3">
        <f t="shared" si="3"/>
        <v>45688</v>
      </c>
      <c r="B34">
        <f t="shared" si="0"/>
        <v>5</v>
      </c>
      <c r="C34">
        <f t="shared" si="4"/>
        <v>0</v>
      </c>
      <c r="D34">
        <f t="shared" si="1"/>
        <v>0</v>
      </c>
      <c r="E34">
        <f>IF($B$2&lt;&gt;$I$3,COUNTIF(Tab_fériés[date],A34),0)</f>
        <v>0</v>
      </c>
      <c r="F34">
        <f t="shared" si="2"/>
        <v>0</v>
      </c>
      <c r="O34" s="3">
        <v>38667</v>
      </c>
      <c r="P34">
        <v>2005</v>
      </c>
      <c r="Q34" t="s">
        <v>275</v>
      </c>
      <c r="R34" s="148">
        <v>45241</v>
      </c>
    </row>
    <row r="35" spans="1:18">
      <c r="A35" s="3">
        <f t="shared" si="3"/>
        <v>45689</v>
      </c>
      <c r="B35">
        <f t="shared" si="0"/>
        <v>6</v>
      </c>
      <c r="C35">
        <f t="shared" si="4"/>
        <v>0</v>
      </c>
      <c r="D35">
        <f t="shared" si="1"/>
        <v>0</v>
      </c>
      <c r="E35">
        <f>IF($B$2&lt;&gt;$I$3,COUNTIF(Tab_fériés[date],A35),0)</f>
        <v>0</v>
      </c>
      <c r="F35">
        <f t="shared" si="2"/>
        <v>0</v>
      </c>
      <c r="O35" s="3">
        <v>38711</v>
      </c>
      <c r="P35">
        <v>2005</v>
      </c>
      <c r="Q35" t="s">
        <v>275</v>
      </c>
      <c r="R35" t="s">
        <v>286</v>
      </c>
    </row>
    <row r="36" spans="1:18">
      <c r="A36" s="3">
        <f t="shared" si="3"/>
        <v>45690</v>
      </c>
      <c r="B36">
        <f t="shared" si="0"/>
        <v>7</v>
      </c>
      <c r="C36">
        <f t="shared" si="4"/>
        <v>0</v>
      </c>
      <c r="D36">
        <f t="shared" si="1"/>
        <v>0</v>
      </c>
      <c r="E36">
        <f>IF($B$2&lt;&gt;$I$3,COUNTIF(Tab_fériés[date],A36),0)</f>
        <v>0</v>
      </c>
      <c r="F36">
        <f t="shared" si="2"/>
        <v>0</v>
      </c>
      <c r="O36" s="3">
        <v>38718</v>
      </c>
      <c r="P36">
        <v>2006</v>
      </c>
      <c r="Q36" t="s">
        <v>275</v>
      </c>
      <c r="R36" t="s">
        <v>276</v>
      </c>
    </row>
    <row r="37" spans="1:18">
      <c r="A37" s="3">
        <f t="shared" si="3"/>
        <v>45691</v>
      </c>
      <c r="B37">
        <f t="shared" si="0"/>
        <v>1</v>
      </c>
      <c r="C37">
        <f t="shared" si="4"/>
        <v>0</v>
      </c>
      <c r="D37">
        <f t="shared" si="1"/>
        <v>0</v>
      </c>
      <c r="E37">
        <f>IF($B$2&lt;&gt;$I$3,COUNTIF(Tab_fériés[date],A37),0)</f>
        <v>0</v>
      </c>
      <c r="F37">
        <f t="shared" si="2"/>
        <v>0</v>
      </c>
      <c r="O37" s="3">
        <v>38824</v>
      </c>
      <c r="P37">
        <v>2006</v>
      </c>
      <c r="Q37" t="s">
        <v>275</v>
      </c>
      <c r="R37" t="s">
        <v>277</v>
      </c>
    </row>
    <row r="38" spans="1:18">
      <c r="A38" s="3">
        <f t="shared" si="3"/>
        <v>45692</v>
      </c>
      <c r="B38">
        <f t="shared" si="0"/>
        <v>2</v>
      </c>
      <c r="C38">
        <f t="shared" si="4"/>
        <v>0</v>
      </c>
      <c r="D38">
        <f t="shared" si="1"/>
        <v>0</v>
      </c>
      <c r="E38">
        <f>IF($B$2&lt;&gt;$I$3,COUNTIF(Tab_fériés[date],A38),0)</f>
        <v>0</v>
      </c>
      <c r="F38">
        <f t="shared" si="2"/>
        <v>0</v>
      </c>
      <c r="O38" s="3">
        <v>38838</v>
      </c>
      <c r="P38">
        <v>2006</v>
      </c>
      <c r="Q38" t="s">
        <v>275</v>
      </c>
      <c r="R38" t="s">
        <v>278</v>
      </c>
    </row>
    <row r="39" spans="1:18">
      <c r="A39" s="3">
        <f t="shared" si="3"/>
        <v>45693</v>
      </c>
      <c r="B39">
        <f t="shared" si="0"/>
        <v>3</v>
      </c>
      <c r="C39">
        <f t="shared" si="4"/>
        <v>0</v>
      </c>
      <c r="D39">
        <f t="shared" si="1"/>
        <v>0</v>
      </c>
      <c r="E39">
        <f>IF($B$2&lt;&gt;$I$3,COUNTIF(Tab_fériés[date],A39),0)</f>
        <v>0</v>
      </c>
      <c r="F39">
        <f t="shared" si="2"/>
        <v>0</v>
      </c>
      <c r="O39" s="3">
        <v>38845</v>
      </c>
      <c r="P39">
        <v>2006</v>
      </c>
      <c r="Q39" t="s">
        <v>275</v>
      </c>
      <c r="R39" s="148">
        <v>45054</v>
      </c>
    </row>
    <row r="40" spans="1:18">
      <c r="A40" s="3">
        <f t="shared" si="3"/>
        <v>45694</v>
      </c>
      <c r="B40">
        <f t="shared" si="0"/>
        <v>4</v>
      </c>
      <c r="C40">
        <f t="shared" si="4"/>
        <v>0</v>
      </c>
      <c r="D40">
        <f t="shared" si="1"/>
        <v>0</v>
      </c>
      <c r="E40">
        <f>IF($B$2&lt;&gt;$I$3,COUNTIF(Tab_fériés[date],A40),0)</f>
        <v>0</v>
      </c>
      <c r="F40">
        <f t="shared" si="2"/>
        <v>0</v>
      </c>
      <c r="O40" s="3">
        <v>38862</v>
      </c>
      <c r="P40">
        <v>2006</v>
      </c>
      <c r="Q40" t="s">
        <v>275</v>
      </c>
      <c r="R40" t="s">
        <v>281</v>
      </c>
    </row>
    <row r="41" spans="1:18">
      <c r="A41" s="3">
        <f t="shared" si="3"/>
        <v>45695</v>
      </c>
      <c r="B41">
        <f t="shared" si="0"/>
        <v>5</v>
      </c>
      <c r="C41">
        <f t="shared" si="4"/>
        <v>0</v>
      </c>
      <c r="D41">
        <f t="shared" si="1"/>
        <v>0</v>
      </c>
      <c r="E41">
        <f>IF($B$2&lt;&gt;$I$3,COUNTIF(Tab_fériés[date],A41),0)</f>
        <v>0</v>
      </c>
      <c r="F41">
        <f t="shared" si="2"/>
        <v>0</v>
      </c>
      <c r="O41" s="3">
        <v>38873</v>
      </c>
      <c r="P41">
        <v>2006</v>
      </c>
      <c r="Q41" t="s">
        <v>275</v>
      </c>
      <c r="R41" t="s">
        <v>282</v>
      </c>
    </row>
    <row r="42" spans="1:18">
      <c r="A42" s="3">
        <f t="shared" si="3"/>
        <v>45696</v>
      </c>
      <c r="B42">
        <f t="shared" si="0"/>
        <v>6</v>
      </c>
      <c r="C42">
        <f t="shared" si="4"/>
        <v>0</v>
      </c>
      <c r="D42">
        <f t="shared" si="1"/>
        <v>0</v>
      </c>
      <c r="E42">
        <f>IF($B$2&lt;&gt;$I$3,COUNTIF(Tab_fériés[date],A42),0)</f>
        <v>0</v>
      </c>
      <c r="F42">
        <f t="shared" si="2"/>
        <v>0</v>
      </c>
      <c r="O42" s="3">
        <v>38912</v>
      </c>
      <c r="P42">
        <v>2006</v>
      </c>
      <c r="Q42" t="s">
        <v>275</v>
      </c>
      <c r="R42" s="148">
        <v>45121</v>
      </c>
    </row>
    <row r="43" spans="1:18">
      <c r="A43" s="3">
        <f t="shared" si="3"/>
        <v>45697</v>
      </c>
      <c r="B43">
        <f t="shared" si="0"/>
        <v>7</v>
      </c>
      <c r="C43">
        <f t="shared" si="4"/>
        <v>0</v>
      </c>
      <c r="D43">
        <f t="shared" si="1"/>
        <v>0</v>
      </c>
      <c r="E43">
        <f>IF($B$2&lt;&gt;$I$3,COUNTIF(Tab_fériés[date],A43),0)</f>
        <v>0</v>
      </c>
      <c r="F43">
        <f t="shared" si="2"/>
        <v>0</v>
      </c>
      <c r="O43" s="3">
        <v>38944</v>
      </c>
      <c r="P43">
        <v>2006</v>
      </c>
      <c r="Q43" t="s">
        <v>275</v>
      </c>
      <c r="R43" t="s">
        <v>284</v>
      </c>
    </row>
    <row r="44" spans="1:18">
      <c r="A44" s="3">
        <f t="shared" si="3"/>
        <v>45698</v>
      </c>
      <c r="B44">
        <f t="shared" si="0"/>
        <v>1</v>
      </c>
      <c r="C44">
        <f t="shared" si="4"/>
        <v>0</v>
      </c>
      <c r="D44">
        <f t="shared" si="1"/>
        <v>0</v>
      </c>
      <c r="E44">
        <f>IF($B$2&lt;&gt;$I$3,COUNTIF(Tab_fériés[date],A44),0)</f>
        <v>0</v>
      </c>
      <c r="F44">
        <f t="shared" si="2"/>
        <v>0</v>
      </c>
      <c r="O44" s="3">
        <v>39022</v>
      </c>
      <c r="P44">
        <v>2006</v>
      </c>
      <c r="Q44" t="s">
        <v>275</v>
      </c>
      <c r="R44" t="s">
        <v>285</v>
      </c>
    </row>
    <row r="45" spans="1:18">
      <c r="A45" s="3">
        <f t="shared" si="3"/>
        <v>45699</v>
      </c>
      <c r="B45">
        <f t="shared" si="0"/>
        <v>2</v>
      </c>
      <c r="C45">
        <f t="shared" si="4"/>
        <v>0</v>
      </c>
      <c r="D45">
        <f t="shared" si="1"/>
        <v>0</v>
      </c>
      <c r="E45">
        <f>IF($B$2&lt;&gt;$I$3,COUNTIF(Tab_fériés[date],A45),0)</f>
        <v>0</v>
      </c>
      <c r="F45">
        <f t="shared" si="2"/>
        <v>0</v>
      </c>
      <c r="O45" s="3">
        <v>39032</v>
      </c>
      <c r="P45">
        <v>2006</v>
      </c>
      <c r="Q45" t="s">
        <v>275</v>
      </c>
      <c r="R45" s="148">
        <v>45241</v>
      </c>
    </row>
    <row r="46" spans="1:18">
      <c r="A46" s="3">
        <f t="shared" si="3"/>
        <v>45700</v>
      </c>
      <c r="B46">
        <f t="shared" si="0"/>
        <v>3</v>
      </c>
      <c r="C46">
        <f t="shared" si="4"/>
        <v>0</v>
      </c>
      <c r="D46">
        <f t="shared" si="1"/>
        <v>0</v>
      </c>
      <c r="E46">
        <f>IF($B$2&lt;&gt;$I$3,COUNTIF(Tab_fériés[date],A46),0)</f>
        <v>0</v>
      </c>
      <c r="F46">
        <f t="shared" si="2"/>
        <v>0</v>
      </c>
      <c r="O46" s="3">
        <v>39076</v>
      </c>
      <c r="P46">
        <v>2006</v>
      </c>
      <c r="Q46" t="s">
        <v>275</v>
      </c>
      <c r="R46" t="s">
        <v>286</v>
      </c>
    </row>
    <row r="47" spans="1:18">
      <c r="A47" s="3">
        <f t="shared" si="3"/>
        <v>45701</v>
      </c>
      <c r="B47">
        <f t="shared" si="0"/>
        <v>4</v>
      </c>
      <c r="C47">
        <f t="shared" si="4"/>
        <v>0</v>
      </c>
      <c r="D47">
        <f t="shared" si="1"/>
        <v>0</v>
      </c>
      <c r="E47">
        <f>IF($B$2&lt;&gt;$I$3,COUNTIF(Tab_fériés[date],A47),0)</f>
        <v>0</v>
      </c>
      <c r="F47">
        <f t="shared" si="2"/>
        <v>0</v>
      </c>
      <c r="O47" s="3">
        <v>39083</v>
      </c>
      <c r="P47">
        <v>2007</v>
      </c>
      <c r="Q47" t="s">
        <v>275</v>
      </c>
      <c r="R47" t="s">
        <v>276</v>
      </c>
    </row>
    <row r="48" spans="1:18">
      <c r="A48" s="3">
        <f t="shared" si="3"/>
        <v>45702</v>
      </c>
      <c r="B48">
        <f t="shared" si="0"/>
        <v>5</v>
      </c>
      <c r="C48">
        <f t="shared" si="4"/>
        <v>0</v>
      </c>
      <c r="D48">
        <f t="shared" si="1"/>
        <v>0</v>
      </c>
      <c r="E48">
        <f>IF($B$2&lt;&gt;$I$3,COUNTIF(Tab_fériés[date],A48),0)</f>
        <v>0</v>
      </c>
      <c r="F48">
        <f t="shared" si="2"/>
        <v>0</v>
      </c>
      <c r="O48" s="3">
        <v>39181</v>
      </c>
      <c r="P48">
        <v>2007</v>
      </c>
      <c r="Q48" t="s">
        <v>275</v>
      </c>
      <c r="R48" t="s">
        <v>277</v>
      </c>
    </row>
    <row r="49" spans="1:18">
      <c r="A49" s="3">
        <f t="shared" si="3"/>
        <v>45703</v>
      </c>
      <c r="B49">
        <f t="shared" si="0"/>
        <v>6</v>
      </c>
      <c r="C49">
        <f t="shared" si="4"/>
        <v>0</v>
      </c>
      <c r="D49">
        <f t="shared" si="1"/>
        <v>0</v>
      </c>
      <c r="E49">
        <f>IF($B$2&lt;&gt;$I$3,COUNTIF(Tab_fériés[date],A49),0)</f>
        <v>0</v>
      </c>
      <c r="F49">
        <f t="shared" si="2"/>
        <v>0</v>
      </c>
      <c r="O49" s="3">
        <v>39203</v>
      </c>
      <c r="P49">
        <v>2007</v>
      </c>
      <c r="Q49" t="s">
        <v>275</v>
      </c>
      <c r="R49" t="s">
        <v>278</v>
      </c>
    </row>
    <row r="50" spans="1:18">
      <c r="A50" s="3">
        <f t="shared" si="3"/>
        <v>45704</v>
      </c>
      <c r="B50">
        <f t="shared" si="0"/>
        <v>7</v>
      </c>
      <c r="C50">
        <f t="shared" si="4"/>
        <v>0</v>
      </c>
      <c r="D50">
        <f t="shared" si="1"/>
        <v>0</v>
      </c>
      <c r="E50">
        <f>IF($B$2&lt;&gt;$I$3,COUNTIF(Tab_fériés[date],A50),0)</f>
        <v>0</v>
      </c>
      <c r="F50">
        <f t="shared" si="2"/>
        <v>0</v>
      </c>
      <c r="O50" s="3">
        <v>39210</v>
      </c>
      <c r="P50">
        <v>2007</v>
      </c>
      <c r="Q50" t="s">
        <v>275</v>
      </c>
      <c r="R50" s="148">
        <v>45054</v>
      </c>
    </row>
    <row r="51" spans="1:18">
      <c r="A51" s="3">
        <f t="shared" si="3"/>
        <v>45705</v>
      </c>
      <c r="B51">
        <f t="shared" si="0"/>
        <v>1</v>
      </c>
      <c r="C51">
        <f t="shared" si="4"/>
        <v>0</v>
      </c>
      <c r="D51">
        <f t="shared" si="1"/>
        <v>0</v>
      </c>
      <c r="E51">
        <f>IF($B$2&lt;&gt;$I$3,COUNTIF(Tab_fériés[date],A51),0)</f>
        <v>0</v>
      </c>
      <c r="F51">
        <f t="shared" si="2"/>
        <v>0</v>
      </c>
      <c r="O51" s="3">
        <v>39219</v>
      </c>
      <c r="P51">
        <v>2007</v>
      </c>
      <c r="Q51" t="s">
        <v>275</v>
      </c>
      <c r="R51" t="s">
        <v>281</v>
      </c>
    </row>
    <row r="52" spans="1:18">
      <c r="A52" s="3">
        <f t="shared" si="3"/>
        <v>45706</v>
      </c>
      <c r="B52">
        <f t="shared" si="0"/>
        <v>2</v>
      </c>
      <c r="C52">
        <f t="shared" si="4"/>
        <v>0</v>
      </c>
      <c r="D52">
        <f t="shared" si="1"/>
        <v>0</v>
      </c>
      <c r="E52">
        <f>IF($B$2&lt;&gt;$I$3,COUNTIF(Tab_fériés[date],A52),0)</f>
        <v>0</v>
      </c>
      <c r="F52">
        <f t="shared" si="2"/>
        <v>0</v>
      </c>
      <c r="O52" s="3">
        <v>39230</v>
      </c>
      <c r="P52">
        <v>2007</v>
      </c>
      <c r="Q52" t="s">
        <v>275</v>
      </c>
      <c r="R52" t="s">
        <v>282</v>
      </c>
    </row>
    <row r="53" spans="1:18">
      <c r="A53" s="3">
        <f t="shared" si="3"/>
        <v>45707</v>
      </c>
      <c r="B53">
        <f t="shared" si="0"/>
        <v>3</v>
      </c>
      <c r="C53">
        <f t="shared" si="4"/>
        <v>0</v>
      </c>
      <c r="D53">
        <f t="shared" si="1"/>
        <v>0</v>
      </c>
      <c r="E53">
        <f>IF($B$2&lt;&gt;$I$3,COUNTIF(Tab_fériés[date],A53),0)</f>
        <v>0</v>
      </c>
      <c r="F53">
        <f t="shared" si="2"/>
        <v>0</v>
      </c>
      <c r="O53" s="3">
        <v>39277</v>
      </c>
      <c r="P53">
        <v>2007</v>
      </c>
      <c r="Q53" t="s">
        <v>275</v>
      </c>
      <c r="R53" s="148">
        <v>45121</v>
      </c>
    </row>
    <row r="54" spans="1:18">
      <c r="A54" s="3">
        <f t="shared" si="3"/>
        <v>45708</v>
      </c>
      <c r="B54">
        <f t="shared" si="0"/>
        <v>4</v>
      </c>
      <c r="C54">
        <f t="shared" si="4"/>
        <v>0</v>
      </c>
      <c r="D54">
        <f t="shared" si="1"/>
        <v>0</v>
      </c>
      <c r="E54">
        <f>IF($B$2&lt;&gt;$I$3,COUNTIF(Tab_fériés[date],A54),0)</f>
        <v>0</v>
      </c>
      <c r="F54">
        <f t="shared" si="2"/>
        <v>0</v>
      </c>
      <c r="O54" s="3">
        <v>39309</v>
      </c>
      <c r="P54">
        <v>2007</v>
      </c>
      <c r="Q54" t="s">
        <v>275</v>
      </c>
      <c r="R54" t="s">
        <v>284</v>
      </c>
    </row>
    <row r="55" spans="1:18">
      <c r="A55" s="3">
        <f t="shared" si="3"/>
        <v>45709</v>
      </c>
      <c r="B55">
        <f t="shared" si="0"/>
        <v>5</v>
      </c>
      <c r="C55">
        <f t="shared" si="4"/>
        <v>0</v>
      </c>
      <c r="D55">
        <f t="shared" si="1"/>
        <v>0</v>
      </c>
      <c r="E55">
        <f>IF($B$2&lt;&gt;$I$3,COUNTIF(Tab_fériés[date],A55),0)</f>
        <v>0</v>
      </c>
      <c r="F55">
        <f t="shared" si="2"/>
        <v>0</v>
      </c>
      <c r="O55" s="3">
        <v>39387</v>
      </c>
      <c r="P55">
        <v>2007</v>
      </c>
      <c r="Q55" t="s">
        <v>275</v>
      </c>
      <c r="R55" t="s">
        <v>285</v>
      </c>
    </row>
    <row r="56" spans="1:18">
      <c r="A56" s="3">
        <f t="shared" si="3"/>
        <v>45710</v>
      </c>
      <c r="B56">
        <f t="shared" si="0"/>
        <v>6</v>
      </c>
      <c r="C56">
        <f t="shared" si="4"/>
        <v>0</v>
      </c>
      <c r="D56">
        <f t="shared" si="1"/>
        <v>0</v>
      </c>
      <c r="E56">
        <f>IF($B$2&lt;&gt;$I$3,COUNTIF(Tab_fériés[date],A56),0)</f>
        <v>0</v>
      </c>
      <c r="F56">
        <f t="shared" si="2"/>
        <v>0</v>
      </c>
      <c r="O56" s="3">
        <v>39397</v>
      </c>
      <c r="P56">
        <v>2007</v>
      </c>
      <c r="Q56" t="s">
        <v>275</v>
      </c>
      <c r="R56" s="148">
        <v>45241</v>
      </c>
    </row>
    <row r="57" spans="1:18">
      <c r="A57" s="3">
        <f t="shared" si="3"/>
        <v>45711</v>
      </c>
      <c r="B57">
        <f t="shared" si="0"/>
        <v>7</v>
      </c>
      <c r="C57">
        <f t="shared" si="4"/>
        <v>0</v>
      </c>
      <c r="D57">
        <f t="shared" si="1"/>
        <v>0</v>
      </c>
      <c r="E57">
        <f>IF($B$2&lt;&gt;$I$3,COUNTIF(Tab_fériés[date],A57),0)</f>
        <v>0</v>
      </c>
      <c r="F57">
        <f t="shared" si="2"/>
        <v>0</v>
      </c>
      <c r="O57" s="3">
        <v>39441</v>
      </c>
      <c r="P57">
        <v>2007</v>
      </c>
      <c r="Q57" t="s">
        <v>275</v>
      </c>
      <c r="R57" t="s">
        <v>286</v>
      </c>
    </row>
    <row r="58" spans="1:18">
      <c r="A58" s="3">
        <f t="shared" si="3"/>
        <v>45712</v>
      </c>
      <c r="B58">
        <f t="shared" si="0"/>
        <v>1</v>
      </c>
      <c r="C58">
        <f t="shared" si="4"/>
        <v>0</v>
      </c>
      <c r="D58">
        <f t="shared" si="1"/>
        <v>0</v>
      </c>
      <c r="E58">
        <f>IF($B$2&lt;&gt;$I$3,COUNTIF(Tab_fériés[date],A58),0)</f>
        <v>0</v>
      </c>
      <c r="F58">
        <f t="shared" si="2"/>
        <v>0</v>
      </c>
      <c r="O58" s="3">
        <v>39448</v>
      </c>
      <c r="P58">
        <v>2008</v>
      </c>
      <c r="Q58" t="s">
        <v>275</v>
      </c>
      <c r="R58" t="s">
        <v>276</v>
      </c>
    </row>
    <row r="59" spans="1:18">
      <c r="A59" s="3">
        <f t="shared" si="3"/>
        <v>45713</v>
      </c>
      <c r="B59">
        <f t="shared" si="0"/>
        <v>2</v>
      </c>
      <c r="C59">
        <f t="shared" si="4"/>
        <v>0</v>
      </c>
      <c r="D59">
        <f t="shared" si="1"/>
        <v>0</v>
      </c>
      <c r="E59">
        <f>IF($B$2&lt;&gt;$I$3,COUNTIF(Tab_fériés[date],A59),0)</f>
        <v>0</v>
      </c>
      <c r="F59">
        <f t="shared" si="2"/>
        <v>0</v>
      </c>
      <c r="O59" s="3">
        <v>39531</v>
      </c>
      <c r="P59">
        <v>2008</v>
      </c>
      <c r="Q59" t="s">
        <v>275</v>
      </c>
      <c r="R59" t="s">
        <v>277</v>
      </c>
    </row>
    <row r="60" spans="1:18">
      <c r="A60" s="3">
        <f t="shared" si="3"/>
        <v>45714</v>
      </c>
      <c r="B60">
        <f t="shared" si="0"/>
        <v>3</v>
      </c>
      <c r="C60">
        <f t="shared" si="4"/>
        <v>0</v>
      </c>
      <c r="D60">
        <f t="shared" si="1"/>
        <v>0</v>
      </c>
      <c r="E60">
        <f>IF($B$2&lt;&gt;$I$3,COUNTIF(Tab_fériés[date],A60),0)</f>
        <v>0</v>
      </c>
      <c r="F60">
        <f t="shared" si="2"/>
        <v>0</v>
      </c>
      <c r="O60" s="3">
        <v>39569</v>
      </c>
      <c r="P60">
        <v>2008</v>
      </c>
      <c r="Q60" t="s">
        <v>275</v>
      </c>
      <c r="R60" t="s">
        <v>278</v>
      </c>
    </row>
    <row r="61" spans="1:18">
      <c r="A61" s="3">
        <f t="shared" si="3"/>
        <v>45715</v>
      </c>
      <c r="B61">
        <f t="shared" si="0"/>
        <v>4</v>
      </c>
      <c r="C61">
        <f t="shared" si="4"/>
        <v>0</v>
      </c>
      <c r="D61">
        <f t="shared" si="1"/>
        <v>0</v>
      </c>
      <c r="E61">
        <f>IF($B$2&lt;&gt;$I$3,COUNTIF(Tab_fériés[date],A61),0)</f>
        <v>0</v>
      </c>
      <c r="F61">
        <f t="shared" si="2"/>
        <v>0</v>
      </c>
      <c r="O61" s="3">
        <v>39569</v>
      </c>
      <c r="P61">
        <v>2008</v>
      </c>
      <c r="Q61" t="s">
        <v>275</v>
      </c>
      <c r="R61" t="s">
        <v>281</v>
      </c>
    </row>
    <row r="62" spans="1:18">
      <c r="A62" s="3">
        <f t="shared" si="3"/>
        <v>45716</v>
      </c>
      <c r="B62">
        <f t="shared" si="0"/>
        <v>5</v>
      </c>
      <c r="C62">
        <f t="shared" si="4"/>
        <v>0</v>
      </c>
      <c r="D62">
        <f t="shared" si="1"/>
        <v>0</v>
      </c>
      <c r="E62">
        <f>IF($B$2&lt;&gt;$I$3,COUNTIF(Tab_fériés[date],A62),0)</f>
        <v>0</v>
      </c>
      <c r="F62">
        <f t="shared" si="2"/>
        <v>0</v>
      </c>
      <c r="O62" s="3">
        <v>39576</v>
      </c>
      <c r="P62">
        <v>2008</v>
      </c>
      <c r="Q62" t="s">
        <v>275</v>
      </c>
      <c r="R62" s="148">
        <v>45054</v>
      </c>
    </row>
    <row r="63" spans="1:18">
      <c r="A63" s="3">
        <f t="shared" si="3"/>
        <v>45717</v>
      </c>
      <c r="B63">
        <f t="shared" si="0"/>
        <v>6</v>
      </c>
      <c r="C63">
        <f t="shared" si="4"/>
        <v>0</v>
      </c>
      <c r="D63">
        <f t="shared" si="1"/>
        <v>0</v>
      </c>
      <c r="E63">
        <f>IF($B$2&lt;&gt;$I$3,COUNTIF(Tab_fériés[date],A63),0)</f>
        <v>0</v>
      </c>
      <c r="F63">
        <f t="shared" si="2"/>
        <v>0</v>
      </c>
      <c r="O63" s="3">
        <v>39580</v>
      </c>
      <c r="P63">
        <v>2008</v>
      </c>
      <c r="Q63" t="s">
        <v>275</v>
      </c>
      <c r="R63" t="s">
        <v>282</v>
      </c>
    </row>
    <row r="64" spans="1:18">
      <c r="A64" s="3">
        <f t="shared" si="3"/>
        <v>45718</v>
      </c>
      <c r="B64">
        <f t="shared" si="0"/>
        <v>7</v>
      </c>
      <c r="C64">
        <f t="shared" si="4"/>
        <v>0</v>
      </c>
      <c r="D64">
        <f t="shared" si="1"/>
        <v>0</v>
      </c>
      <c r="E64">
        <f>IF($B$2&lt;&gt;$I$3,COUNTIF(Tab_fériés[date],A64),0)</f>
        <v>0</v>
      </c>
      <c r="F64">
        <f t="shared" si="2"/>
        <v>0</v>
      </c>
      <c r="O64" s="3">
        <v>39643</v>
      </c>
      <c r="P64">
        <v>2008</v>
      </c>
      <c r="Q64" t="s">
        <v>275</v>
      </c>
      <c r="R64" s="148">
        <v>45121</v>
      </c>
    </row>
    <row r="65" spans="1:18">
      <c r="A65" s="3">
        <f t="shared" si="3"/>
        <v>45719</v>
      </c>
      <c r="B65">
        <f t="shared" si="0"/>
        <v>1</v>
      </c>
      <c r="C65">
        <f t="shared" si="4"/>
        <v>0</v>
      </c>
      <c r="D65">
        <f t="shared" si="1"/>
        <v>0</v>
      </c>
      <c r="E65">
        <f>IF($B$2&lt;&gt;$I$3,COUNTIF(Tab_fériés[date],A65),0)</f>
        <v>0</v>
      </c>
      <c r="F65">
        <f t="shared" si="2"/>
        <v>0</v>
      </c>
      <c r="O65" s="3">
        <v>39675</v>
      </c>
      <c r="P65">
        <v>2008</v>
      </c>
      <c r="Q65" t="s">
        <v>275</v>
      </c>
      <c r="R65" t="s">
        <v>284</v>
      </c>
    </row>
    <row r="66" spans="1:18">
      <c r="A66" s="3">
        <f t="shared" si="3"/>
        <v>45720</v>
      </c>
      <c r="B66">
        <f t="shared" si="0"/>
        <v>2</v>
      </c>
      <c r="C66">
        <f t="shared" si="4"/>
        <v>0</v>
      </c>
      <c r="D66">
        <f t="shared" si="1"/>
        <v>0</v>
      </c>
      <c r="E66">
        <f>IF($B$2&lt;&gt;$I$3,COUNTIF(Tab_fériés[date],A66),0)</f>
        <v>0</v>
      </c>
      <c r="F66">
        <f t="shared" si="2"/>
        <v>0</v>
      </c>
      <c r="O66" s="3">
        <v>39753</v>
      </c>
      <c r="P66">
        <v>2008</v>
      </c>
      <c r="Q66" t="s">
        <v>275</v>
      </c>
      <c r="R66" t="s">
        <v>285</v>
      </c>
    </row>
    <row r="67" spans="1:18">
      <c r="A67" s="3">
        <f t="shared" si="3"/>
        <v>45721</v>
      </c>
      <c r="B67">
        <f t="shared" si="0"/>
        <v>3</v>
      </c>
      <c r="C67">
        <f t="shared" si="4"/>
        <v>0</v>
      </c>
      <c r="D67">
        <f t="shared" si="1"/>
        <v>0</v>
      </c>
      <c r="E67">
        <f>IF($B$2&lt;&gt;$I$3,COUNTIF(Tab_fériés[date],A67),0)</f>
        <v>0</v>
      </c>
      <c r="F67">
        <f t="shared" si="2"/>
        <v>0</v>
      </c>
      <c r="O67" s="3">
        <v>39763</v>
      </c>
      <c r="P67">
        <v>2008</v>
      </c>
      <c r="Q67" t="s">
        <v>275</v>
      </c>
      <c r="R67" s="148">
        <v>45241</v>
      </c>
    </row>
    <row r="68" spans="1:18">
      <c r="A68" s="3">
        <f t="shared" si="3"/>
        <v>45722</v>
      </c>
      <c r="B68">
        <f t="shared" si="0"/>
        <v>4</v>
      </c>
      <c r="C68">
        <f t="shared" si="4"/>
        <v>0</v>
      </c>
      <c r="D68">
        <f t="shared" si="1"/>
        <v>0</v>
      </c>
      <c r="E68">
        <f>IF($B$2&lt;&gt;$I$3,COUNTIF(Tab_fériés[date],A68),0)</f>
        <v>0</v>
      </c>
      <c r="F68">
        <f t="shared" si="2"/>
        <v>0</v>
      </c>
      <c r="O68" s="3">
        <v>39807</v>
      </c>
      <c r="P68">
        <v>2008</v>
      </c>
      <c r="Q68" t="s">
        <v>275</v>
      </c>
      <c r="R68" t="s">
        <v>286</v>
      </c>
    </row>
    <row r="69" spans="1:18">
      <c r="A69" s="3">
        <f t="shared" si="3"/>
        <v>45723</v>
      </c>
      <c r="B69">
        <f t="shared" ref="B69:B132" si="5">WEEKDAY(A69,2)</f>
        <v>5</v>
      </c>
      <c r="C69">
        <f t="shared" si="4"/>
        <v>0</v>
      </c>
      <c r="D69">
        <f t="shared" ref="D69:D132" si="6">IF(AND(B69=7,$B$2&lt;&gt;$I$3),1,0)</f>
        <v>0</v>
      </c>
      <c r="E69">
        <f>IF($B$2&lt;&gt;$I$3,COUNTIF(Tab_fériés[date],A69),0)</f>
        <v>0</v>
      </c>
      <c r="F69">
        <f t="shared" ref="F69:F132" si="7">IFERROR(IF(SUM(C69:E69)&gt;0,1,0),0)</f>
        <v>0</v>
      </c>
      <c r="O69" s="3">
        <v>39814</v>
      </c>
      <c r="P69">
        <v>2009</v>
      </c>
      <c r="Q69" t="s">
        <v>275</v>
      </c>
      <c r="R69" t="s">
        <v>276</v>
      </c>
    </row>
    <row r="70" spans="1:18">
      <c r="A70" s="3">
        <f t="shared" ref="A70:A133" si="8">A69+1</f>
        <v>45724</v>
      </c>
      <c r="B70">
        <f t="shared" si="5"/>
        <v>6</v>
      </c>
      <c r="C70">
        <f t="shared" ref="C70:C133" si="9">IF(AND(B70=6,$B$2&lt;&gt;$I$3,$B$2&lt;&gt;$I$5),1,0)</f>
        <v>0</v>
      </c>
      <c r="D70">
        <f t="shared" si="6"/>
        <v>0</v>
      </c>
      <c r="E70">
        <f>IF($B$2&lt;&gt;$I$3,COUNTIF(Tab_fériés[date],A70),0)</f>
        <v>0</v>
      </c>
      <c r="F70">
        <f t="shared" si="7"/>
        <v>0</v>
      </c>
      <c r="O70" s="3">
        <v>39916</v>
      </c>
      <c r="P70">
        <v>2009</v>
      </c>
      <c r="Q70" t="s">
        <v>275</v>
      </c>
      <c r="R70" t="s">
        <v>277</v>
      </c>
    </row>
    <row r="71" spans="1:18">
      <c r="A71" s="3">
        <f t="shared" si="8"/>
        <v>45725</v>
      </c>
      <c r="B71">
        <f t="shared" si="5"/>
        <v>7</v>
      </c>
      <c r="C71">
        <f t="shared" si="9"/>
        <v>0</v>
      </c>
      <c r="D71">
        <f t="shared" si="6"/>
        <v>0</v>
      </c>
      <c r="E71">
        <f>IF($B$2&lt;&gt;$I$3,COUNTIF(Tab_fériés[date],A71),0)</f>
        <v>0</v>
      </c>
      <c r="F71">
        <f t="shared" si="7"/>
        <v>0</v>
      </c>
      <c r="O71" s="3">
        <v>39934</v>
      </c>
      <c r="P71">
        <v>2009</v>
      </c>
      <c r="Q71" t="s">
        <v>275</v>
      </c>
      <c r="R71" t="s">
        <v>278</v>
      </c>
    </row>
    <row r="72" spans="1:18">
      <c r="A72" s="3">
        <f t="shared" si="8"/>
        <v>45726</v>
      </c>
      <c r="B72">
        <f t="shared" si="5"/>
        <v>1</v>
      </c>
      <c r="C72">
        <f t="shared" si="9"/>
        <v>0</v>
      </c>
      <c r="D72">
        <f t="shared" si="6"/>
        <v>0</v>
      </c>
      <c r="E72">
        <f>IF($B$2&lt;&gt;$I$3,COUNTIF(Tab_fériés[date],A72),0)</f>
        <v>0</v>
      </c>
      <c r="F72">
        <f t="shared" si="7"/>
        <v>0</v>
      </c>
      <c r="O72" s="3">
        <v>39941</v>
      </c>
      <c r="P72">
        <v>2009</v>
      </c>
      <c r="Q72" t="s">
        <v>275</v>
      </c>
      <c r="R72" s="148">
        <v>45054</v>
      </c>
    </row>
    <row r="73" spans="1:18">
      <c r="A73" s="3">
        <f t="shared" si="8"/>
        <v>45727</v>
      </c>
      <c r="B73">
        <f t="shared" si="5"/>
        <v>2</v>
      </c>
      <c r="C73">
        <f t="shared" si="9"/>
        <v>0</v>
      </c>
      <c r="D73">
        <f t="shared" si="6"/>
        <v>0</v>
      </c>
      <c r="E73">
        <f>IF($B$2&lt;&gt;$I$3,COUNTIF(Tab_fériés[date],A73),0)</f>
        <v>0</v>
      </c>
      <c r="F73">
        <f t="shared" si="7"/>
        <v>0</v>
      </c>
      <c r="O73" s="3">
        <v>39954</v>
      </c>
      <c r="P73">
        <v>2009</v>
      </c>
      <c r="Q73" t="s">
        <v>275</v>
      </c>
      <c r="R73" t="s">
        <v>281</v>
      </c>
    </row>
    <row r="74" spans="1:18">
      <c r="A74" s="3">
        <f t="shared" si="8"/>
        <v>45728</v>
      </c>
      <c r="B74">
        <f t="shared" si="5"/>
        <v>3</v>
      </c>
      <c r="C74">
        <f t="shared" si="9"/>
        <v>0</v>
      </c>
      <c r="D74">
        <f t="shared" si="6"/>
        <v>0</v>
      </c>
      <c r="E74">
        <f>IF($B$2&lt;&gt;$I$3,COUNTIF(Tab_fériés[date],A74),0)</f>
        <v>0</v>
      </c>
      <c r="F74">
        <f t="shared" si="7"/>
        <v>0</v>
      </c>
      <c r="O74" s="3">
        <v>39965</v>
      </c>
      <c r="P74">
        <v>2009</v>
      </c>
      <c r="Q74" t="s">
        <v>275</v>
      </c>
      <c r="R74" t="s">
        <v>282</v>
      </c>
    </row>
    <row r="75" spans="1:18">
      <c r="A75" s="3">
        <f t="shared" si="8"/>
        <v>45729</v>
      </c>
      <c r="B75">
        <f t="shared" si="5"/>
        <v>4</v>
      </c>
      <c r="C75">
        <f t="shared" si="9"/>
        <v>0</v>
      </c>
      <c r="D75">
        <f t="shared" si="6"/>
        <v>0</v>
      </c>
      <c r="E75">
        <f>IF($B$2&lt;&gt;$I$3,COUNTIF(Tab_fériés[date],A75),0)</f>
        <v>0</v>
      </c>
      <c r="F75">
        <f t="shared" si="7"/>
        <v>0</v>
      </c>
      <c r="O75" s="3">
        <v>40008</v>
      </c>
      <c r="P75">
        <v>2009</v>
      </c>
      <c r="Q75" t="s">
        <v>275</v>
      </c>
      <c r="R75" s="148">
        <v>45121</v>
      </c>
    </row>
    <row r="76" spans="1:18">
      <c r="A76" s="3">
        <f t="shared" si="8"/>
        <v>45730</v>
      </c>
      <c r="B76">
        <f t="shared" si="5"/>
        <v>5</v>
      </c>
      <c r="C76">
        <f t="shared" si="9"/>
        <v>0</v>
      </c>
      <c r="D76">
        <f t="shared" si="6"/>
        <v>0</v>
      </c>
      <c r="E76">
        <f>IF($B$2&lt;&gt;$I$3,COUNTIF(Tab_fériés[date],A76),0)</f>
        <v>0</v>
      </c>
      <c r="F76">
        <f t="shared" si="7"/>
        <v>0</v>
      </c>
      <c r="O76" s="3">
        <v>40040</v>
      </c>
      <c r="P76">
        <v>2009</v>
      </c>
      <c r="Q76" t="s">
        <v>275</v>
      </c>
      <c r="R76" t="s">
        <v>284</v>
      </c>
    </row>
    <row r="77" spans="1:18">
      <c r="A77" s="3">
        <f t="shared" si="8"/>
        <v>45731</v>
      </c>
      <c r="B77">
        <f t="shared" si="5"/>
        <v>6</v>
      </c>
      <c r="C77">
        <f t="shared" si="9"/>
        <v>0</v>
      </c>
      <c r="D77">
        <f t="shared" si="6"/>
        <v>0</v>
      </c>
      <c r="E77">
        <f>IF($B$2&lt;&gt;$I$3,COUNTIF(Tab_fériés[date],A77),0)</f>
        <v>0</v>
      </c>
      <c r="F77">
        <f t="shared" si="7"/>
        <v>0</v>
      </c>
      <c r="O77" s="3">
        <v>40118</v>
      </c>
      <c r="P77">
        <v>2009</v>
      </c>
      <c r="Q77" t="s">
        <v>275</v>
      </c>
      <c r="R77" t="s">
        <v>285</v>
      </c>
    </row>
    <row r="78" spans="1:18">
      <c r="A78" s="3">
        <f t="shared" si="8"/>
        <v>45732</v>
      </c>
      <c r="B78">
        <f t="shared" si="5"/>
        <v>7</v>
      </c>
      <c r="C78">
        <f t="shared" si="9"/>
        <v>0</v>
      </c>
      <c r="D78">
        <f t="shared" si="6"/>
        <v>0</v>
      </c>
      <c r="E78">
        <f>IF($B$2&lt;&gt;$I$3,COUNTIF(Tab_fériés[date],A78),0)</f>
        <v>0</v>
      </c>
      <c r="F78">
        <f t="shared" si="7"/>
        <v>0</v>
      </c>
      <c r="O78" s="3">
        <v>40128</v>
      </c>
      <c r="P78">
        <v>2009</v>
      </c>
      <c r="Q78" t="s">
        <v>275</v>
      </c>
      <c r="R78" s="148">
        <v>45241</v>
      </c>
    </row>
    <row r="79" spans="1:18">
      <c r="A79" s="3">
        <f t="shared" si="8"/>
        <v>45733</v>
      </c>
      <c r="B79">
        <f t="shared" si="5"/>
        <v>1</v>
      </c>
      <c r="C79">
        <f t="shared" si="9"/>
        <v>0</v>
      </c>
      <c r="D79">
        <f t="shared" si="6"/>
        <v>0</v>
      </c>
      <c r="E79">
        <f>IF($B$2&lt;&gt;$I$3,COUNTIF(Tab_fériés[date],A79),0)</f>
        <v>0</v>
      </c>
      <c r="F79">
        <f t="shared" si="7"/>
        <v>0</v>
      </c>
      <c r="O79" s="3">
        <v>40172</v>
      </c>
      <c r="P79">
        <v>2009</v>
      </c>
      <c r="Q79" t="s">
        <v>275</v>
      </c>
      <c r="R79" t="s">
        <v>286</v>
      </c>
    </row>
    <row r="80" spans="1:18">
      <c r="A80" s="3">
        <f t="shared" si="8"/>
        <v>45734</v>
      </c>
      <c r="B80">
        <f t="shared" si="5"/>
        <v>2</v>
      </c>
      <c r="C80">
        <f t="shared" si="9"/>
        <v>0</v>
      </c>
      <c r="D80">
        <f t="shared" si="6"/>
        <v>0</v>
      </c>
      <c r="E80">
        <f>IF($B$2&lt;&gt;$I$3,COUNTIF(Tab_fériés[date],A80),0)</f>
        <v>0</v>
      </c>
      <c r="F80">
        <f t="shared" si="7"/>
        <v>0</v>
      </c>
      <c r="O80" s="3">
        <v>40179</v>
      </c>
      <c r="P80">
        <v>2010</v>
      </c>
      <c r="Q80" t="s">
        <v>275</v>
      </c>
      <c r="R80" t="s">
        <v>276</v>
      </c>
    </row>
    <row r="81" spans="1:18">
      <c r="A81" s="3">
        <f t="shared" si="8"/>
        <v>45735</v>
      </c>
      <c r="B81">
        <f t="shared" si="5"/>
        <v>3</v>
      </c>
      <c r="C81">
        <f t="shared" si="9"/>
        <v>0</v>
      </c>
      <c r="D81">
        <f t="shared" si="6"/>
        <v>0</v>
      </c>
      <c r="E81">
        <f>IF($B$2&lt;&gt;$I$3,COUNTIF(Tab_fériés[date],A81),0)</f>
        <v>0</v>
      </c>
      <c r="F81">
        <f t="shared" si="7"/>
        <v>0</v>
      </c>
      <c r="O81" s="3">
        <v>40273</v>
      </c>
      <c r="P81">
        <v>2010</v>
      </c>
      <c r="Q81" t="s">
        <v>275</v>
      </c>
      <c r="R81" t="s">
        <v>277</v>
      </c>
    </row>
    <row r="82" spans="1:18">
      <c r="A82" s="3">
        <f t="shared" si="8"/>
        <v>45736</v>
      </c>
      <c r="B82">
        <f t="shared" si="5"/>
        <v>4</v>
      </c>
      <c r="C82">
        <f t="shared" si="9"/>
        <v>0</v>
      </c>
      <c r="D82">
        <f t="shared" si="6"/>
        <v>0</v>
      </c>
      <c r="E82">
        <f>IF($B$2&lt;&gt;$I$3,COUNTIF(Tab_fériés[date],A82),0)</f>
        <v>0</v>
      </c>
      <c r="F82">
        <f t="shared" si="7"/>
        <v>0</v>
      </c>
      <c r="O82" s="3">
        <v>40299</v>
      </c>
      <c r="P82">
        <v>2010</v>
      </c>
      <c r="Q82" t="s">
        <v>275</v>
      </c>
      <c r="R82" t="s">
        <v>278</v>
      </c>
    </row>
    <row r="83" spans="1:18">
      <c r="A83" s="3">
        <f t="shared" si="8"/>
        <v>45737</v>
      </c>
      <c r="B83">
        <f t="shared" si="5"/>
        <v>5</v>
      </c>
      <c r="C83">
        <f t="shared" si="9"/>
        <v>0</v>
      </c>
      <c r="D83">
        <f t="shared" si="6"/>
        <v>0</v>
      </c>
      <c r="E83">
        <f>IF($B$2&lt;&gt;$I$3,COUNTIF(Tab_fériés[date],A83),0)</f>
        <v>0</v>
      </c>
      <c r="F83">
        <f t="shared" si="7"/>
        <v>0</v>
      </c>
      <c r="O83" s="3">
        <v>40306</v>
      </c>
      <c r="P83">
        <v>2010</v>
      </c>
      <c r="Q83" t="s">
        <v>275</v>
      </c>
      <c r="R83" s="148">
        <v>45054</v>
      </c>
    </row>
    <row r="84" spans="1:18">
      <c r="A84" s="3">
        <f t="shared" si="8"/>
        <v>45738</v>
      </c>
      <c r="B84">
        <f t="shared" si="5"/>
        <v>6</v>
      </c>
      <c r="C84">
        <f t="shared" si="9"/>
        <v>0</v>
      </c>
      <c r="D84">
        <f t="shared" si="6"/>
        <v>0</v>
      </c>
      <c r="E84">
        <f>IF($B$2&lt;&gt;$I$3,COUNTIF(Tab_fériés[date],A84),0)</f>
        <v>0</v>
      </c>
      <c r="F84">
        <f t="shared" si="7"/>
        <v>0</v>
      </c>
      <c r="O84" s="3">
        <v>40311</v>
      </c>
      <c r="P84">
        <v>2010</v>
      </c>
      <c r="Q84" t="s">
        <v>275</v>
      </c>
      <c r="R84" t="s">
        <v>281</v>
      </c>
    </row>
    <row r="85" spans="1:18">
      <c r="A85" s="3">
        <f t="shared" si="8"/>
        <v>45739</v>
      </c>
      <c r="B85">
        <f t="shared" si="5"/>
        <v>7</v>
      </c>
      <c r="C85">
        <f t="shared" si="9"/>
        <v>0</v>
      </c>
      <c r="D85">
        <f t="shared" si="6"/>
        <v>0</v>
      </c>
      <c r="E85">
        <f>IF($B$2&lt;&gt;$I$3,COUNTIF(Tab_fériés[date],A85),0)</f>
        <v>0</v>
      </c>
      <c r="F85">
        <f t="shared" si="7"/>
        <v>0</v>
      </c>
      <c r="O85" s="3">
        <v>40322</v>
      </c>
      <c r="P85">
        <v>2010</v>
      </c>
      <c r="Q85" t="s">
        <v>275</v>
      </c>
      <c r="R85" t="s">
        <v>282</v>
      </c>
    </row>
    <row r="86" spans="1:18">
      <c r="A86" s="3">
        <f t="shared" si="8"/>
        <v>45740</v>
      </c>
      <c r="B86">
        <f t="shared" si="5"/>
        <v>1</v>
      </c>
      <c r="C86">
        <f t="shared" si="9"/>
        <v>0</v>
      </c>
      <c r="D86">
        <f t="shared" si="6"/>
        <v>0</v>
      </c>
      <c r="E86">
        <f>IF($B$2&lt;&gt;$I$3,COUNTIF(Tab_fériés[date],A86),0)</f>
        <v>0</v>
      </c>
      <c r="F86">
        <f t="shared" si="7"/>
        <v>0</v>
      </c>
      <c r="O86" s="3">
        <v>40373</v>
      </c>
      <c r="P86">
        <v>2010</v>
      </c>
      <c r="Q86" t="s">
        <v>275</v>
      </c>
      <c r="R86" s="148">
        <v>45121</v>
      </c>
    </row>
    <row r="87" spans="1:18">
      <c r="A87" s="3">
        <f t="shared" si="8"/>
        <v>45741</v>
      </c>
      <c r="B87">
        <f t="shared" si="5"/>
        <v>2</v>
      </c>
      <c r="C87">
        <f t="shared" si="9"/>
        <v>0</v>
      </c>
      <c r="D87">
        <f t="shared" si="6"/>
        <v>0</v>
      </c>
      <c r="E87">
        <f>IF($B$2&lt;&gt;$I$3,COUNTIF(Tab_fériés[date],A87),0)</f>
        <v>0</v>
      </c>
      <c r="F87">
        <f t="shared" si="7"/>
        <v>0</v>
      </c>
      <c r="O87" s="3">
        <v>40405</v>
      </c>
      <c r="P87">
        <v>2010</v>
      </c>
      <c r="Q87" t="s">
        <v>275</v>
      </c>
      <c r="R87" t="s">
        <v>284</v>
      </c>
    </row>
    <row r="88" spans="1:18">
      <c r="A88" s="3">
        <f t="shared" si="8"/>
        <v>45742</v>
      </c>
      <c r="B88">
        <f t="shared" si="5"/>
        <v>3</v>
      </c>
      <c r="C88">
        <f t="shared" si="9"/>
        <v>0</v>
      </c>
      <c r="D88">
        <f t="shared" si="6"/>
        <v>0</v>
      </c>
      <c r="E88">
        <f>IF($B$2&lt;&gt;$I$3,COUNTIF(Tab_fériés[date],A88),0)</f>
        <v>0</v>
      </c>
      <c r="F88">
        <f t="shared" si="7"/>
        <v>0</v>
      </c>
      <c r="O88" s="3">
        <v>40483</v>
      </c>
      <c r="P88">
        <v>2010</v>
      </c>
      <c r="Q88" t="s">
        <v>275</v>
      </c>
      <c r="R88" t="s">
        <v>285</v>
      </c>
    </row>
    <row r="89" spans="1:18">
      <c r="A89" s="3">
        <f t="shared" si="8"/>
        <v>45743</v>
      </c>
      <c r="B89">
        <f t="shared" si="5"/>
        <v>4</v>
      </c>
      <c r="C89">
        <f t="shared" si="9"/>
        <v>0</v>
      </c>
      <c r="D89">
        <f t="shared" si="6"/>
        <v>0</v>
      </c>
      <c r="E89">
        <f>IF($B$2&lt;&gt;$I$3,COUNTIF(Tab_fériés[date],A89),0)</f>
        <v>0</v>
      </c>
      <c r="F89">
        <f t="shared" si="7"/>
        <v>0</v>
      </c>
      <c r="O89" s="3">
        <v>40493</v>
      </c>
      <c r="P89">
        <v>2010</v>
      </c>
      <c r="Q89" t="s">
        <v>275</v>
      </c>
      <c r="R89" s="148">
        <v>45241</v>
      </c>
    </row>
    <row r="90" spans="1:18">
      <c r="A90" s="3">
        <f t="shared" si="8"/>
        <v>45744</v>
      </c>
      <c r="B90">
        <f t="shared" si="5"/>
        <v>5</v>
      </c>
      <c r="C90">
        <f t="shared" si="9"/>
        <v>0</v>
      </c>
      <c r="D90">
        <f t="shared" si="6"/>
        <v>0</v>
      </c>
      <c r="E90">
        <f>IF($B$2&lt;&gt;$I$3,COUNTIF(Tab_fériés[date],A90),0)</f>
        <v>0</v>
      </c>
      <c r="F90">
        <f t="shared" si="7"/>
        <v>0</v>
      </c>
      <c r="O90" s="3">
        <v>40537</v>
      </c>
      <c r="P90">
        <v>2010</v>
      </c>
      <c r="Q90" t="s">
        <v>275</v>
      </c>
      <c r="R90" t="s">
        <v>286</v>
      </c>
    </row>
    <row r="91" spans="1:18">
      <c r="A91" s="3">
        <f t="shared" si="8"/>
        <v>45745</v>
      </c>
      <c r="B91">
        <f t="shared" si="5"/>
        <v>6</v>
      </c>
      <c r="C91">
        <f t="shared" si="9"/>
        <v>0</v>
      </c>
      <c r="D91">
        <f t="shared" si="6"/>
        <v>0</v>
      </c>
      <c r="E91">
        <f>IF($B$2&lt;&gt;$I$3,COUNTIF(Tab_fériés[date],A91),0)</f>
        <v>0</v>
      </c>
      <c r="F91">
        <f t="shared" si="7"/>
        <v>0</v>
      </c>
      <c r="O91" s="3">
        <v>40544</v>
      </c>
      <c r="P91">
        <v>2011</v>
      </c>
      <c r="Q91" t="s">
        <v>275</v>
      </c>
      <c r="R91" t="s">
        <v>276</v>
      </c>
    </row>
    <row r="92" spans="1:18">
      <c r="A92" s="3">
        <f t="shared" si="8"/>
        <v>45746</v>
      </c>
      <c r="B92">
        <f t="shared" si="5"/>
        <v>7</v>
      </c>
      <c r="C92">
        <f t="shared" si="9"/>
        <v>0</v>
      </c>
      <c r="D92">
        <f t="shared" si="6"/>
        <v>0</v>
      </c>
      <c r="E92">
        <f>IF($B$2&lt;&gt;$I$3,COUNTIF(Tab_fériés[date],A92),0)</f>
        <v>0</v>
      </c>
      <c r="F92">
        <f t="shared" si="7"/>
        <v>0</v>
      </c>
      <c r="O92" s="3">
        <v>40658</v>
      </c>
      <c r="P92">
        <v>2011</v>
      </c>
      <c r="Q92" t="s">
        <v>275</v>
      </c>
      <c r="R92" t="s">
        <v>277</v>
      </c>
    </row>
    <row r="93" spans="1:18">
      <c r="A93" s="3">
        <f t="shared" si="8"/>
        <v>45747</v>
      </c>
      <c r="B93">
        <f t="shared" si="5"/>
        <v>1</v>
      </c>
      <c r="C93">
        <f t="shared" si="9"/>
        <v>0</v>
      </c>
      <c r="D93">
        <f t="shared" si="6"/>
        <v>0</v>
      </c>
      <c r="E93">
        <f>IF($B$2&lt;&gt;$I$3,COUNTIF(Tab_fériés[date],A93),0)</f>
        <v>0</v>
      </c>
      <c r="F93">
        <f t="shared" si="7"/>
        <v>0</v>
      </c>
      <c r="O93" s="3">
        <v>40664</v>
      </c>
      <c r="P93">
        <v>2011</v>
      </c>
      <c r="Q93" t="s">
        <v>275</v>
      </c>
      <c r="R93" t="s">
        <v>278</v>
      </c>
    </row>
    <row r="94" spans="1:18">
      <c r="A94" s="3">
        <f t="shared" si="8"/>
        <v>45748</v>
      </c>
      <c r="B94">
        <f t="shared" si="5"/>
        <v>2</v>
      </c>
      <c r="C94">
        <f t="shared" si="9"/>
        <v>0</v>
      </c>
      <c r="D94">
        <f t="shared" si="6"/>
        <v>0</v>
      </c>
      <c r="E94">
        <f>IF($B$2&lt;&gt;$I$3,COUNTIF(Tab_fériés[date],A94),0)</f>
        <v>0</v>
      </c>
      <c r="F94">
        <f t="shared" si="7"/>
        <v>0</v>
      </c>
      <c r="O94" s="3">
        <v>40671</v>
      </c>
      <c r="P94">
        <v>2011</v>
      </c>
      <c r="Q94" t="s">
        <v>275</v>
      </c>
      <c r="R94" s="148">
        <v>45054</v>
      </c>
    </row>
    <row r="95" spans="1:18">
      <c r="A95" s="3">
        <f t="shared" si="8"/>
        <v>45749</v>
      </c>
      <c r="B95">
        <f t="shared" si="5"/>
        <v>3</v>
      </c>
      <c r="C95">
        <f t="shared" si="9"/>
        <v>0</v>
      </c>
      <c r="D95">
        <f t="shared" si="6"/>
        <v>0</v>
      </c>
      <c r="E95">
        <f>IF($B$2&lt;&gt;$I$3,COUNTIF(Tab_fériés[date],A95),0)</f>
        <v>0</v>
      </c>
      <c r="F95">
        <f t="shared" si="7"/>
        <v>0</v>
      </c>
      <c r="O95" s="3">
        <v>40696</v>
      </c>
      <c r="P95">
        <v>2011</v>
      </c>
      <c r="Q95" t="s">
        <v>275</v>
      </c>
      <c r="R95" t="s">
        <v>281</v>
      </c>
    </row>
    <row r="96" spans="1:18">
      <c r="A96" s="3">
        <f t="shared" si="8"/>
        <v>45750</v>
      </c>
      <c r="B96">
        <f t="shared" si="5"/>
        <v>4</v>
      </c>
      <c r="C96">
        <f t="shared" si="9"/>
        <v>0</v>
      </c>
      <c r="D96">
        <f t="shared" si="6"/>
        <v>0</v>
      </c>
      <c r="E96">
        <f>IF($B$2&lt;&gt;$I$3,COUNTIF(Tab_fériés[date],A96),0)</f>
        <v>0</v>
      </c>
      <c r="F96">
        <f t="shared" si="7"/>
        <v>0</v>
      </c>
      <c r="O96" s="3">
        <v>40707</v>
      </c>
      <c r="P96">
        <v>2011</v>
      </c>
      <c r="Q96" t="s">
        <v>275</v>
      </c>
      <c r="R96" t="s">
        <v>282</v>
      </c>
    </row>
    <row r="97" spans="1:18">
      <c r="A97" s="3">
        <f t="shared" si="8"/>
        <v>45751</v>
      </c>
      <c r="B97">
        <f t="shared" si="5"/>
        <v>5</v>
      </c>
      <c r="C97">
        <f t="shared" si="9"/>
        <v>0</v>
      </c>
      <c r="D97">
        <f t="shared" si="6"/>
        <v>0</v>
      </c>
      <c r="E97">
        <f>IF($B$2&lt;&gt;$I$3,COUNTIF(Tab_fériés[date],A97),0)</f>
        <v>0</v>
      </c>
      <c r="F97">
        <f t="shared" si="7"/>
        <v>0</v>
      </c>
      <c r="O97" s="3">
        <v>40738</v>
      </c>
      <c r="P97">
        <v>2011</v>
      </c>
      <c r="Q97" t="s">
        <v>275</v>
      </c>
      <c r="R97" s="148">
        <v>45121</v>
      </c>
    </row>
    <row r="98" spans="1:18">
      <c r="A98" s="3">
        <f t="shared" si="8"/>
        <v>45752</v>
      </c>
      <c r="B98">
        <f t="shared" si="5"/>
        <v>6</v>
      </c>
      <c r="C98">
        <f t="shared" si="9"/>
        <v>0</v>
      </c>
      <c r="D98">
        <f t="shared" si="6"/>
        <v>0</v>
      </c>
      <c r="E98">
        <f>IF($B$2&lt;&gt;$I$3,COUNTIF(Tab_fériés[date],A98),0)</f>
        <v>0</v>
      </c>
      <c r="F98">
        <f t="shared" si="7"/>
        <v>0</v>
      </c>
      <c r="O98" s="3">
        <v>40770</v>
      </c>
      <c r="P98">
        <v>2011</v>
      </c>
      <c r="Q98" t="s">
        <v>275</v>
      </c>
      <c r="R98" t="s">
        <v>284</v>
      </c>
    </row>
    <row r="99" spans="1:18">
      <c r="A99" s="3">
        <f t="shared" si="8"/>
        <v>45753</v>
      </c>
      <c r="B99">
        <f t="shared" si="5"/>
        <v>7</v>
      </c>
      <c r="C99">
        <f t="shared" si="9"/>
        <v>0</v>
      </c>
      <c r="D99">
        <f t="shared" si="6"/>
        <v>0</v>
      </c>
      <c r="E99">
        <f>IF($B$2&lt;&gt;$I$3,COUNTIF(Tab_fériés[date],A99),0)</f>
        <v>0</v>
      </c>
      <c r="F99">
        <f t="shared" si="7"/>
        <v>0</v>
      </c>
      <c r="O99" s="3">
        <v>40848</v>
      </c>
      <c r="P99">
        <v>2011</v>
      </c>
      <c r="Q99" t="s">
        <v>275</v>
      </c>
      <c r="R99" t="s">
        <v>285</v>
      </c>
    </row>
    <row r="100" spans="1:18">
      <c r="A100" s="3">
        <f t="shared" si="8"/>
        <v>45754</v>
      </c>
      <c r="B100">
        <f t="shared" si="5"/>
        <v>1</v>
      </c>
      <c r="C100">
        <f t="shared" si="9"/>
        <v>0</v>
      </c>
      <c r="D100">
        <f t="shared" si="6"/>
        <v>0</v>
      </c>
      <c r="E100">
        <f>IF($B$2&lt;&gt;$I$3,COUNTIF(Tab_fériés[date],A100),0)</f>
        <v>0</v>
      </c>
      <c r="F100">
        <f t="shared" si="7"/>
        <v>0</v>
      </c>
      <c r="O100" s="3">
        <v>40858</v>
      </c>
      <c r="P100">
        <v>2011</v>
      </c>
      <c r="Q100" t="s">
        <v>275</v>
      </c>
      <c r="R100" s="148">
        <v>45241</v>
      </c>
    </row>
    <row r="101" spans="1:18">
      <c r="A101" s="3">
        <f t="shared" si="8"/>
        <v>45755</v>
      </c>
      <c r="B101">
        <f t="shared" si="5"/>
        <v>2</v>
      </c>
      <c r="C101">
        <f t="shared" si="9"/>
        <v>0</v>
      </c>
      <c r="D101">
        <f t="shared" si="6"/>
        <v>0</v>
      </c>
      <c r="E101">
        <f>IF($B$2&lt;&gt;$I$3,COUNTIF(Tab_fériés[date],A101),0)</f>
        <v>0</v>
      </c>
      <c r="F101">
        <f t="shared" si="7"/>
        <v>0</v>
      </c>
      <c r="O101" s="3">
        <v>40902</v>
      </c>
      <c r="P101">
        <v>2011</v>
      </c>
      <c r="Q101" t="s">
        <v>275</v>
      </c>
      <c r="R101" t="s">
        <v>286</v>
      </c>
    </row>
    <row r="102" spans="1:18">
      <c r="A102" s="3">
        <f t="shared" si="8"/>
        <v>45756</v>
      </c>
      <c r="B102">
        <f t="shared" si="5"/>
        <v>3</v>
      </c>
      <c r="C102">
        <f t="shared" si="9"/>
        <v>0</v>
      </c>
      <c r="D102">
        <f t="shared" si="6"/>
        <v>0</v>
      </c>
      <c r="E102">
        <f>IF($B$2&lt;&gt;$I$3,COUNTIF(Tab_fériés[date],A102),0)</f>
        <v>0</v>
      </c>
      <c r="F102">
        <f t="shared" si="7"/>
        <v>0</v>
      </c>
      <c r="O102" s="3">
        <v>40909</v>
      </c>
      <c r="P102">
        <v>2012</v>
      </c>
      <c r="Q102" t="s">
        <v>275</v>
      </c>
      <c r="R102" t="s">
        <v>276</v>
      </c>
    </row>
    <row r="103" spans="1:18">
      <c r="A103" s="3">
        <f t="shared" si="8"/>
        <v>45757</v>
      </c>
      <c r="B103">
        <f t="shared" si="5"/>
        <v>4</v>
      </c>
      <c r="C103">
        <f t="shared" si="9"/>
        <v>0</v>
      </c>
      <c r="D103">
        <f t="shared" si="6"/>
        <v>0</v>
      </c>
      <c r="E103">
        <f>IF($B$2&lt;&gt;$I$3,COUNTIF(Tab_fériés[date],A103),0)</f>
        <v>0</v>
      </c>
      <c r="F103">
        <f t="shared" si="7"/>
        <v>0</v>
      </c>
      <c r="O103" s="3">
        <v>41008</v>
      </c>
      <c r="P103">
        <v>2012</v>
      </c>
      <c r="Q103" t="s">
        <v>275</v>
      </c>
      <c r="R103" t="s">
        <v>277</v>
      </c>
    </row>
    <row r="104" spans="1:18">
      <c r="A104" s="3">
        <f t="shared" si="8"/>
        <v>45758</v>
      </c>
      <c r="B104">
        <f t="shared" si="5"/>
        <v>5</v>
      </c>
      <c r="C104">
        <f t="shared" si="9"/>
        <v>0</v>
      </c>
      <c r="D104">
        <f t="shared" si="6"/>
        <v>0</v>
      </c>
      <c r="E104">
        <f>IF($B$2&lt;&gt;$I$3,COUNTIF(Tab_fériés[date],A104),0)</f>
        <v>0</v>
      </c>
      <c r="F104">
        <f t="shared" si="7"/>
        <v>0</v>
      </c>
      <c r="O104" s="3">
        <v>41030</v>
      </c>
      <c r="P104">
        <v>2012</v>
      </c>
      <c r="Q104" t="s">
        <v>275</v>
      </c>
      <c r="R104" t="s">
        <v>278</v>
      </c>
    </row>
    <row r="105" spans="1:18">
      <c r="A105" s="3">
        <f t="shared" si="8"/>
        <v>45759</v>
      </c>
      <c r="B105">
        <f t="shared" si="5"/>
        <v>6</v>
      </c>
      <c r="C105">
        <f t="shared" si="9"/>
        <v>0</v>
      </c>
      <c r="D105">
        <f t="shared" si="6"/>
        <v>0</v>
      </c>
      <c r="E105">
        <f>IF($B$2&lt;&gt;$I$3,COUNTIF(Tab_fériés[date],A105),0)</f>
        <v>0</v>
      </c>
      <c r="F105">
        <f t="shared" si="7"/>
        <v>0</v>
      </c>
      <c r="O105" s="3">
        <v>41037</v>
      </c>
      <c r="P105">
        <v>2012</v>
      </c>
      <c r="Q105" t="s">
        <v>275</v>
      </c>
      <c r="R105" s="148">
        <v>45054</v>
      </c>
    </row>
    <row r="106" spans="1:18">
      <c r="A106" s="3">
        <f t="shared" si="8"/>
        <v>45760</v>
      </c>
      <c r="B106">
        <f t="shared" si="5"/>
        <v>7</v>
      </c>
      <c r="C106">
        <f t="shared" si="9"/>
        <v>0</v>
      </c>
      <c r="D106">
        <f t="shared" si="6"/>
        <v>0</v>
      </c>
      <c r="E106">
        <f>IF($B$2&lt;&gt;$I$3,COUNTIF(Tab_fériés[date],A106),0)</f>
        <v>0</v>
      </c>
      <c r="F106">
        <f t="shared" si="7"/>
        <v>0</v>
      </c>
      <c r="O106" s="3">
        <v>41046</v>
      </c>
      <c r="P106">
        <v>2012</v>
      </c>
      <c r="Q106" t="s">
        <v>275</v>
      </c>
      <c r="R106" t="s">
        <v>281</v>
      </c>
    </row>
    <row r="107" spans="1:18">
      <c r="A107" s="3">
        <f t="shared" si="8"/>
        <v>45761</v>
      </c>
      <c r="B107">
        <f t="shared" si="5"/>
        <v>1</v>
      </c>
      <c r="C107">
        <f t="shared" si="9"/>
        <v>0</v>
      </c>
      <c r="D107">
        <f t="shared" si="6"/>
        <v>0</v>
      </c>
      <c r="E107">
        <f>IF($B$2&lt;&gt;$I$3,COUNTIF(Tab_fériés[date],A107),0)</f>
        <v>0</v>
      </c>
      <c r="F107">
        <f t="shared" si="7"/>
        <v>0</v>
      </c>
      <c r="O107" s="3">
        <v>41057</v>
      </c>
      <c r="P107">
        <v>2012</v>
      </c>
      <c r="Q107" t="s">
        <v>275</v>
      </c>
      <c r="R107" t="s">
        <v>282</v>
      </c>
    </row>
    <row r="108" spans="1:18">
      <c r="A108" s="3">
        <f t="shared" si="8"/>
        <v>45762</v>
      </c>
      <c r="B108">
        <f t="shared" si="5"/>
        <v>2</v>
      </c>
      <c r="C108">
        <f t="shared" si="9"/>
        <v>0</v>
      </c>
      <c r="D108">
        <f t="shared" si="6"/>
        <v>0</v>
      </c>
      <c r="E108">
        <f>IF($B$2&lt;&gt;$I$3,COUNTIF(Tab_fériés[date],A108),0)</f>
        <v>0</v>
      </c>
      <c r="F108">
        <f t="shared" si="7"/>
        <v>0</v>
      </c>
      <c r="O108" s="3">
        <v>41104</v>
      </c>
      <c r="P108">
        <v>2012</v>
      </c>
      <c r="Q108" t="s">
        <v>275</v>
      </c>
      <c r="R108" s="148">
        <v>45121</v>
      </c>
    </row>
    <row r="109" spans="1:18">
      <c r="A109" s="3">
        <f t="shared" si="8"/>
        <v>45763</v>
      </c>
      <c r="B109">
        <f t="shared" si="5"/>
        <v>3</v>
      </c>
      <c r="C109">
        <f t="shared" si="9"/>
        <v>0</v>
      </c>
      <c r="D109">
        <f t="shared" si="6"/>
        <v>0</v>
      </c>
      <c r="E109">
        <f>IF($B$2&lt;&gt;$I$3,COUNTIF(Tab_fériés[date],A109),0)</f>
        <v>0</v>
      </c>
      <c r="F109">
        <f t="shared" si="7"/>
        <v>0</v>
      </c>
      <c r="O109" s="3">
        <v>41136</v>
      </c>
      <c r="P109">
        <v>2012</v>
      </c>
      <c r="Q109" t="s">
        <v>275</v>
      </c>
      <c r="R109" t="s">
        <v>284</v>
      </c>
    </row>
    <row r="110" spans="1:18">
      <c r="A110" s="3">
        <f t="shared" si="8"/>
        <v>45764</v>
      </c>
      <c r="B110">
        <f t="shared" si="5"/>
        <v>4</v>
      </c>
      <c r="C110">
        <f t="shared" si="9"/>
        <v>0</v>
      </c>
      <c r="D110">
        <f t="shared" si="6"/>
        <v>0</v>
      </c>
      <c r="E110">
        <f>IF($B$2&lt;&gt;$I$3,COUNTIF(Tab_fériés[date],A110),0)</f>
        <v>0</v>
      </c>
      <c r="F110">
        <f t="shared" si="7"/>
        <v>0</v>
      </c>
      <c r="O110" s="3">
        <v>41214</v>
      </c>
      <c r="P110">
        <v>2012</v>
      </c>
      <c r="Q110" t="s">
        <v>275</v>
      </c>
      <c r="R110" t="s">
        <v>285</v>
      </c>
    </row>
    <row r="111" spans="1:18">
      <c r="A111" s="3">
        <f t="shared" si="8"/>
        <v>45765</v>
      </c>
      <c r="B111">
        <f t="shared" si="5"/>
        <v>5</v>
      </c>
      <c r="C111">
        <f t="shared" si="9"/>
        <v>0</v>
      </c>
      <c r="D111">
        <f t="shared" si="6"/>
        <v>0</v>
      </c>
      <c r="E111">
        <f>IF($B$2&lt;&gt;$I$3,COUNTIF(Tab_fériés[date],A111),0)</f>
        <v>0</v>
      </c>
      <c r="F111">
        <f t="shared" si="7"/>
        <v>0</v>
      </c>
      <c r="O111" s="3">
        <v>41224</v>
      </c>
      <c r="P111">
        <v>2012</v>
      </c>
      <c r="Q111" t="s">
        <v>275</v>
      </c>
      <c r="R111" s="148">
        <v>45241</v>
      </c>
    </row>
    <row r="112" spans="1:18">
      <c r="A112" s="3">
        <f t="shared" si="8"/>
        <v>45766</v>
      </c>
      <c r="B112">
        <f t="shared" si="5"/>
        <v>6</v>
      </c>
      <c r="C112">
        <f t="shared" si="9"/>
        <v>0</v>
      </c>
      <c r="D112">
        <f t="shared" si="6"/>
        <v>0</v>
      </c>
      <c r="E112">
        <f>IF($B$2&lt;&gt;$I$3,COUNTIF(Tab_fériés[date],A112),0)</f>
        <v>0</v>
      </c>
      <c r="F112">
        <f t="shared" si="7"/>
        <v>0</v>
      </c>
      <c r="O112" s="3">
        <v>41268</v>
      </c>
      <c r="P112">
        <v>2012</v>
      </c>
      <c r="Q112" t="s">
        <v>275</v>
      </c>
      <c r="R112" t="s">
        <v>286</v>
      </c>
    </row>
    <row r="113" spans="1:18">
      <c r="A113" s="3">
        <f t="shared" si="8"/>
        <v>45767</v>
      </c>
      <c r="B113">
        <f t="shared" si="5"/>
        <v>7</v>
      </c>
      <c r="C113">
        <f t="shared" si="9"/>
        <v>0</v>
      </c>
      <c r="D113">
        <f t="shared" si="6"/>
        <v>0</v>
      </c>
      <c r="E113">
        <f>IF($B$2&lt;&gt;$I$3,COUNTIF(Tab_fériés[date],A113),0)</f>
        <v>0</v>
      </c>
      <c r="F113">
        <f t="shared" si="7"/>
        <v>0</v>
      </c>
      <c r="O113" s="3">
        <v>41275</v>
      </c>
      <c r="P113">
        <v>2013</v>
      </c>
      <c r="Q113" t="s">
        <v>275</v>
      </c>
      <c r="R113" t="s">
        <v>276</v>
      </c>
    </row>
    <row r="114" spans="1:18">
      <c r="A114" s="3">
        <f t="shared" si="8"/>
        <v>45768</v>
      </c>
      <c r="B114">
        <f t="shared" si="5"/>
        <v>1</v>
      </c>
      <c r="C114">
        <f t="shared" si="9"/>
        <v>0</v>
      </c>
      <c r="D114">
        <f t="shared" si="6"/>
        <v>0</v>
      </c>
      <c r="E114">
        <f>IF($B$2&lt;&gt;$I$3,COUNTIF(Tab_fériés[date],A114),0)</f>
        <v>0</v>
      </c>
      <c r="F114">
        <f t="shared" si="7"/>
        <v>0</v>
      </c>
      <c r="O114" s="3">
        <v>41365</v>
      </c>
      <c r="P114">
        <v>2013</v>
      </c>
      <c r="Q114" t="s">
        <v>275</v>
      </c>
      <c r="R114" t="s">
        <v>277</v>
      </c>
    </row>
    <row r="115" spans="1:18">
      <c r="A115" s="3">
        <f t="shared" si="8"/>
        <v>45769</v>
      </c>
      <c r="B115">
        <f t="shared" si="5"/>
        <v>2</v>
      </c>
      <c r="C115">
        <f t="shared" si="9"/>
        <v>0</v>
      </c>
      <c r="D115">
        <f t="shared" si="6"/>
        <v>0</v>
      </c>
      <c r="E115">
        <f>IF($B$2&lt;&gt;$I$3,COUNTIF(Tab_fériés[date],A115),0)</f>
        <v>0</v>
      </c>
      <c r="F115">
        <f t="shared" si="7"/>
        <v>0</v>
      </c>
      <c r="O115" s="3">
        <v>41395</v>
      </c>
      <c r="P115">
        <v>2013</v>
      </c>
      <c r="Q115" t="s">
        <v>275</v>
      </c>
      <c r="R115" t="s">
        <v>278</v>
      </c>
    </row>
    <row r="116" spans="1:18">
      <c r="A116" s="3">
        <f t="shared" si="8"/>
        <v>45770</v>
      </c>
      <c r="B116">
        <f t="shared" si="5"/>
        <v>3</v>
      </c>
      <c r="C116">
        <f t="shared" si="9"/>
        <v>0</v>
      </c>
      <c r="D116">
        <f t="shared" si="6"/>
        <v>0</v>
      </c>
      <c r="E116">
        <f>IF($B$2&lt;&gt;$I$3,COUNTIF(Tab_fériés[date],A116),0)</f>
        <v>0</v>
      </c>
      <c r="F116">
        <f t="shared" si="7"/>
        <v>0</v>
      </c>
      <c r="O116" s="3">
        <v>41402</v>
      </c>
      <c r="P116">
        <v>2013</v>
      </c>
      <c r="Q116" t="s">
        <v>275</v>
      </c>
      <c r="R116" s="148">
        <v>45054</v>
      </c>
    </row>
    <row r="117" spans="1:18">
      <c r="A117" s="3">
        <f t="shared" si="8"/>
        <v>45771</v>
      </c>
      <c r="B117">
        <f t="shared" si="5"/>
        <v>4</v>
      </c>
      <c r="C117">
        <f t="shared" si="9"/>
        <v>0</v>
      </c>
      <c r="D117">
        <f t="shared" si="6"/>
        <v>0</v>
      </c>
      <c r="E117">
        <f>IF($B$2&lt;&gt;$I$3,COUNTIF(Tab_fériés[date],A117),0)</f>
        <v>0</v>
      </c>
      <c r="F117">
        <f t="shared" si="7"/>
        <v>0</v>
      </c>
      <c r="O117" s="3">
        <v>41403</v>
      </c>
      <c r="P117">
        <v>2013</v>
      </c>
      <c r="Q117" t="s">
        <v>275</v>
      </c>
      <c r="R117" t="s">
        <v>281</v>
      </c>
    </row>
    <row r="118" spans="1:18">
      <c r="A118" s="3">
        <f t="shared" si="8"/>
        <v>45772</v>
      </c>
      <c r="B118">
        <f t="shared" si="5"/>
        <v>5</v>
      </c>
      <c r="C118">
        <f t="shared" si="9"/>
        <v>0</v>
      </c>
      <c r="D118">
        <f t="shared" si="6"/>
        <v>0</v>
      </c>
      <c r="E118">
        <f>IF($B$2&lt;&gt;$I$3,COUNTIF(Tab_fériés[date],A118),0)</f>
        <v>0</v>
      </c>
      <c r="F118">
        <f t="shared" si="7"/>
        <v>0</v>
      </c>
      <c r="O118" s="3">
        <v>41414</v>
      </c>
      <c r="P118">
        <v>2013</v>
      </c>
      <c r="Q118" t="s">
        <v>275</v>
      </c>
      <c r="R118" t="s">
        <v>282</v>
      </c>
    </row>
    <row r="119" spans="1:18">
      <c r="A119" s="3">
        <f t="shared" si="8"/>
        <v>45773</v>
      </c>
      <c r="B119">
        <f t="shared" si="5"/>
        <v>6</v>
      </c>
      <c r="C119">
        <f t="shared" si="9"/>
        <v>0</v>
      </c>
      <c r="D119">
        <f t="shared" si="6"/>
        <v>0</v>
      </c>
      <c r="E119">
        <f>IF($B$2&lt;&gt;$I$3,COUNTIF(Tab_fériés[date],A119),0)</f>
        <v>0</v>
      </c>
      <c r="F119">
        <f t="shared" si="7"/>
        <v>0</v>
      </c>
      <c r="O119" s="3">
        <v>41469</v>
      </c>
      <c r="P119">
        <v>2013</v>
      </c>
      <c r="Q119" t="s">
        <v>275</v>
      </c>
      <c r="R119" s="148">
        <v>45121</v>
      </c>
    </row>
    <row r="120" spans="1:18">
      <c r="A120" s="3">
        <f t="shared" si="8"/>
        <v>45774</v>
      </c>
      <c r="B120">
        <f t="shared" si="5"/>
        <v>7</v>
      </c>
      <c r="C120">
        <f t="shared" si="9"/>
        <v>0</v>
      </c>
      <c r="D120">
        <f t="shared" si="6"/>
        <v>0</v>
      </c>
      <c r="E120">
        <f>IF($B$2&lt;&gt;$I$3,COUNTIF(Tab_fériés[date],A120),0)</f>
        <v>0</v>
      </c>
      <c r="F120">
        <f t="shared" si="7"/>
        <v>0</v>
      </c>
      <c r="O120" s="3">
        <v>41501</v>
      </c>
      <c r="P120">
        <v>2013</v>
      </c>
      <c r="Q120" t="s">
        <v>275</v>
      </c>
      <c r="R120" t="s">
        <v>284</v>
      </c>
    </row>
    <row r="121" spans="1:18">
      <c r="A121" s="3">
        <f t="shared" si="8"/>
        <v>45775</v>
      </c>
      <c r="B121">
        <f t="shared" si="5"/>
        <v>1</v>
      </c>
      <c r="C121">
        <f t="shared" si="9"/>
        <v>0</v>
      </c>
      <c r="D121">
        <f t="shared" si="6"/>
        <v>0</v>
      </c>
      <c r="E121">
        <f>IF($B$2&lt;&gt;$I$3,COUNTIF(Tab_fériés[date],A121),0)</f>
        <v>0</v>
      </c>
      <c r="F121">
        <f t="shared" si="7"/>
        <v>0</v>
      </c>
      <c r="O121" s="3">
        <v>41579</v>
      </c>
      <c r="P121">
        <v>2013</v>
      </c>
      <c r="Q121" t="s">
        <v>275</v>
      </c>
      <c r="R121" t="s">
        <v>285</v>
      </c>
    </row>
    <row r="122" spans="1:18">
      <c r="A122" s="3">
        <f t="shared" si="8"/>
        <v>45776</v>
      </c>
      <c r="B122">
        <f t="shared" si="5"/>
        <v>2</v>
      </c>
      <c r="C122">
        <f t="shared" si="9"/>
        <v>0</v>
      </c>
      <c r="D122">
        <f t="shared" si="6"/>
        <v>0</v>
      </c>
      <c r="E122">
        <f>IF($B$2&lt;&gt;$I$3,COUNTIF(Tab_fériés[date],A122),0)</f>
        <v>0</v>
      </c>
      <c r="F122">
        <f t="shared" si="7"/>
        <v>0</v>
      </c>
      <c r="O122" s="3">
        <v>41589</v>
      </c>
      <c r="P122">
        <v>2013</v>
      </c>
      <c r="Q122" t="s">
        <v>275</v>
      </c>
      <c r="R122" s="148">
        <v>45241</v>
      </c>
    </row>
    <row r="123" spans="1:18">
      <c r="A123" s="3">
        <f t="shared" si="8"/>
        <v>45777</v>
      </c>
      <c r="B123">
        <f t="shared" si="5"/>
        <v>3</v>
      </c>
      <c r="C123">
        <f t="shared" si="9"/>
        <v>0</v>
      </c>
      <c r="D123">
        <f t="shared" si="6"/>
        <v>0</v>
      </c>
      <c r="E123">
        <f>IF($B$2&lt;&gt;$I$3,COUNTIF(Tab_fériés[date],A123),0)</f>
        <v>0</v>
      </c>
      <c r="F123">
        <f t="shared" si="7"/>
        <v>0</v>
      </c>
      <c r="O123" s="3">
        <v>41633</v>
      </c>
      <c r="P123">
        <v>2013</v>
      </c>
      <c r="Q123" t="s">
        <v>275</v>
      </c>
      <c r="R123" t="s">
        <v>286</v>
      </c>
    </row>
    <row r="124" spans="1:18">
      <c r="A124" s="3">
        <f t="shared" si="8"/>
        <v>45778</v>
      </c>
      <c r="B124">
        <f t="shared" si="5"/>
        <v>4</v>
      </c>
      <c r="C124">
        <f t="shared" si="9"/>
        <v>0</v>
      </c>
      <c r="D124">
        <f t="shared" si="6"/>
        <v>0</v>
      </c>
      <c r="E124">
        <f>IF($B$2&lt;&gt;$I$3,COUNTIF(Tab_fériés[date],A124),0)</f>
        <v>0</v>
      </c>
      <c r="F124">
        <f t="shared" si="7"/>
        <v>0</v>
      </c>
      <c r="O124" s="3">
        <v>41640</v>
      </c>
      <c r="P124">
        <v>2014</v>
      </c>
      <c r="Q124" t="s">
        <v>275</v>
      </c>
      <c r="R124" t="s">
        <v>276</v>
      </c>
    </row>
    <row r="125" spans="1:18">
      <c r="A125" s="3">
        <f t="shared" si="8"/>
        <v>45779</v>
      </c>
      <c r="B125">
        <f t="shared" si="5"/>
        <v>5</v>
      </c>
      <c r="C125">
        <f t="shared" si="9"/>
        <v>0</v>
      </c>
      <c r="D125">
        <f t="shared" si="6"/>
        <v>0</v>
      </c>
      <c r="E125">
        <f>IF($B$2&lt;&gt;$I$3,COUNTIF(Tab_fériés[date],A125),0)</f>
        <v>0</v>
      </c>
      <c r="F125">
        <f t="shared" si="7"/>
        <v>0</v>
      </c>
      <c r="O125" s="3">
        <v>41750</v>
      </c>
      <c r="P125">
        <v>2014</v>
      </c>
      <c r="Q125" t="s">
        <v>275</v>
      </c>
      <c r="R125" t="s">
        <v>277</v>
      </c>
    </row>
    <row r="126" spans="1:18">
      <c r="A126" s="3">
        <f t="shared" si="8"/>
        <v>45780</v>
      </c>
      <c r="B126">
        <f t="shared" si="5"/>
        <v>6</v>
      </c>
      <c r="C126">
        <f t="shared" si="9"/>
        <v>0</v>
      </c>
      <c r="D126">
        <f t="shared" si="6"/>
        <v>0</v>
      </c>
      <c r="E126">
        <f>IF($B$2&lt;&gt;$I$3,COUNTIF(Tab_fériés[date],A126),0)</f>
        <v>0</v>
      </c>
      <c r="F126">
        <f t="shared" si="7"/>
        <v>0</v>
      </c>
      <c r="O126" s="3">
        <v>41760</v>
      </c>
      <c r="P126">
        <v>2014</v>
      </c>
      <c r="Q126" t="s">
        <v>275</v>
      </c>
      <c r="R126" t="s">
        <v>278</v>
      </c>
    </row>
    <row r="127" spans="1:18">
      <c r="A127" s="3">
        <f t="shared" si="8"/>
        <v>45781</v>
      </c>
      <c r="B127">
        <f t="shared" si="5"/>
        <v>7</v>
      </c>
      <c r="C127">
        <f t="shared" si="9"/>
        <v>0</v>
      </c>
      <c r="D127">
        <f t="shared" si="6"/>
        <v>0</v>
      </c>
      <c r="E127">
        <f>IF($B$2&lt;&gt;$I$3,COUNTIF(Tab_fériés[date],A127),0)</f>
        <v>0</v>
      </c>
      <c r="F127">
        <f t="shared" si="7"/>
        <v>0</v>
      </c>
      <c r="O127" s="3">
        <v>41767</v>
      </c>
      <c r="P127">
        <v>2014</v>
      </c>
      <c r="Q127" t="s">
        <v>275</v>
      </c>
      <c r="R127" s="148">
        <v>45054</v>
      </c>
    </row>
    <row r="128" spans="1:18">
      <c r="A128" s="3">
        <f t="shared" si="8"/>
        <v>45782</v>
      </c>
      <c r="B128">
        <f t="shared" si="5"/>
        <v>1</v>
      </c>
      <c r="C128">
        <f t="shared" si="9"/>
        <v>0</v>
      </c>
      <c r="D128">
        <f t="shared" si="6"/>
        <v>0</v>
      </c>
      <c r="E128">
        <f>IF($B$2&lt;&gt;$I$3,COUNTIF(Tab_fériés[date],A128),0)</f>
        <v>0</v>
      </c>
      <c r="F128">
        <f t="shared" si="7"/>
        <v>0</v>
      </c>
      <c r="O128" s="3">
        <v>41788</v>
      </c>
      <c r="P128">
        <v>2014</v>
      </c>
      <c r="Q128" t="s">
        <v>275</v>
      </c>
      <c r="R128" t="s">
        <v>281</v>
      </c>
    </row>
    <row r="129" spans="1:18">
      <c r="A129" s="3">
        <f t="shared" si="8"/>
        <v>45783</v>
      </c>
      <c r="B129">
        <f t="shared" si="5"/>
        <v>2</v>
      </c>
      <c r="C129">
        <f t="shared" si="9"/>
        <v>0</v>
      </c>
      <c r="D129">
        <f t="shared" si="6"/>
        <v>0</v>
      </c>
      <c r="E129">
        <f>IF($B$2&lt;&gt;$I$3,COUNTIF(Tab_fériés[date],A129),0)</f>
        <v>0</v>
      </c>
      <c r="F129">
        <f t="shared" si="7"/>
        <v>0</v>
      </c>
      <c r="O129" s="3">
        <v>41799</v>
      </c>
      <c r="P129">
        <v>2014</v>
      </c>
      <c r="Q129" t="s">
        <v>275</v>
      </c>
      <c r="R129" t="s">
        <v>282</v>
      </c>
    </row>
    <row r="130" spans="1:18">
      <c r="A130" s="3">
        <f t="shared" si="8"/>
        <v>45784</v>
      </c>
      <c r="B130">
        <f t="shared" si="5"/>
        <v>3</v>
      </c>
      <c r="C130">
        <f t="shared" si="9"/>
        <v>0</v>
      </c>
      <c r="D130">
        <f t="shared" si="6"/>
        <v>0</v>
      </c>
      <c r="E130">
        <f>IF($B$2&lt;&gt;$I$3,COUNTIF(Tab_fériés[date],A130),0)</f>
        <v>0</v>
      </c>
      <c r="F130">
        <f t="shared" si="7"/>
        <v>0</v>
      </c>
      <c r="O130" s="3">
        <v>41834</v>
      </c>
      <c r="P130">
        <v>2014</v>
      </c>
      <c r="Q130" t="s">
        <v>275</v>
      </c>
      <c r="R130" s="148">
        <v>45121</v>
      </c>
    </row>
    <row r="131" spans="1:18">
      <c r="A131" s="3">
        <f t="shared" si="8"/>
        <v>45785</v>
      </c>
      <c r="B131">
        <f t="shared" si="5"/>
        <v>4</v>
      </c>
      <c r="C131">
        <f t="shared" si="9"/>
        <v>0</v>
      </c>
      <c r="D131">
        <f t="shared" si="6"/>
        <v>0</v>
      </c>
      <c r="E131">
        <f>IF($B$2&lt;&gt;$I$3,COUNTIF(Tab_fériés[date],A131),0)</f>
        <v>0</v>
      </c>
      <c r="F131">
        <f t="shared" si="7"/>
        <v>0</v>
      </c>
      <c r="O131" s="3">
        <v>41866</v>
      </c>
      <c r="P131">
        <v>2014</v>
      </c>
      <c r="Q131" t="s">
        <v>275</v>
      </c>
      <c r="R131" t="s">
        <v>284</v>
      </c>
    </row>
    <row r="132" spans="1:18">
      <c r="A132" s="3">
        <f t="shared" si="8"/>
        <v>45786</v>
      </c>
      <c r="B132">
        <f t="shared" si="5"/>
        <v>5</v>
      </c>
      <c r="C132">
        <f t="shared" si="9"/>
        <v>0</v>
      </c>
      <c r="D132">
        <f t="shared" si="6"/>
        <v>0</v>
      </c>
      <c r="E132">
        <f>IF($B$2&lt;&gt;$I$3,COUNTIF(Tab_fériés[date],A132),0)</f>
        <v>0</v>
      </c>
      <c r="F132">
        <f t="shared" si="7"/>
        <v>0</v>
      </c>
      <c r="O132" s="3">
        <v>41944</v>
      </c>
      <c r="P132">
        <v>2014</v>
      </c>
      <c r="Q132" t="s">
        <v>275</v>
      </c>
      <c r="R132" t="s">
        <v>285</v>
      </c>
    </row>
    <row r="133" spans="1:18">
      <c r="A133" s="3">
        <f t="shared" si="8"/>
        <v>45787</v>
      </c>
      <c r="B133">
        <f t="shared" ref="B133:B196" si="10">WEEKDAY(A133,2)</f>
        <v>6</v>
      </c>
      <c r="C133">
        <f t="shared" si="9"/>
        <v>0</v>
      </c>
      <c r="D133">
        <f t="shared" ref="D133:D196" si="11">IF(AND(B133=7,$B$2&lt;&gt;$I$3),1,0)</f>
        <v>0</v>
      </c>
      <c r="E133">
        <f>IF($B$2&lt;&gt;$I$3,COUNTIF(Tab_fériés[date],A133),0)</f>
        <v>0</v>
      </c>
      <c r="F133">
        <f t="shared" ref="F133:F196" si="12">IFERROR(IF(SUM(C133:E133)&gt;0,1,0),0)</f>
        <v>0</v>
      </c>
      <c r="O133" s="3">
        <v>41954</v>
      </c>
      <c r="P133">
        <v>2014</v>
      </c>
      <c r="Q133" t="s">
        <v>275</v>
      </c>
      <c r="R133" s="148">
        <v>45241</v>
      </c>
    </row>
    <row r="134" spans="1:18">
      <c r="A134" s="3">
        <f t="shared" ref="A134:A197" si="13">A133+1</f>
        <v>45788</v>
      </c>
      <c r="B134">
        <f t="shared" si="10"/>
        <v>7</v>
      </c>
      <c r="C134">
        <f t="shared" ref="C134:C197" si="14">IF(AND(B134=6,$B$2&lt;&gt;$I$3,$B$2&lt;&gt;$I$5),1,0)</f>
        <v>0</v>
      </c>
      <c r="D134">
        <f t="shared" si="11"/>
        <v>0</v>
      </c>
      <c r="E134">
        <f>IF($B$2&lt;&gt;$I$3,COUNTIF(Tab_fériés[date],A134),0)</f>
        <v>0</v>
      </c>
      <c r="F134">
        <f t="shared" si="12"/>
        <v>0</v>
      </c>
      <c r="O134" s="3">
        <v>41998</v>
      </c>
      <c r="P134">
        <v>2014</v>
      </c>
      <c r="Q134" t="s">
        <v>275</v>
      </c>
      <c r="R134" t="s">
        <v>286</v>
      </c>
    </row>
    <row r="135" spans="1:18">
      <c r="A135" s="3">
        <f t="shared" si="13"/>
        <v>45789</v>
      </c>
      <c r="B135">
        <f t="shared" si="10"/>
        <v>1</v>
      </c>
      <c r="C135">
        <f t="shared" si="14"/>
        <v>0</v>
      </c>
      <c r="D135">
        <f t="shared" si="11"/>
        <v>0</v>
      </c>
      <c r="E135">
        <f>IF($B$2&lt;&gt;$I$3,COUNTIF(Tab_fériés[date],A135),0)</f>
        <v>0</v>
      </c>
      <c r="F135">
        <f t="shared" si="12"/>
        <v>0</v>
      </c>
      <c r="O135" s="3">
        <v>42005</v>
      </c>
      <c r="P135">
        <v>2015</v>
      </c>
      <c r="Q135" t="s">
        <v>275</v>
      </c>
      <c r="R135" t="s">
        <v>276</v>
      </c>
    </row>
    <row r="136" spans="1:18">
      <c r="A136" s="3">
        <f t="shared" si="13"/>
        <v>45790</v>
      </c>
      <c r="B136">
        <f t="shared" si="10"/>
        <v>2</v>
      </c>
      <c r="C136">
        <f t="shared" si="14"/>
        <v>0</v>
      </c>
      <c r="D136">
        <f t="shared" si="11"/>
        <v>0</v>
      </c>
      <c r="E136">
        <f>IF($B$2&lt;&gt;$I$3,COUNTIF(Tab_fériés[date],A136),0)</f>
        <v>0</v>
      </c>
      <c r="F136">
        <f t="shared" si="12"/>
        <v>0</v>
      </c>
      <c r="O136" s="3">
        <v>42100</v>
      </c>
      <c r="P136">
        <v>2015</v>
      </c>
      <c r="Q136" t="s">
        <v>275</v>
      </c>
      <c r="R136" t="s">
        <v>277</v>
      </c>
    </row>
    <row r="137" spans="1:18">
      <c r="A137" s="3">
        <f t="shared" si="13"/>
        <v>45791</v>
      </c>
      <c r="B137">
        <f t="shared" si="10"/>
        <v>3</v>
      </c>
      <c r="C137">
        <f t="shared" si="14"/>
        <v>0</v>
      </c>
      <c r="D137">
        <f t="shared" si="11"/>
        <v>0</v>
      </c>
      <c r="E137">
        <f>IF($B$2&lt;&gt;$I$3,COUNTIF(Tab_fériés[date],A137),0)</f>
        <v>0</v>
      </c>
      <c r="F137">
        <f t="shared" si="12"/>
        <v>0</v>
      </c>
      <c r="O137" s="3">
        <v>42125</v>
      </c>
      <c r="P137">
        <v>2015</v>
      </c>
      <c r="Q137" t="s">
        <v>275</v>
      </c>
      <c r="R137" t="s">
        <v>278</v>
      </c>
    </row>
    <row r="138" spans="1:18">
      <c r="A138" s="3">
        <f t="shared" si="13"/>
        <v>45792</v>
      </c>
      <c r="B138">
        <f t="shared" si="10"/>
        <v>4</v>
      </c>
      <c r="C138">
        <f t="shared" si="14"/>
        <v>0</v>
      </c>
      <c r="D138">
        <f t="shared" si="11"/>
        <v>0</v>
      </c>
      <c r="E138">
        <f>IF($B$2&lt;&gt;$I$3,COUNTIF(Tab_fériés[date],A138),0)</f>
        <v>0</v>
      </c>
      <c r="F138">
        <f t="shared" si="12"/>
        <v>0</v>
      </c>
      <c r="O138" s="3">
        <v>42132</v>
      </c>
      <c r="P138">
        <v>2015</v>
      </c>
      <c r="Q138" t="s">
        <v>275</v>
      </c>
      <c r="R138" s="148">
        <v>45054</v>
      </c>
    </row>
    <row r="139" spans="1:18">
      <c r="A139" s="3">
        <f t="shared" si="13"/>
        <v>45793</v>
      </c>
      <c r="B139">
        <f t="shared" si="10"/>
        <v>5</v>
      </c>
      <c r="C139">
        <f t="shared" si="14"/>
        <v>0</v>
      </c>
      <c r="D139">
        <f t="shared" si="11"/>
        <v>0</v>
      </c>
      <c r="E139">
        <f>IF($B$2&lt;&gt;$I$3,COUNTIF(Tab_fériés[date],A139),0)</f>
        <v>0</v>
      </c>
      <c r="F139">
        <f t="shared" si="12"/>
        <v>0</v>
      </c>
      <c r="O139" s="3">
        <v>42138</v>
      </c>
      <c r="P139">
        <v>2015</v>
      </c>
      <c r="Q139" t="s">
        <v>275</v>
      </c>
      <c r="R139" t="s">
        <v>281</v>
      </c>
    </row>
    <row r="140" spans="1:18">
      <c r="A140" s="3">
        <f t="shared" si="13"/>
        <v>45794</v>
      </c>
      <c r="B140">
        <f t="shared" si="10"/>
        <v>6</v>
      </c>
      <c r="C140">
        <f t="shared" si="14"/>
        <v>0</v>
      </c>
      <c r="D140">
        <f t="shared" si="11"/>
        <v>0</v>
      </c>
      <c r="E140">
        <f>IF($B$2&lt;&gt;$I$3,COUNTIF(Tab_fériés[date],A140),0)</f>
        <v>0</v>
      </c>
      <c r="F140">
        <f t="shared" si="12"/>
        <v>0</v>
      </c>
      <c r="O140" s="3">
        <v>42149</v>
      </c>
      <c r="P140">
        <v>2015</v>
      </c>
      <c r="Q140" t="s">
        <v>275</v>
      </c>
      <c r="R140" t="s">
        <v>282</v>
      </c>
    </row>
    <row r="141" spans="1:18">
      <c r="A141" s="3">
        <f t="shared" si="13"/>
        <v>45795</v>
      </c>
      <c r="B141">
        <f t="shared" si="10"/>
        <v>7</v>
      </c>
      <c r="C141">
        <f t="shared" si="14"/>
        <v>0</v>
      </c>
      <c r="D141">
        <f t="shared" si="11"/>
        <v>0</v>
      </c>
      <c r="E141">
        <f>IF($B$2&lt;&gt;$I$3,COUNTIF(Tab_fériés[date],A141),0)</f>
        <v>0</v>
      </c>
      <c r="F141">
        <f t="shared" si="12"/>
        <v>0</v>
      </c>
      <c r="O141" s="3">
        <v>42199</v>
      </c>
      <c r="P141">
        <v>2015</v>
      </c>
      <c r="Q141" t="s">
        <v>275</v>
      </c>
      <c r="R141" s="148">
        <v>45121</v>
      </c>
    </row>
    <row r="142" spans="1:18">
      <c r="A142" s="3">
        <f t="shared" si="13"/>
        <v>45796</v>
      </c>
      <c r="B142">
        <f t="shared" si="10"/>
        <v>1</v>
      </c>
      <c r="C142">
        <f t="shared" si="14"/>
        <v>0</v>
      </c>
      <c r="D142">
        <f t="shared" si="11"/>
        <v>0</v>
      </c>
      <c r="E142">
        <f>IF($B$2&lt;&gt;$I$3,COUNTIF(Tab_fériés[date],A142),0)</f>
        <v>0</v>
      </c>
      <c r="F142">
        <f t="shared" si="12"/>
        <v>0</v>
      </c>
      <c r="O142" s="3">
        <v>42231</v>
      </c>
      <c r="P142">
        <v>2015</v>
      </c>
      <c r="Q142" t="s">
        <v>275</v>
      </c>
      <c r="R142" t="s">
        <v>284</v>
      </c>
    </row>
    <row r="143" spans="1:18">
      <c r="A143" s="3">
        <f t="shared" si="13"/>
        <v>45797</v>
      </c>
      <c r="B143">
        <f t="shared" si="10"/>
        <v>2</v>
      </c>
      <c r="C143">
        <f t="shared" si="14"/>
        <v>0</v>
      </c>
      <c r="D143">
        <f t="shared" si="11"/>
        <v>0</v>
      </c>
      <c r="E143">
        <f>IF($B$2&lt;&gt;$I$3,COUNTIF(Tab_fériés[date],A143),0)</f>
        <v>0</v>
      </c>
      <c r="F143">
        <f t="shared" si="12"/>
        <v>0</v>
      </c>
      <c r="O143" s="3">
        <v>42309</v>
      </c>
      <c r="P143">
        <v>2015</v>
      </c>
      <c r="Q143" t="s">
        <v>275</v>
      </c>
      <c r="R143" t="s">
        <v>285</v>
      </c>
    </row>
    <row r="144" spans="1:18">
      <c r="A144" s="3">
        <f t="shared" si="13"/>
        <v>45798</v>
      </c>
      <c r="B144">
        <f t="shared" si="10"/>
        <v>3</v>
      </c>
      <c r="C144">
        <f t="shared" si="14"/>
        <v>0</v>
      </c>
      <c r="D144">
        <f t="shared" si="11"/>
        <v>0</v>
      </c>
      <c r="E144">
        <f>IF($B$2&lt;&gt;$I$3,COUNTIF(Tab_fériés[date],A144),0)</f>
        <v>0</v>
      </c>
      <c r="F144">
        <f t="shared" si="12"/>
        <v>0</v>
      </c>
      <c r="O144" s="3">
        <v>42319</v>
      </c>
      <c r="P144">
        <v>2015</v>
      </c>
      <c r="Q144" t="s">
        <v>275</v>
      </c>
      <c r="R144" s="148">
        <v>45241</v>
      </c>
    </row>
    <row r="145" spans="1:18">
      <c r="A145" s="3">
        <f t="shared" si="13"/>
        <v>45799</v>
      </c>
      <c r="B145">
        <f t="shared" si="10"/>
        <v>4</v>
      </c>
      <c r="C145">
        <f t="shared" si="14"/>
        <v>0</v>
      </c>
      <c r="D145">
        <f t="shared" si="11"/>
        <v>0</v>
      </c>
      <c r="E145">
        <f>IF($B$2&lt;&gt;$I$3,COUNTIF(Tab_fériés[date],A145),0)</f>
        <v>0</v>
      </c>
      <c r="F145">
        <f t="shared" si="12"/>
        <v>0</v>
      </c>
      <c r="O145" s="3">
        <v>42363</v>
      </c>
      <c r="P145">
        <v>2015</v>
      </c>
      <c r="Q145" t="s">
        <v>275</v>
      </c>
      <c r="R145" t="s">
        <v>286</v>
      </c>
    </row>
    <row r="146" spans="1:18">
      <c r="A146" s="3">
        <f t="shared" si="13"/>
        <v>45800</v>
      </c>
      <c r="B146">
        <f t="shared" si="10"/>
        <v>5</v>
      </c>
      <c r="C146">
        <f t="shared" si="14"/>
        <v>0</v>
      </c>
      <c r="D146">
        <f t="shared" si="11"/>
        <v>0</v>
      </c>
      <c r="E146">
        <f>IF($B$2&lt;&gt;$I$3,COUNTIF(Tab_fériés[date],A146),0)</f>
        <v>0</v>
      </c>
      <c r="F146">
        <f t="shared" si="12"/>
        <v>0</v>
      </c>
      <c r="O146" s="3">
        <v>42370</v>
      </c>
      <c r="P146">
        <v>2016</v>
      </c>
      <c r="Q146" t="s">
        <v>275</v>
      </c>
      <c r="R146" t="s">
        <v>276</v>
      </c>
    </row>
    <row r="147" spans="1:18">
      <c r="A147" s="3">
        <f t="shared" si="13"/>
        <v>45801</v>
      </c>
      <c r="B147">
        <f t="shared" si="10"/>
        <v>6</v>
      </c>
      <c r="C147">
        <f t="shared" si="14"/>
        <v>0</v>
      </c>
      <c r="D147">
        <f t="shared" si="11"/>
        <v>0</v>
      </c>
      <c r="E147">
        <f>IF($B$2&lt;&gt;$I$3,COUNTIF(Tab_fériés[date],A147),0)</f>
        <v>0</v>
      </c>
      <c r="F147">
        <f t="shared" si="12"/>
        <v>0</v>
      </c>
      <c r="O147" s="3">
        <v>42457</v>
      </c>
      <c r="P147">
        <v>2016</v>
      </c>
      <c r="Q147" t="s">
        <v>275</v>
      </c>
      <c r="R147" t="s">
        <v>277</v>
      </c>
    </row>
    <row r="148" spans="1:18">
      <c r="A148" s="3">
        <f t="shared" si="13"/>
        <v>45802</v>
      </c>
      <c r="B148">
        <f t="shared" si="10"/>
        <v>7</v>
      </c>
      <c r="C148">
        <f t="shared" si="14"/>
        <v>0</v>
      </c>
      <c r="D148">
        <f t="shared" si="11"/>
        <v>0</v>
      </c>
      <c r="E148">
        <f>IF($B$2&lt;&gt;$I$3,COUNTIF(Tab_fériés[date],A148),0)</f>
        <v>0</v>
      </c>
      <c r="F148">
        <f t="shared" si="12"/>
        <v>0</v>
      </c>
      <c r="O148" s="3">
        <v>42491</v>
      </c>
      <c r="P148">
        <v>2016</v>
      </c>
      <c r="Q148" t="s">
        <v>275</v>
      </c>
      <c r="R148" t="s">
        <v>278</v>
      </c>
    </row>
    <row r="149" spans="1:18">
      <c r="A149" s="3">
        <f t="shared" si="13"/>
        <v>45803</v>
      </c>
      <c r="B149">
        <f t="shared" si="10"/>
        <v>1</v>
      </c>
      <c r="C149">
        <f t="shared" si="14"/>
        <v>0</v>
      </c>
      <c r="D149">
        <f t="shared" si="11"/>
        <v>0</v>
      </c>
      <c r="E149">
        <f>IF($B$2&lt;&gt;$I$3,COUNTIF(Tab_fériés[date],A149),0)</f>
        <v>0</v>
      </c>
      <c r="F149">
        <f t="shared" si="12"/>
        <v>0</v>
      </c>
      <c r="O149" s="3">
        <v>42495</v>
      </c>
      <c r="P149">
        <v>2016</v>
      </c>
      <c r="Q149" t="s">
        <v>275</v>
      </c>
      <c r="R149" t="s">
        <v>281</v>
      </c>
    </row>
    <row r="150" spans="1:18">
      <c r="A150" s="3">
        <f t="shared" si="13"/>
        <v>45804</v>
      </c>
      <c r="B150">
        <f t="shared" si="10"/>
        <v>2</v>
      </c>
      <c r="C150">
        <f t="shared" si="14"/>
        <v>0</v>
      </c>
      <c r="D150">
        <f t="shared" si="11"/>
        <v>0</v>
      </c>
      <c r="E150">
        <f>IF($B$2&lt;&gt;$I$3,COUNTIF(Tab_fériés[date],A150),0)</f>
        <v>0</v>
      </c>
      <c r="F150">
        <f t="shared" si="12"/>
        <v>0</v>
      </c>
      <c r="O150" s="3">
        <v>42498</v>
      </c>
      <c r="P150">
        <v>2016</v>
      </c>
      <c r="Q150" t="s">
        <v>275</v>
      </c>
      <c r="R150" s="148">
        <v>45054</v>
      </c>
    </row>
    <row r="151" spans="1:18">
      <c r="A151" s="3">
        <f t="shared" si="13"/>
        <v>45805</v>
      </c>
      <c r="B151">
        <f t="shared" si="10"/>
        <v>3</v>
      </c>
      <c r="C151">
        <f t="shared" si="14"/>
        <v>0</v>
      </c>
      <c r="D151">
        <f t="shared" si="11"/>
        <v>0</v>
      </c>
      <c r="E151">
        <f>IF($B$2&lt;&gt;$I$3,COUNTIF(Tab_fériés[date],A151),0)</f>
        <v>0</v>
      </c>
      <c r="F151">
        <f t="shared" si="12"/>
        <v>0</v>
      </c>
      <c r="O151" s="3">
        <v>42506</v>
      </c>
      <c r="P151">
        <v>2016</v>
      </c>
      <c r="Q151" t="s">
        <v>275</v>
      </c>
      <c r="R151" t="s">
        <v>282</v>
      </c>
    </row>
    <row r="152" spans="1:18">
      <c r="A152" s="3">
        <f t="shared" si="13"/>
        <v>45806</v>
      </c>
      <c r="B152">
        <f t="shared" si="10"/>
        <v>4</v>
      </c>
      <c r="C152">
        <f t="shared" si="14"/>
        <v>0</v>
      </c>
      <c r="D152">
        <f t="shared" si="11"/>
        <v>0</v>
      </c>
      <c r="E152">
        <f>IF($B$2&lt;&gt;$I$3,COUNTIF(Tab_fériés[date],A152),0)</f>
        <v>0</v>
      </c>
      <c r="F152">
        <f t="shared" si="12"/>
        <v>0</v>
      </c>
      <c r="O152" s="3">
        <v>42565</v>
      </c>
      <c r="P152">
        <v>2016</v>
      </c>
      <c r="Q152" t="s">
        <v>275</v>
      </c>
      <c r="R152" s="148">
        <v>45121</v>
      </c>
    </row>
    <row r="153" spans="1:18">
      <c r="A153" s="3">
        <f t="shared" si="13"/>
        <v>45807</v>
      </c>
      <c r="B153">
        <f t="shared" si="10"/>
        <v>5</v>
      </c>
      <c r="C153">
        <f t="shared" si="14"/>
        <v>0</v>
      </c>
      <c r="D153">
        <f t="shared" si="11"/>
        <v>0</v>
      </c>
      <c r="E153">
        <f>IF($B$2&lt;&gt;$I$3,COUNTIF(Tab_fériés[date],A153),0)</f>
        <v>0</v>
      </c>
      <c r="F153">
        <f t="shared" si="12"/>
        <v>0</v>
      </c>
      <c r="O153" s="3">
        <v>42597</v>
      </c>
      <c r="P153">
        <v>2016</v>
      </c>
      <c r="Q153" t="s">
        <v>275</v>
      </c>
      <c r="R153" t="s">
        <v>284</v>
      </c>
    </row>
    <row r="154" spans="1:18">
      <c r="A154" s="3">
        <f t="shared" si="13"/>
        <v>45808</v>
      </c>
      <c r="B154">
        <f t="shared" si="10"/>
        <v>6</v>
      </c>
      <c r="C154">
        <f t="shared" si="14"/>
        <v>0</v>
      </c>
      <c r="D154">
        <f t="shared" si="11"/>
        <v>0</v>
      </c>
      <c r="E154">
        <f>IF($B$2&lt;&gt;$I$3,COUNTIF(Tab_fériés[date],A154),0)</f>
        <v>0</v>
      </c>
      <c r="F154">
        <f t="shared" si="12"/>
        <v>0</v>
      </c>
      <c r="O154" s="3">
        <v>42675</v>
      </c>
      <c r="P154">
        <v>2016</v>
      </c>
      <c r="Q154" t="s">
        <v>275</v>
      </c>
      <c r="R154" t="s">
        <v>285</v>
      </c>
    </row>
    <row r="155" spans="1:18">
      <c r="A155" s="3">
        <f t="shared" si="13"/>
        <v>45809</v>
      </c>
      <c r="B155">
        <f t="shared" si="10"/>
        <v>7</v>
      </c>
      <c r="C155">
        <f t="shared" si="14"/>
        <v>0</v>
      </c>
      <c r="D155">
        <f t="shared" si="11"/>
        <v>0</v>
      </c>
      <c r="E155">
        <f>IF($B$2&lt;&gt;$I$3,COUNTIF(Tab_fériés[date],A155),0)</f>
        <v>0</v>
      </c>
      <c r="F155">
        <f t="shared" si="12"/>
        <v>0</v>
      </c>
      <c r="O155" s="3">
        <v>42685</v>
      </c>
      <c r="P155">
        <v>2016</v>
      </c>
      <c r="Q155" t="s">
        <v>275</v>
      </c>
      <c r="R155" s="148">
        <v>45241</v>
      </c>
    </row>
    <row r="156" spans="1:18">
      <c r="A156" s="3">
        <f t="shared" si="13"/>
        <v>45810</v>
      </c>
      <c r="B156">
        <f t="shared" si="10"/>
        <v>1</v>
      </c>
      <c r="C156">
        <f t="shared" si="14"/>
        <v>0</v>
      </c>
      <c r="D156">
        <f t="shared" si="11"/>
        <v>0</v>
      </c>
      <c r="E156">
        <f>IF($B$2&lt;&gt;$I$3,COUNTIF(Tab_fériés[date],A156),0)</f>
        <v>0</v>
      </c>
      <c r="F156">
        <f t="shared" si="12"/>
        <v>0</v>
      </c>
      <c r="O156" s="3">
        <v>42729</v>
      </c>
      <c r="P156">
        <v>2016</v>
      </c>
      <c r="Q156" t="s">
        <v>275</v>
      </c>
      <c r="R156" t="s">
        <v>286</v>
      </c>
    </row>
    <row r="157" spans="1:18">
      <c r="A157" s="3">
        <f t="shared" si="13"/>
        <v>45811</v>
      </c>
      <c r="B157">
        <f t="shared" si="10"/>
        <v>2</v>
      </c>
      <c r="C157">
        <f t="shared" si="14"/>
        <v>0</v>
      </c>
      <c r="D157">
        <f t="shared" si="11"/>
        <v>0</v>
      </c>
      <c r="E157">
        <f>IF($B$2&lt;&gt;$I$3,COUNTIF(Tab_fériés[date],A157),0)</f>
        <v>0</v>
      </c>
      <c r="F157">
        <f t="shared" si="12"/>
        <v>0</v>
      </c>
      <c r="O157" s="3">
        <v>42736</v>
      </c>
      <c r="P157">
        <v>2017</v>
      </c>
      <c r="Q157" t="s">
        <v>275</v>
      </c>
      <c r="R157" t="s">
        <v>276</v>
      </c>
    </row>
    <row r="158" spans="1:18">
      <c r="A158" s="3">
        <f t="shared" si="13"/>
        <v>45812</v>
      </c>
      <c r="B158">
        <f t="shared" si="10"/>
        <v>3</v>
      </c>
      <c r="C158">
        <f t="shared" si="14"/>
        <v>0</v>
      </c>
      <c r="D158">
        <f t="shared" si="11"/>
        <v>0</v>
      </c>
      <c r="E158">
        <f>IF($B$2&lt;&gt;$I$3,COUNTIF(Tab_fériés[date],A158),0)</f>
        <v>0</v>
      </c>
      <c r="F158">
        <f t="shared" si="12"/>
        <v>0</v>
      </c>
      <c r="O158" s="3">
        <v>42842</v>
      </c>
      <c r="P158">
        <v>2017</v>
      </c>
      <c r="Q158" t="s">
        <v>275</v>
      </c>
      <c r="R158" t="s">
        <v>277</v>
      </c>
    </row>
    <row r="159" spans="1:18">
      <c r="A159" s="3">
        <f t="shared" si="13"/>
        <v>45813</v>
      </c>
      <c r="B159">
        <f t="shared" si="10"/>
        <v>4</v>
      </c>
      <c r="C159">
        <f t="shared" si="14"/>
        <v>0</v>
      </c>
      <c r="D159">
        <f t="shared" si="11"/>
        <v>0</v>
      </c>
      <c r="E159">
        <f>IF($B$2&lt;&gt;$I$3,COUNTIF(Tab_fériés[date],A159),0)</f>
        <v>0</v>
      </c>
      <c r="F159">
        <f t="shared" si="12"/>
        <v>0</v>
      </c>
      <c r="O159" s="3">
        <v>42856</v>
      </c>
      <c r="P159">
        <v>2017</v>
      </c>
      <c r="Q159" t="s">
        <v>275</v>
      </c>
      <c r="R159" t="s">
        <v>278</v>
      </c>
    </row>
    <row r="160" spans="1:18">
      <c r="A160" s="3">
        <f t="shared" si="13"/>
        <v>45814</v>
      </c>
      <c r="B160">
        <f t="shared" si="10"/>
        <v>5</v>
      </c>
      <c r="C160">
        <f t="shared" si="14"/>
        <v>0</v>
      </c>
      <c r="D160">
        <f t="shared" si="11"/>
        <v>0</v>
      </c>
      <c r="E160">
        <f>IF($B$2&lt;&gt;$I$3,COUNTIF(Tab_fériés[date],A160),0)</f>
        <v>0</v>
      </c>
      <c r="F160">
        <f t="shared" si="12"/>
        <v>0</v>
      </c>
      <c r="O160" s="3">
        <v>42863</v>
      </c>
      <c r="P160">
        <v>2017</v>
      </c>
      <c r="Q160" t="s">
        <v>275</v>
      </c>
      <c r="R160" s="148">
        <v>45054</v>
      </c>
    </row>
    <row r="161" spans="1:18">
      <c r="A161" s="3">
        <f t="shared" si="13"/>
        <v>45815</v>
      </c>
      <c r="B161">
        <f t="shared" si="10"/>
        <v>6</v>
      </c>
      <c r="C161">
        <f t="shared" si="14"/>
        <v>0</v>
      </c>
      <c r="D161">
        <f t="shared" si="11"/>
        <v>0</v>
      </c>
      <c r="E161">
        <f>IF($B$2&lt;&gt;$I$3,COUNTIF(Tab_fériés[date],A161),0)</f>
        <v>0</v>
      </c>
      <c r="F161">
        <f t="shared" si="12"/>
        <v>0</v>
      </c>
      <c r="O161" s="3">
        <v>42880</v>
      </c>
      <c r="P161">
        <v>2017</v>
      </c>
      <c r="Q161" t="s">
        <v>275</v>
      </c>
      <c r="R161" t="s">
        <v>281</v>
      </c>
    </row>
    <row r="162" spans="1:18">
      <c r="A162" s="3">
        <f t="shared" si="13"/>
        <v>45816</v>
      </c>
      <c r="B162">
        <f t="shared" si="10"/>
        <v>7</v>
      </c>
      <c r="C162">
        <f t="shared" si="14"/>
        <v>0</v>
      </c>
      <c r="D162">
        <f t="shared" si="11"/>
        <v>0</v>
      </c>
      <c r="E162">
        <f>IF($B$2&lt;&gt;$I$3,COUNTIF(Tab_fériés[date],A162),0)</f>
        <v>0</v>
      </c>
      <c r="F162">
        <f t="shared" si="12"/>
        <v>0</v>
      </c>
      <c r="O162" s="3">
        <v>42891</v>
      </c>
      <c r="P162">
        <v>2017</v>
      </c>
      <c r="Q162" t="s">
        <v>275</v>
      </c>
      <c r="R162" t="s">
        <v>282</v>
      </c>
    </row>
    <row r="163" spans="1:18">
      <c r="A163" s="3">
        <f t="shared" si="13"/>
        <v>45817</v>
      </c>
      <c r="B163">
        <f t="shared" si="10"/>
        <v>1</v>
      </c>
      <c r="C163">
        <f t="shared" si="14"/>
        <v>0</v>
      </c>
      <c r="D163">
        <f t="shared" si="11"/>
        <v>0</v>
      </c>
      <c r="E163">
        <f>IF($B$2&lt;&gt;$I$3,COUNTIF(Tab_fériés[date],A163),0)</f>
        <v>0</v>
      </c>
      <c r="F163">
        <f t="shared" si="12"/>
        <v>0</v>
      </c>
      <c r="O163" s="3">
        <v>42930</v>
      </c>
      <c r="P163">
        <v>2017</v>
      </c>
      <c r="Q163" t="s">
        <v>275</v>
      </c>
      <c r="R163" s="148">
        <v>45121</v>
      </c>
    </row>
    <row r="164" spans="1:18">
      <c r="A164" s="3">
        <f t="shared" si="13"/>
        <v>45818</v>
      </c>
      <c r="B164">
        <f t="shared" si="10"/>
        <v>2</v>
      </c>
      <c r="C164">
        <f t="shared" si="14"/>
        <v>0</v>
      </c>
      <c r="D164">
        <f t="shared" si="11"/>
        <v>0</v>
      </c>
      <c r="E164">
        <f>IF($B$2&lt;&gt;$I$3,COUNTIF(Tab_fériés[date],A164),0)</f>
        <v>0</v>
      </c>
      <c r="F164">
        <f t="shared" si="12"/>
        <v>0</v>
      </c>
      <c r="O164" s="3">
        <v>42962</v>
      </c>
      <c r="P164">
        <v>2017</v>
      </c>
      <c r="Q164" t="s">
        <v>275</v>
      </c>
      <c r="R164" t="s">
        <v>284</v>
      </c>
    </row>
    <row r="165" spans="1:18">
      <c r="A165" s="3">
        <f t="shared" si="13"/>
        <v>45819</v>
      </c>
      <c r="B165">
        <f t="shared" si="10"/>
        <v>3</v>
      </c>
      <c r="C165">
        <f t="shared" si="14"/>
        <v>0</v>
      </c>
      <c r="D165">
        <f t="shared" si="11"/>
        <v>0</v>
      </c>
      <c r="E165">
        <f>IF($B$2&lt;&gt;$I$3,COUNTIF(Tab_fériés[date],A165),0)</f>
        <v>0</v>
      </c>
      <c r="F165">
        <f t="shared" si="12"/>
        <v>0</v>
      </c>
      <c r="O165" s="3">
        <v>43040</v>
      </c>
      <c r="P165">
        <v>2017</v>
      </c>
      <c r="Q165" t="s">
        <v>275</v>
      </c>
      <c r="R165" t="s">
        <v>285</v>
      </c>
    </row>
    <row r="166" spans="1:18">
      <c r="A166" s="3">
        <f t="shared" si="13"/>
        <v>45820</v>
      </c>
      <c r="B166">
        <f t="shared" si="10"/>
        <v>4</v>
      </c>
      <c r="C166">
        <f t="shared" si="14"/>
        <v>0</v>
      </c>
      <c r="D166">
        <f t="shared" si="11"/>
        <v>0</v>
      </c>
      <c r="E166">
        <f>IF($B$2&lt;&gt;$I$3,COUNTIF(Tab_fériés[date],A166),0)</f>
        <v>0</v>
      </c>
      <c r="F166">
        <f t="shared" si="12"/>
        <v>0</v>
      </c>
      <c r="O166" s="3">
        <v>43050</v>
      </c>
      <c r="P166">
        <v>2017</v>
      </c>
      <c r="Q166" t="s">
        <v>275</v>
      </c>
      <c r="R166" s="148">
        <v>45241</v>
      </c>
    </row>
    <row r="167" spans="1:18">
      <c r="A167" s="3">
        <f t="shared" si="13"/>
        <v>45821</v>
      </c>
      <c r="B167">
        <f t="shared" si="10"/>
        <v>5</v>
      </c>
      <c r="C167">
        <f t="shared" si="14"/>
        <v>0</v>
      </c>
      <c r="D167">
        <f t="shared" si="11"/>
        <v>0</v>
      </c>
      <c r="E167">
        <f>IF($B$2&lt;&gt;$I$3,COUNTIF(Tab_fériés[date],A167),0)</f>
        <v>0</v>
      </c>
      <c r="F167">
        <f t="shared" si="12"/>
        <v>0</v>
      </c>
      <c r="O167" s="3">
        <v>43094</v>
      </c>
      <c r="P167">
        <v>2017</v>
      </c>
      <c r="Q167" t="s">
        <v>275</v>
      </c>
      <c r="R167" t="s">
        <v>286</v>
      </c>
    </row>
    <row r="168" spans="1:18">
      <c r="A168" s="3">
        <f t="shared" si="13"/>
        <v>45822</v>
      </c>
      <c r="B168">
        <f t="shared" si="10"/>
        <v>6</v>
      </c>
      <c r="C168">
        <f t="shared" si="14"/>
        <v>0</v>
      </c>
      <c r="D168">
        <f t="shared" si="11"/>
        <v>0</v>
      </c>
      <c r="E168">
        <f>IF($B$2&lt;&gt;$I$3,COUNTIF(Tab_fériés[date],A168),0)</f>
        <v>0</v>
      </c>
      <c r="F168">
        <f t="shared" si="12"/>
        <v>0</v>
      </c>
      <c r="O168" s="3">
        <v>43101</v>
      </c>
      <c r="P168">
        <v>2018</v>
      </c>
      <c r="Q168" t="s">
        <v>275</v>
      </c>
      <c r="R168" t="s">
        <v>276</v>
      </c>
    </row>
    <row r="169" spans="1:18">
      <c r="A169" s="3">
        <f t="shared" si="13"/>
        <v>45823</v>
      </c>
      <c r="B169">
        <f t="shared" si="10"/>
        <v>7</v>
      </c>
      <c r="C169">
        <f t="shared" si="14"/>
        <v>0</v>
      </c>
      <c r="D169">
        <f t="shared" si="11"/>
        <v>0</v>
      </c>
      <c r="E169">
        <f>IF($B$2&lt;&gt;$I$3,COUNTIF(Tab_fériés[date],A169),0)</f>
        <v>0</v>
      </c>
      <c r="F169">
        <f t="shared" si="12"/>
        <v>0</v>
      </c>
      <c r="O169" s="3">
        <v>43192</v>
      </c>
      <c r="P169">
        <v>2018</v>
      </c>
      <c r="Q169" t="s">
        <v>275</v>
      </c>
      <c r="R169" t="s">
        <v>277</v>
      </c>
    </row>
    <row r="170" spans="1:18">
      <c r="A170" s="3">
        <f t="shared" si="13"/>
        <v>45824</v>
      </c>
      <c r="B170">
        <f t="shared" si="10"/>
        <v>1</v>
      </c>
      <c r="C170">
        <f t="shared" si="14"/>
        <v>0</v>
      </c>
      <c r="D170">
        <f t="shared" si="11"/>
        <v>0</v>
      </c>
      <c r="E170">
        <f>IF($B$2&lt;&gt;$I$3,COUNTIF(Tab_fériés[date],A170),0)</f>
        <v>0</v>
      </c>
      <c r="F170">
        <f t="shared" si="12"/>
        <v>0</v>
      </c>
      <c r="O170" s="3">
        <v>43221</v>
      </c>
      <c r="P170">
        <v>2018</v>
      </c>
      <c r="Q170" t="s">
        <v>275</v>
      </c>
      <c r="R170" t="s">
        <v>278</v>
      </c>
    </row>
    <row r="171" spans="1:18">
      <c r="A171" s="3">
        <f t="shared" si="13"/>
        <v>45825</v>
      </c>
      <c r="B171">
        <f t="shared" si="10"/>
        <v>2</v>
      </c>
      <c r="C171">
        <f t="shared" si="14"/>
        <v>0</v>
      </c>
      <c r="D171">
        <f t="shared" si="11"/>
        <v>0</v>
      </c>
      <c r="E171">
        <f>IF($B$2&lt;&gt;$I$3,COUNTIF(Tab_fériés[date],A171),0)</f>
        <v>0</v>
      </c>
      <c r="F171">
        <f t="shared" si="12"/>
        <v>0</v>
      </c>
      <c r="O171" s="3">
        <v>43228</v>
      </c>
      <c r="P171">
        <v>2018</v>
      </c>
      <c r="Q171" t="s">
        <v>275</v>
      </c>
      <c r="R171" s="148">
        <v>45054</v>
      </c>
    </row>
    <row r="172" spans="1:18">
      <c r="A172" s="3">
        <f t="shared" si="13"/>
        <v>45826</v>
      </c>
      <c r="B172">
        <f t="shared" si="10"/>
        <v>3</v>
      </c>
      <c r="C172">
        <f t="shared" si="14"/>
        <v>0</v>
      </c>
      <c r="D172">
        <f t="shared" si="11"/>
        <v>0</v>
      </c>
      <c r="E172">
        <f>IF($B$2&lt;&gt;$I$3,COUNTIF(Tab_fériés[date],A172),0)</f>
        <v>0</v>
      </c>
      <c r="F172">
        <f t="shared" si="12"/>
        <v>0</v>
      </c>
      <c r="O172" s="3">
        <v>43230</v>
      </c>
      <c r="P172">
        <v>2018</v>
      </c>
      <c r="Q172" t="s">
        <v>275</v>
      </c>
      <c r="R172" t="s">
        <v>281</v>
      </c>
    </row>
    <row r="173" spans="1:18">
      <c r="A173" s="3">
        <f t="shared" si="13"/>
        <v>45827</v>
      </c>
      <c r="B173">
        <f t="shared" si="10"/>
        <v>4</v>
      </c>
      <c r="C173">
        <f t="shared" si="14"/>
        <v>0</v>
      </c>
      <c r="D173">
        <f t="shared" si="11"/>
        <v>0</v>
      </c>
      <c r="E173">
        <f>IF($B$2&lt;&gt;$I$3,COUNTIF(Tab_fériés[date],A173),0)</f>
        <v>0</v>
      </c>
      <c r="F173">
        <f t="shared" si="12"/>
        <v>0</v>
      </c>
      <c r="O173" s="3">
        <v>43241</v>
      </c>
      <c r="P173">
        <v>2018</v>
      </c>
      <c r="Q173" t="s">
        <v>275</v>
      </c>
      <c r="R173" t="s">
        <v>282</v>
      </c>
    </row>
    <row r="174" spans="1:18">
      <c r="A174" s="3">
        <f t="shared" si="13"/>
        <v>45828</v>
      </c>
      <c r="B174">
        <f t="shared" si="10"/>
        <v>5</v>
      </c>
      <c r="C174">
        <f t="shared" si="14"/>
        <v>0</v>
      </c>
      <c r="D174">
        <f t="shared" si="11"/>
        <v>0</v>
      </c>
      <c r="E174">
        <f>IF($B$2&lt;&gt;$I$3,COUNTIF(Tab_fériés[date],A174),0)</f>
        <v>0</v>
      </c>
      <c r="F174">
        <f t="shared" si="12"/>
        <v>0</v>
      </c>
      <c r="O174" s="3">
        <v>43295</v>
      </c>
      <c r="P174">
        <v>2018</v>
      </c>
      <c r="Q174" t="s">
        <v>275</v>
      </c>
      <c r="R174" s="148">
        <v>45121</v>
      </c>
    </row>
    <row r="175" spans="1:18">
      <c r="A175" s="3">
        <f t="shared" si="13"/>
        <v>45829</v>
      </c>
      <c r="B175">
        <f t="shared" si="10"/>
        <v>6</v>
      </c>
      <c r="C175">
        <f t="shared" si="14"/>
        <v>0</v>
      </c>
      <c r="D175">
        <f t="shared" si="11"/>
        <v>0</v>
      </c>
      <c r="E175">
        <f>IF($B$2&lt;&gt;$I$3,COUNTIF(Tab_fériés[date],A175),0)</f>
        <v>0</v>
      </c>
      <c r="F175">
        <f t="shared" si="12"/>
        <v>0</v>
      </c>
      <c r="O175" s="3">
        <v>43327</v>
      </c>
      <c r="P175">
        <v>2018</v>
      </c>
      <c r="Q175" t="s">
        <v>275</v>
      </c>
      <c r="R175" t="s">
        <v>284</v>
      </c>
    </row>
    <row r="176" spans="1:18">
      <c r="A176" s="3">
        <f t="shared" si="13"/>
        <v>45830</v>
      </c>
      <c r="B176">
        <f t="shared" si="10"/>
        <v>7</v>
      </c>
      <c r="C176">
        <f t="shared" si="14"/>
        <v>0</v>
      </c>
      <c r="D176">
        <f t="shared" si="11"/>
        <v>0</v>
      </c>
      <c r="E176">
        <f>IF($B$2&lt;&gt;$I$3,COUNTIF(Tab_fériés[date],A176),0)</f>
        <v>0</v>
      </c>
      <c r="F176">
        <f t="shared" si="12"/>
        <v>0</v>
      </c>
      <c r="O176" s="3">
        <v>43405</v>
      </c>
      <c r="P176">
        <v>2018</v>
      </c>
      <c r="Q176" t="s">
        <v>275</v>
      </c>
      <c r="R176" t="s">
        <v>285</v>
      </c>
    </row>
    <row r="177" spans="1:18">
      <c r="A177" s="3">
        <f t="shared" si="13"/>
        <v>45831</v>
      </c>
      <c r="B177">
        <f t="shared" si="10"/>
        <v>1</v>
      </c>
      <c r="C177">
        <f t="shared" si="14"/>
        <v>0</v>
      </c>
      <c r="D177">
        <f t="shared" si="11"/>
        <v>0</v>
      </c>
      <c r="E177">
        <f>IF($B$2&lt;&gt;$I$3,COUNTIF(Tab_fériés[date],A177),0)</f>
        <v>0</v>
      </c>
      <c r="F177">
        <f t="shared" si="12"/>
        <v>0</v>
      </c>
      <c r="O177" s="3">
        <v>43415</v>
      </c>
      <c r="P177">
        <v>2018</v>
      </c>
      <c r="Q177" t="s">
        <v>275</v>
      </c>
      <c r="R177" s="148">
        <v>45241</v>
      </c>
    </row>
    <row r="178" spans="1:18">
      <c r="A178" s="3">
        <f t="shared" si="13"/>
        <v>45832</v>
      </c>
      <c r="B178">
        <f t="shared" si="10"/>
        <v>2</v>
      </c>
      <c r="C178">
        <f t="shared" si="14"/>
        <v>0</v>
      </c>
      <c r="D178">
        <f t="shared" si="11"/>
        <v>0</v>
      </c>
      <c r="E178">
        <f>IF($B$2&lt;&gt;$I$3,COUNTIF(Tab_fériés[date],A178),0)</f>
        <v>0</v>
      </c>
      <c r="F178">
        <f t="shared" si="12"/>
        <v>0</v>
      </c>
      <c r="O178" s="3">
        <v>43459</v>
      </c>
      <c r="P178">
        <v>2018</v>
      </c>
      <c r="Q178" t="s">
        <v>275</v>
      </c>
      <c r="R178" t="s">
        <v>286</v>
      </c>
    </row>
    <row r="179" spans="1:18">
      <c r="A179" s="3">
        <f t="shared" si="13"/>
        <v>45833</v>
      </c>
      <c r="B179">
        <f t="shared" si="10"/>
        <v>3</v>
      </c>
      <c r="C179">
        <f t="shared" si="14"/>
        <v>0</v>
      </c>
      <c r="D179">
        <f t="shared" si="11"/>
        <v>0</v>
      </c>
      <c r="E179">
        <f>IF($B$2&lt;&gt;$I$3,COUNTIF(Tab_fériés[date],A179),0)</f>
        <v>0</v>
      </c>
      <c r="F179">
        <f t="shared" si="12"/>
        <v>0</v>
      </c>
      <c r="O179" s="3">
        <v>43466</v>
      </c>
      <c r="P179">
        <v>2019</v>
      </c>
      <c r="Q179" t="s">
        <v>275</v>
      </c>
      <c r="R179" t="s">
        <v>276</v>
      </c>
    </row>
    <row r="180" spans="1:18">
      <c r="A180" s="3">
        <f t="shared" si="13"/>
        <v>45834</v>
      </c>
      <c r="B180">
        <f t="shared" si="10"/>
        <v>4</v>
      </c>
      <c r="C180">
        <f t="shared" si="14"/>
        <v>0</v>
      </c>
      <c r="D180">
        <f t="shared" si="11"/>
        <v>0</v>
      </c>
      <c r="E180">
        <f>IF($B$2&lt;&gt;$I$3,COUNTIF(Tab_fériés[date],A180),0)</f>
        <v>0</v>
      </c>
      <c r="F180">
        <f t="shared" si="12"/>
        <v>0</v>
      </c>
      <c r="O180" s="3">
        <v>43577</v>
      </c>
      <c r="P180">
        <v>2019</v>
      </c>
      <c r="Q180" t="s">
        <v>275</v>
      </c>
      <c r="R180" t="s">
        <v>277</v>
      </c>
    </row>
    <row r="181" spans="1:18">
      <c r="A181" s="3">
        <f t="shared" si="13"/>
        <v>45835</v>
      </c>
      <c r="B181">
        <f t="shared" si="10"/>
        <v>5</v>
      </c>
      <c r="C181">
        <f t="shared" si="14"/>
        <v>0</v>
      </c>
      <c r="D181">
        <f t="shared" si="11"/>
        <v>0</v>
      </c>
      <c r="E181">
        <f>IF($B$2&lt;&gt;$I$3,COUNTIF(Tab_fériés[date],A181),0)</f>
        <v>0</v>
      </c>
      <c r="F181">
        <f t="shared" si="12"/>
        <v>0</v>
      </c>
      <c r="O181" s="3">
        <v>43586</v>
      </c>
      <c r="P181">
        <v>2019</v>
      </c>
      <c r="Q181" t="s">
        <v>275</v>
      </c>
      <c r="R181" t="s">
        <v>278</v>
      </c>
    </row>
    <row r="182" spans="1:18">
      <c r="A182" s="3">
        <f t="shared" si="13"/>
        <v>45836</v>
      </c>
      <c r="B182">
        <f t="shared" si="10"/>
        <v>6</v>
      </c>
      <c r="C182">
        <f t="shared" si="14"/>
        <v>0</v>
      </c>
      <c r="D182">
        <f t="shared" si="11"/>
        <v>0</v>
      </c>
      <c r="E182">
        <f>IF($B$2&lt;&gt;$I$3,COUNTIF(Tab_fériés[date],A182),0)</f>
        <v>0</v>
      </c>
      <c r="F182">
        <f t="shared" si="12"/>
        <v>0</v>
      </c>
      <c r="O182" s="3">
        <v>43593</v>
      </c>
      <c r="P182">
        <v>2019</v>
      </c>
      <c r="Q182" t="s">
        <v>275</v>
      </c>
      <c r="R182" s="148">
        <v>45054</v>
      </c>
    </row>
    <row r="183" spans="1:18">
      <c r="A183" s="3">
        <f t="shared" si="13"/>
        <v>45837</v>
      </c>
      <c r="B183">
        <f t="shared" si="10"/>
        <v>7</v>
      </c>
      <c r="C183">
        <f t="shared" si="14"/>
        <v>0</v>
      </c>
      <c r="D183">
        <f t="shared" si="11"/>
        <v>0</v>
      </c>
      <c r="E183">
        <f>IF($B$2&lt;&gt;$I$3,COUNTIF(Tab_fériés[date],A183),0)</f>
        <v>0</v>
      </c>
      <c r="F183">
        <f t="shared" si="12"/>
        <v>0</v>
      </c>
      <c r="O183" s="3">
        <v>43615</v>
      </c>
      <c r="P183">
        <v>2019</v>
      </c>
      <c r="Q183" t="s">
        <v>275</v>
      </c>
      <c r="R183" t="s">
        <v>281</v>
      </c>
    </row>
    <row r="184" spans="1:18">
      <c r="A184" s="3">
        <f t="shared" si="13"/>
        <v>45838</v>
      </c>
      <c r="B184">
        <f t="shared" si="10"/>
        <v>1</v>
      </c>
      <c r="C184">
        <f t="shared" si="14"/>
        <v>0</v>
      </c>
      <c r="D184">
        <f t="shared" si="11"/>
        <v>0</v>
      </c>
      <c r="E184">
        <f>IF($B$2&lt;&gt;$I$3,COUNTIF(Tab_fériés[date],A184),0)</f>
        <v>0</v>
      </c>
      <c r="F184">
        <f t="shared" si="12"/>
        <v>0</v>
      </c>
      <c r="O184" s="3">
        <v>43626</v>
      </c>
      <c r="P184">
        <v>2019</v>
      </c>
      <c r="Q184" t="s">
        <v>275</v>
      </c>
      <c r="R184" t="s">
        <v>282</v>
      </c>
    </row>
    <row r="185" spans="1:18">
      <c r="A185" s="3">
        <f t="shared" si="13"/>
        <v>45839</v>
      </c>
      <c r="B185">
        <f t="shared" si="10"/>
        <v>2</v>
      </c>
      <c r="C185">
        <f t="shared" si="14"/>
        <v>0</v>
      </c>
      <c r="D185">
        <f t="shared" si="11"/>
        <v>0</v>
      </c>
      <c r="E185">
        <f>IF($B$2&lt;&gt;$I$3,COUNTIF(Tab_fériés[date],A185),0)</f>
        <v>0</v>
      </c>
      <c r="F185">
        <f t="shared" si="12"/>
        <v>0</v>
      </c>
      <c r="O185" s="3">
        <v>43660</v>
      </c>
      <c r="P185">
        <v>2019</v>
      </c>
      <c r="Q185" t="s">
        <v>275</v>
      </c>
      <c r="R185" s="148">
        <v>45121</v>
      </c>
    </row>
    <row r="186" spans="1:18">
      <c r="A186" s="3">
        <f t="shared" si="13"/>
        <v>45840</v>
      </c>
      <c r="B186">
        <f t="shared" si="10"/>
        <v>3</v>
      </c>
      <c r="C186">
        <f t="shared" si="14"/>
        <v>0</v>
      </c>
      <c r="D186">
        <f t="shared" si="11"/>
        <v>0</v>
      </c>
      <c r="E186">
        <f>IF($B$2&lt;&gt;$I$3,COUNTIF(Tab_fériés[date],A186),0)</f>
        <v>0</v>
      </c>
      <c r="F186">
        <f t="shared" si="12"/>
        <v>0</v>
      </c>
      <c r="O186" s="3">
        <v>43692</v>
      </c>
      <c r="P186">
        <v>2019</v>
      </c>
      <c r="Q186" t="s">
        <v>275</v>
      </c>
      <c r="R186" t="s">
        <v>284</v>
      </c>
    </row>
    <row r="187" spans="1:18">
      <c r="A187" s="3">
        <f t="shared" si="13"/>
        <v>45841</v>
      </c>
      <c r="B187">
        <f t="shared" si="10"/>
        <v>4</v>
      </c>
      <c r="C187">
        <f t="shared" si="14"/>
        <v>0</v>
      </c>
      <c r="D187">
        <f t="shared" si="11"/>
        <v>0</v>
      </c>
      <c r="E187">
        <f>IF($B$2&lt;&gt;$I$3,COUNTIF(Tab_fériés[date],A187),0)</f>
        <v>0</v>
      </c>
      <c r="F187">
        <f t="shared" si="12"/>
        <v>0</v>
      </c>
      <c r="O187" s="3">
        <v>43770</v>
      </c>
      <c r="P187">
        <v>2019</v>
      </c>
      <c r="Q187" t="s">
        <v>275</v>
      </c>
      <c r="R187" t="s">
        <v>285</v>
      </c>
    </row>
    <row r="188" spans="1:18">
      <c r="A188" s="3">
        <f t="shared" si="13"/>
        <v>45842</v>
      </c>
      <c r="B188">
        <f t="shared" si="10"/>
        <v>5</v>
      </c>
      <c r="C188">
        <f t="shared" si="14"/>
        <v>0</v>
      </c>
      <c r="D188">
        <f t="shared" si="11"/>
        <v>0</v>
      </c>
      <c r="E188">
        <f>IF($B$2&lt;&gt;$I$3,COUNTIF(Tab_fériés[date],A188),0)</f>
        <v>0</v>
      </c>
      <c r="F188">
        <f t="shared" si="12"/>
        <v>0</v>
      </c>
      <c r="O188" s="3">
        <v>43780</v>
      </c>
      <c r="P188">
        <v>2019</v>
      </c>
      <c r="Q188" t="s">
        <v>275</v>
      </c>
      <c r="R188" s="148">
        <v>45241</v>
      </c>
    </row>
    <row r="189" spans="1:18">
      <c r="A189" s="3">
        <f t="shared" si="13"/>
        <v>45843</v>
      </c>
      <c r="B189">
        <f t="shared" si="10"/>
        <v>6</v>
      </c>
      <c r="C189">
        <f t="shared" si="14"/>
        <v>0</v>
      </c>
      <c r="D189">
        <f t="shared" si="11"/>
        <v>0</v>
      </c>
      <c r="E189">
        <f>IF($B$2&lt;&gt;$I$3,COUNTIF(Tab_fériés[date],A189),0)</f>
        <v>0</v>
      </c>
      <c r="F189">
        <f t="shared" si="12"/>
        <v>0</v>
      </c>
      <c r="O189" s="3">
        <v>43824</v>
      </c>
      <c r="P189">
        <v>2019</v>
      </c>
      <c r="Q189" t="s">
        <v>275</v>
      </c>
      <c r="R189" t="s">
        <v>286</v>
      </c>
    </row>
    <row r="190" spans="1:18">
      <c r="A190" s="3">
        <f t="shared" si="13"/>
        <v>45844</v>
      </c>
      <c r="B190">
        <f t="shared" si="10"/>
        <v>7</v>
      </c>
      <c r="C190">
        <f t="shared" si="14"/>
        <v>0</v>
      </c>
      <c r="D190">
        <f t="shared" si="11"/>
        <v>0</v>
      </c>
      <c r="E190">
        <f>IF($B$2&lt;&gt;$I$3,COUNTIF(Tab_fériés[date],A190),0)</f>
        <v>0</v>
      </c>
      <c r="F190">
        <f t="shared" si="12"/>
        <v>0</v>
      </c>
      <c r="O190" s="3">
        <v>43831</v>
      </c>
      <c r="P190">
        <v>2020</v>
      </c>
      <c r="Q190" t="s">
        <v>275</v>
      </c>
      <c r="R190" t="s">
        <v>276</v>
      </c>
    </row>
    <row r="191" spans="1:18">
      <c r="A191" s="3">
        <f t="shared" si="13"/>
        <v>45845</v>
      </c>
      <c r="B191">
        <f t="shared" si="10"/>
        <v>1</v>
      </c>
      <c r="C191">
        <f t="shared" si="14"/>
        <v>0</v>
      </c>
      <c r="D191">
        <f t="shared" si="11"/>
        <v>0</v>
      </c>
      <c r="E191">
        <f>IF($B$2&lt;&gt;$I$3,COUNTIF(Tab_fériés[date],A191),0)</f>
        <v>0</v>
      </c>
      <c r="F191">
        <f t="shared" si="12"/>
        <v>0</v>
      </c>
      <c r="O191" s="3">
        <v>43934</v>
      </c>
      <c r="P191">
        <v>2020</v>
      </c>
      <c r="Q191" t="s">
        <v>275</v>
      </c>
      <c r="R191" t="s">
        <v>277</v>
      </c>
    </row>
    <row r="192" spans="1:18">
      <c r="A192" s="3">
        <f t="shared" si="13"/>
        <v>45846</v>
      </c>
      <c r="B192">
        <f t="shared" si="10"/>
        <v>2</v>
      </c>
      <c r="C192">
        <f t="shared" si="14"/>
        <v>0</v>
      </c>
      <c r="D192">
        <f t="shared" si="11"/>
        <v>0</v>
      </c>
      <c r="E192">
        <f>IF($B$2&lt;&gt;$I$3,COUNTIF(Tab_fériés[date],A192),0)</f>
        <v>0</v>
      </c>
      <c r="F192">
        <f t="shared" si="12"/>
        <v>0</v>
      </c>
      <c r="O192" s="3">
        <v>43952</v>
      </c>
      <c r="P192">
        <v>2020</v>
      </c>
      <c r="Q192" t="s">
        <v>275</v>
      </c>
      <c r="R192" t="s">
        <v>278</v>
      </c>
    </row>
    <row r="193" spans="1:18">
      <c r="A193" s="3">
        <f t="shared" si="13"/>
        <v>45847</v>
      </c>
      <c r="B193">
        <f t="shared" si="10"/>
        <v>3</v>
      </c>
      <c r="C193">
        <f t="shared" si="14"/>
        <v>0</v>
      </c>
      <c r="D193">
        <f t="shared" si="11"/>
        <v>0</v>
      </c>
      <c r="E193">
        <f>IF($B$2&lt;&gt;$I$3,COUNTIF(Tab_fériés[date],A193),0)</f>
        <v>0</v>
      </c>
      <c r="F193">
        <f t="shared" si="12"/>
        <v>0</v>
      </c>
      <c r="O193" s="3">
        <v>43959</v>
      </c>
      <c r="P193">
        <v>2020</v>
      </c>
      <c r="Q193" t="s">
        <v>275</v>
      </c>
      <c r="R193" s="148">
        <v>45054</v>
      </c>
    </row>
    <row r="194" spans="1:18">
      <c r="A194" s="3">
        <f t="shared" si="13"/>
        <v>45848</v>
      </c>
      <c r="B194">
        <f t="shared" si="10"/>
        <v>4</v>
      </c>
      <c r="C194">
        <f t="shared" si="14"/>
        <v>0</v>
      </c>
      <c r="D194">
        <f t="shared" si="11"/>
        <v>0</v>
      </c>
      <c r="E194">
        <f>IF($B$2&lt;&gt;$I$3,COUNTIF(Tab_fériés[date],A194),0)</f>
        <v>0</v>
      </c>
      <c r="F194">
        <f t="shared" si="12"/>
        <v>0</v>
      </c>
      <c r="O194" s="3">
        <v>43972</v>
      </c>
      <c r="P194">
        <v>2020</v>
      </c>
      <c r="Q194" t="s">
        <v>275</v>
      </c>
      <c r="R194" t="s">
        <v>281</v>
      </c>
    </row>
    <row r="195" spans="1:18">
      <c r="A195" s="3">
        <f t="shared" si="13"/>
        <v>45849</v>
      </c>
      <c r="B195">
        <f t="shared" si="10"/>
        <v>5</v>
      </c>
      <c r="C195">
        <f t="shared" si="14"/>
        <v>0</v>
      </c>
      <c r="D195">
        <f t="shared" si="11"/>
        <v>0</v>
      </c>
      <c r="E195">
        <f>IF($B$2&lt;&gt;$I$3,COUNTIF(Tab_fériés[date],A195),0)</f>
        <v>0</v>
      </c>
      <c r="F195">
        <f t="shared" si="12"/>
        <v>0</v>
      </c>
      <c r="O195" s="3">
        <v>43983</v>
      </c>
      <c r="P195">
        <v>2020</v>
      </c>
      <c r="Q195" t="s">
        <v>275</v>
      </c>
      <c r="R195" t="s">
        <v>282</v>
      </c>
    </row>
    <row r="196" spans="1:18">
      <c r="A196" s="3">
        <f t="shared" si="13"/>
        <v>45850</v>
      </c>
      <c r="B196">
        <f t="shared" si="10"/>
        <v>6</v>
      </c>
      <c r="C196">
        <f t="shared" si="14"/>
        <v>0</v>
      </c>
      <c r="D196">
        <f t="shared" si="11"/>
        <v>0</v>
      </c>
      <c r="E196">
        <f>IF($B$2&lt;&gt;$I$3,COUNTIF(Tab_fériés[date],A196),0)</f>
        <v>0</v>
      </c>
      <c r="F196">
        <f t="shared" si="12"/>
        <v>0</v>
      </c>
      <c r="O196" s="3">
        <v>44026</v>
      </c>
      <c r="P196">
        <v>2020</v>
      </c>
      <c r="Q196" t="s">
        <v>275</v>
      </c>
      <c r="R196" s="148">
        <v>45121</v>
      </c>
    </row>
    <row r="197" spans="1:18">
      <c r="A197" s="3">
        <f t="shared" si="13"/>
        <v>45851</v>
      </c>
      <c r="B197">
        <f t="shared" ref="B197:B260" si="15">WEEKDAY(A197,2)</f>
        <v>7</v>
      </c>
      <c r="C197">
        <f t="shared" si="14"/>
        <v>0</v>
      </c>
      <c r="D197">
        <f t="shared" ref="D197:D260" si="16">IF(AND(B197=7,$B$2&lt;&gt;$I$3),1,0)</f>
        <v>0</v>
      </c>
      <c r="E197">
        <f>IF($B$2&lt;&gt;$I$3,COUNTIF(Tab_fériés[date],A197),0)</f>
        <v>0</v>
      </c>
      <c r="F197">
        <f t="shared" ref="F197:F260" si="17">IFERROR(IF(SUM(C197:E197)&gt;0,1,0),0)</f>
        <v>0</v>
      </c>
      <c r="O197" s="3">
        <v>44058</v>
      </c>
      <c r="P197">
        <v>2020</v>
      </c>
      <c r="Q197" t="s">
        <v>275</v>
      </c>
      <c r="R197" t="s">
        <v>284</v>
      </c>
    </row>
    <row r="198" spans="1:18">
      <c r="A198" s="3">
        <f t="shared" ref="A198:A261" si="18">A197+1</f>
        <v>45852</v>
      </c>
      <c r="B198">
        <f t="shared" si="15"/>
        <v>1</v>
      </c>
      <c r="C198">
        <f t="shared" ref="C198:C261" si="19">IF(AND(B198=6,$B$2&lt;&gt;$I$3,$B$2&lt;&gt;$I$5),1,0)</f>
        <v>0</v>
      </c>
      <c r="D198">
        <f t="shared" si="16"/>
        <v>0</v>
      </c>
      <c r="E198">
        <f>IF($B$2&lt;&gt;$I$3,COUNTIF(Tab_fériés[date],A198),0)</f>
        <v>0</v>
      </c>
      <c r="F198">
        <f t="shared" si="17"/>
        <v>0</v>
      </c>
      <c r="O198" s="3">
        <v>44136</v>
      </c>
      <c r="P198">
        <v>2020</v>
      </c>
      <c r="Q198" t="s">
        <v>275</v>
      </c>
      <c r="R198" t="s">
        <v>285</v>
      </c>
    </row>
    <row r="199" spans="1:18">
      <c r="A199" s="3">
        <f t="shared" si="18"/>
        <v>45853</v>
      </c>
      <c r="B199">
        <f t="shared" si="15"/>
        <v>2</v>
      </c>
      <c r="C199">
        <f t="shared" si="19"/>
        <v>0</v>
      </c>
      <c r="D199">
        <f t="shared" si="16"/>
        <v>0</v>
      </c>
      <c r="E199">
        <f>IF($B$2&lt;&gt;$I$3,COUNTIF(Tab_fériés[date],A199),0)</f>
        <v>0</v>
      </c>
      <c r="F199">
        <f t="shared" si="17"/>
        <v>0</v>
      </c>
      <c r="O199" s="3">
        <v>44146</v>
      </c>
      <c r="P199">
        <v>2020</v>
      </c>
      <c r="Q199" t="s">
        <v>275</v>
      </c>
      <c r="R199" s="148">
        <v>45241</v>
      </c>
    </row>
    <row r="200" spans="1:18">
      <c r="A200" s="3">
        <f t="shared" si="18"/>
        <v>45854</v>
      </c>
      <c r="B200">
        <f t="shared" si="15"/>
        <v>3</v>
      </c>
      <c r="C200">
        <f t="shared" si="19"/>
        <v>0</v>
      </c>
      <c r="D200">
        <f t="shared" si="16"/>
        <v>0</v>
      </c>
      <c r="E200">
        <f>IF($B$2&lt;&gt;$I$3,COUNTIF(Tab_fériés[date],A200),0)</f>
        <v>0</v>
      </c>
      <c r="F200">
        <f t="shared" si="17"/>
        <v>0</v>
      </c>
      <c r="O200" s="3">
        <v>44190</v>
      </c>
      <c r="P200">
        <v>2020</v>
      </c>
      <c r="Q200" t="s">
        <v>275</v>
      </c>
      <c r="R200" t="s">
        <v>286</v>
      </c>
    </row>
    <row r="201" spans="1:18">
      <c r="A201" s="3">
        <f t="shared" si="18"/>
        <v>45855</v>
      </c>
      <c r="B201">
        <f t="shared" si="15"/>
        <v>4</v>
      </c>
      <c r="C201">
        <f t="shared" si="19"/>
        <v>0</v>
      </c>
      <c r="D201">
        <f t="shared" si="16"/>
        <v>0</v>
      </c>
      <c r="E201">
        <f>IF($B$2&lt;&gt;$I$3,COUNTIF(Tab_fériés[date],A201),0)</f>
        <v>0</v>
      </c>
      <c r="F201">
        <f t="shared" si="17"/>
        <v>0</v>
      </c>
      <c r="O201" s="3">
        <v>44197</v>
      </c>
      <c r="P201">
        <v>2021</v>
      </c>
      <c r="Q201" t="s">
        <v>275</v>
      </c>
      <c r="R201" t="s">
        <v>276</v>
      </c>
    </row>
    <row r="202" spans="1:18">
      <c r="A202" s="3">
        <f t="shared" si="18"/>
        <v>45856</v>
      </c>
      <c r="B202">
        <f t="shared" si="15"/>
        <v>5</v>
      </c>
      <c r="C202">
        <f t="shared" si="19"/>
        <v>0</v>
      </c>
      <c r="D202">
        <f t="shared" si="16"/>
        <v>0</v>
      </c>
      <c r="E202">
        <f>IF($B$2&lt;&gt;$I$3,COUNTIF(Tab_fériés[date],A202),0)</f>
        <v>0</v>
      </c>
      <c r="F202">
        <f t="shared" si="17"/>
        <v>0</v>
      </c>
      <c r="O202" s="3">
        <v>44291</v>
      </c>
      <c r="P202">
        <v>2021</v>
      </c>
      <c r="Q202" t="s">
        <v>275</v>
      </c>
      <c r="R202" t="s">
        <v>277</v>
      </c>
    </row>
    <row r="203" spans="1:18">
      <c r="A203" s="3">
        <f t="shared" si="18"/>
        <v>45857</v>
      </c>
      <c r="B203">
        <f t="shared" si="15"/>
        <v>6</v>
      </c>
      <c r="C203">
        <f t="shared" si="19"/>
        <v>0</v>
      </c>
      <c r="D203">
        <f t="shared" si="16"/>
        <v>0</v>
      </c>
      <c r="E203">
        <f>IF($B$2&lt;&gt;$I$3,COUNTIF(Tab_fériés[date],A203),0)</f>
        <v>0</v>
      </c>
      <c r="F203">
        <f t="shared" si="17"/>
        <v>0</v>
      </c>
      <c r="O203" s="3">
        <v>44317</v>
      </c>
      <c r="P203">
        <v>2021</v>
      </c>
      <c r="Q203" t="s">
        <v>275</v>
      </c>
      <c r="R203" t="s">
        <v>278</v>
      </c>
    </row>
    <row r="204" spans="1:18">
      <c r="A204" s="3">
        <f t="shared" si="18"/>
        <v>45858</v>
      </c>
      <c r="B204">
        <f t="shared" si="15"/>
        <v>7</v>
      </c>
      <c r="C204">
        <f t="shared" si="19"/>
        <v>0</v>
      </c>
      <c r="D204">
        <f t="shared" si="16"/>
        <v>0</v>
      </c>
      <c r="E204">
        <f>IF($B$2&lt;&gt;$I$3,COUNTIF(Tab_fériés[date],A204),0)</f>
        <v>0</v>
      </c>
      <c r="F204">
        <f t="shared" si="17"/>
        <v>0</v>
      </c>
      <c r="O204" s="3">
        <v>44324</v>
      </c>
      <c r="P204">
        <v>2021</v>
      </c>
      <c r="Q204" t="s">
        <v>275</v>
      </c>
      <c r="R204" s="148">
        <v>45054</v>
      </c>
    </row>
    <row r="205" spans="1:18">
      <c r="A205" s="3">
        <f t="shared" si="18"/>
        <v>45859</v>
      </c>
      <c r="B205">
        <f t="shared" si="15"/>
        <v>1</v>
      </c>
      <c r="C205">
        <f t="shared" si="19"/>
        <v>0</v>
      </c>
      <c r="D205">
        <f t="shared" si="16"/>
        <v>0</v>
      </c>
      <c r="E205">
        <f>IF($B$2&lt;&gt;$I$3,COUNTIF(Tab_fériés[date],A205),0)</f>
        <v>0</v>
      </c>
      <c r="F205">
        <f t="shared" si="17"/>
        <v>0</v>
      </c>
      <c r="O205" s="3">
        <v>44329</v>
      </c>
      <c r="P205">
        <v>2021</v>
      </c>
      <c r="Q205" t="s">
        <v>275</v>
      </c>
      <c r="R205" t="s">
        <v>281</v>
      </c>
    </row>
    <row r="206" spans="1:18">
      <c r="A206" s="3">
        <f t="shared" si="18"/>
        <v>45860</v>
      </c>
      <c r="B206">
        <f t="shared" si="15"/>
        <v>2</v>
      </c>
      <c r="C206">
        <f t="shared" si="19"/>
        <v>0</v>
      </c>
      <c r="D206">
        <f t="shared" si="16"/>
        <v>0</v>
      </c>
      <c r="E206">
        <f>IF($B$2&lt;&gt;$I$3,COUNTIF(Tab_fériés[date],A206),0)</f>
        <v>0</v>
      </c>
      <c r="F206">
        <f t="shared" si="17"/>
        <v>0</v>
      </c>
      <c r="O206" s="3">
        <v>44340</v>
      </c>
      <c r="P206">
        <v>2021</v>
      </c>
      <c r="Q206" t="s">
        <v>275</v>
      </c>
      <c r="R206" t="s">
        <v>282</v>
      </c>
    </row>
    <row r="207" spans="1:18">
      <c r="A207" s="3">
        <f t="shared" si="18"/>
        <v>45861</v>
      </c>
      <c r="B207">
        <f t="shared" si="15"/>
        <v>3</v>
      </c>
      <c r="C207">
        <f t="shared" si="19"/>
        <v>0</v>
      </c>
      <c r="D207">
        <f t="shared" si="16"/>
        <v>0</v>
      </c>
      <c r="E207">
        <f>IF($B$2&lt;&gt;$I$3,COUNTIF(Tab_fériés[date],A207),0)</f>
        <v>0</v>
      </c>
      <c r="F207">
        <f t="shared" si="17"/>
        <v>0</v>
      </c>
      <c r="O207" s="3">
        <v>44391</v>
      </c>
      <c r="P207">
        <v>2021</v>
      </c>
      <c r="Q207" t="s">
        <v>275</v>
      </c>
      <c r="R207" s="148">
        <v>45121</v>
      </c>
    </row>
    <row r="208" spans="1:18">
      <c r="A208" s="3">
        <f t="shared" si="18"/>
        <v>45862</v>
      </c>
      <c r="B208">
        <f t="shared" si="15"/>
        <v>4</v>
      </c>
      <c r="C208">
        <f t="shared" si="19"/>
        <v>0</v>
      </c>
      <c r="D208">
        <f t="shared" si="16"/>
        <v>0</v>
      </c>
      <c r="E208">
        <f>IF($B$2&lt;&gt;$I$3,COUNTIF(Tab_fériés[date],A208),0)</f>
        <v>0</v>
      </c>
      <c r="F208">
        <f t="shared" si="17"/>
        <v>0</v>
      </c>
      <c r="O208" s="3">
        <v>44423</v>
      </c>
      <c r="P208">
        <v>2021</v>
      </c>
      <c r="Q208" t="s">
        <v>275</v>
      </c>
      <c r="R208" t="s">
        <v>284</v>
      </c>
    </row>
    <row r="209" spans="1:18">
      <c r="A209" s="3">
        <f t="shared" si="18"/>
        <v>45863</v>
      </c>
      <c r="B209">
        <f t="shared" si="15"/>
        <v>5</v>
      </c>
      <c r="C209">
        <f t="shared" si="19"/>
        <v>0</v>
      </c>
      <c r="D209">
        <f t="shared" si="16"/>
        <v>0</v>
      </c>
      <c r="E209">
        <f>IF($B$2&lt;&gt;$I$3,COUNTIF(Tab_fériés[date],A209),0)</f>
        <v>0</v>
      </c>
      <c r="F209">
        <f t="shared" si="17"/>
        <v>0</v>
      </c>
      <c r="O209" s="3">
        <v>44501</v>
      </c>
      <c r="P209">
        <v>2021</v>
      </c>
      <c r="Q209" t="s">
        <v>275</v>
      </c>
      <c r="R209" t="s">
        <v>285</v>
      </c>
    </row>
    <row r="210" spans="1:18">
      <c r="A210" s="3">
        <f t="shared" si="18"/>
        <v>45864</v>
      </c>
      <c r="B210">
        <f t="shared" si="15"/>
        <v>6</v>
      </c>
      <c r="C210">
        <f t="shared" si="19"/>
        <v>0</v>
      </c>
      <c r="D210">
        <f t="shared" si="16"/>
        <v>0</v>
      </c>
      <c r="E210">
        <f>IF($B$2&lt;&gt;$I$3,COUNTIF(Tab_fériés[date],A210),0)</f>
        <v>0</v>
      </c>
      <c r="F210">
        <f t="shared" si="17"/>
        <v>0</v>
      </c>
      <c r="O210" s="3">
        <v>44511</v>
      </c>
      <c r="P210">
        <v>2021</v>
      </c>
      <c r="Q210" t="s">
        <v>275</v>
      </c>
      <c r="R210" s="148">
        <v>45241</v>
      </c>
    </row>
    <row r="211" spans="1:18">
      <c r="A211" s="3">
        <f t="shared" si="18"/>
        <v>45865</v>
      </c>
      <c r="B211">
        <f t="shared" si="15"/>
        <v>7</v>
      </c>
      <c r="C211">
        <f t="shared" si="19"/>
        <v>0</v>
      </c>
      <c r="D211">
        <f t="shared" si="16"/>
        <v>0</v>
      </c>
      <c r="E211">
        <f>IF($B$2&lt;&gt;$I$3,COUNTIF(Tab_fériés[date],A211),0)</f>
        <v>0</v>
      </c>
      <c r="F211">
        <f t="shared" si="17"/>
        <v>0</v>
      </c>
      <c r="O211" s="3">
        <v>44555</v>
      </c>
      <c r="P211">
        <v>2021</v>
      </c>
      <c r="Q211" t="s">
        <v>275</v>
      </c>
      <c r="R211" t="s">
        <v>286</v>
      </c>
    </row>
    <row r="212" spans="1:18">
      <c r="A212" s="3">
        <f t="shared" si="18"/>
        <v>45866</v>
      </c>
      <c r="B212">
        <f t="shared" si="15"/>
        <v>1</v>
      </c>
      <c r="C212">
        <f t="shared" si="19"/>
        <v>0</v>
      </c>
      <c r="D212">
        <f t="shared" si="16"/>
        <v>0</v>
      </c>
      <c r="E212">
        <f>IF($B$2&lt;&gt;$I$3,COUNTIF(Tab_fériés[date],A212),0)</f>
        <v>0</v>
      </c>
      <c r="F212">
        <f t="shared" si="17"/>
        <v>0</v>
      </c>
      <c r="O212" s="3">
        <v>44562</v>
      </c>
      <c r="P212">
        <v>2022</v>
      </c>
      <c r="Q212" t="s">
        <v>275</v>
      </c>
      <c r="R212" t="s">
        <v>276</v>
      </c>
    </row>
    <row r="213" spans="1:18">
      <c r="A213" s="3">
        <f t="shared" si="18"/>
        <v>45867</v>
      </c>
      <c r="B213">
        <f t="shared" si="15"/>
        <v>2</v>
      </c>
      <c r="C213">
        <f t="shared" si="19"/>
        <v>0</v>
      </c>
      <c r="D213">
        <f t="shared" si="16"/>
        <v>0</v>
      </c>
      <c r="E213">
        <f>IF($B$2&lt;&gt;$I$3,COUNTIF(Tab_fériés[date],A213),0)</f>
        <v>0</v>
      </c>
      <c r="F213">
        <f t="shared" si="17"/>
        <v>0</v>
      </c>
      <c r="O213" s="3">
        <v>44669</v>
      </c>
      <c r="P213">
        <v>2022</v>
      </c>
      <c r="Q213" t="s">
        <v>275</v>
      </c>
      <c r="R213" t="s">
        <v>277</v>
      </c>
    </row>
    <row r="214" spans="1:18">
      <c r="A214" s="3">
        <f t="shared" si="18"/>
        <v>45868</v>
      </c>
      <c r="B214">
        <f t="shared" si="15"/>
        <v>3</v>
      </c>
      <c r="C214">
        <f t="shared" si="19"/>
        <v>0</v>
      </c>
      <c r="D214">
        <f t="shared" si="16"/>
        <v>0</v>
      </c>
      <c r="E214">
        <f>IF($B$2&lt;&gt;$I$3,COUNTIF(Tab_fériés[date],A214),0)</f>
        <v>0</v>
      </c>
      <c r="F214">
        <f t="shared" si="17"/>
        <v>0</v>
      </c>
      <c r="O214" s="3">
        <v>44682</v>
      </c>
      <c r="P214">
        <v>2022</v>
      </c>
      <c r="Q214" t="s">
        <v>275</v>
      </c>
      <c r="R214" t="s">
        <v>278</v>
      </c>
    </row>
    <row r="215" spans="1:18">
      <c r="A215" s="3">
        <f t="shared" si="18"/>
        <v>45869</v>
      </c>
      <c r="B215">
        <f t="shared" si="15"/>
        <v>4</v>
      </c>
      <c r="C215">
        <f t="shared" si="19"/>
        <v>0</v>
      </c>
      <c r="D215">
        <f t="shared" si="16"/>
        <v>0</v>
      </c>
      <c r="E215">
        <f>IF($B$2&lt;&gt;$I$3,COUNTIF(Tab_fériés[date],A215),0)</f>
        <v>0</v>
      </c>
      <c r="F215">
        <f t="shared" si="17"/>
        <v>0</v>
      </c>
      <c r="O215" s="3">
        <v>44689</v>
      </c>
      <c r="P215">
        <v>2022</v>
      </c>
      <c r="Q215" t="s">
        <v>275</v>
      </c>
      <c r="R215" s="148">
        <v>45054</v>
      </c>
    </row>
    <row r="216" spans="1:18">
      <c r="A216" s="3">
        <f t="shared" si="18"/>
        <v>45870</v>
      </c>
      <c r="B216">
        <f t="shared" si="15"/>
        <v>5</v>
      </c>
      <c r="C216">
        <f t="shared" si="19"/>
        <v>0</v>
      </c>
      <c r="D216">
        <f t="shared" si="16"/>
        <v>0</v>
      </c>
      <c r="E216">
        <f>IF($B$2&lt;&gt;$I$3,COUNTIF(Tab_fériés[date],A216),0)</f>
        <v>0</v>
      </c>
      <c r="F216">
        <f t="shared" si="17"/>
        <v>0</v>
      </c>
      <c r="O216" s="3">
        <v>44707</v>
      </c>
      <c r="P216">
        <v>2022</v>
      </c>
      <c r="Q216" t="s">
        <v>275</v>
      </c>
      <c r="R216" t="s">
        <v>281</v>
      </c>
    </row>
    <row r="217" spans="1:18">
      <c r="A217" s="3">
        <f t="shared" si="18"/>
        <v>45871</v>
      </c>
      <c r="B217">
        <f t="shared" si="15"/>
        <v>6</v>
      </c>
      <c r="C217">
        <f t="shared" si="19"/>
        <v>0</v>
      </c>
      <c r="D217">
        <f t="shared" si="16"/>
        <v>0</v>
      </c>
      <c r="E217">
        <f>IF($B$2&lt;&gt;$I$3,COUNTIF(Tab_fériés[date],A217),0)</f>
        <v>0</v>
      </c>
      <c r="F217">
        <f t="shared" si="17"/>
        <v>0</v>
      </c>
      <c r="O217" s="3">
        <v>44718</v>
      </c>
      <c r="P217">
        <v>2022</v>
      </c>
      <c r="Q217" t="s">
        <v>275</v>
      </c>
      <c r="R217" t="s">
        <v>282</v>
      </c>
    </row>
    <row r="218" spans="1:18">
      <c r="A218" s="3">
        <f t="shared" si="18"/>
        <v>45872</v>
      </c>
      <c r="B218">
        <f t="shared" si="15"/>
        <v>7</v>
      </c>
      <c r="C218">
        <f t="shared" si="19"/>
        <v>0</v>
      </c>
      <c r="D218">
        <f t="shared" si="16"/>
        <v>0</v>
      </c>
      <c r="E218">
        <f>IF($B$2&lt;&gt;$I$3,COUNTIF(Tab_fériés[date],A218),0)</f>
        <v>0</v>
      </c>
      <c r="F218">
        <f t="shared" si="17"/>
        <v>0</v>
      </c>
      <c r="O218" s="3">
        <v>44756</v>
      </c>
      <c r="P218">
        <v>2022</v>
      </c>
      <c r="Q218" t="s">
        <v>275</v>
      </c>
      <c r="R218" s="148">
        <v>45121</v>
      </c>
    </row>
    <row r="219" spans="1:18">
      <c r="A219" s="3">
        <f t="shared" si="18"/>
        <v>45873</v>
      </c>
      <c r="B219">
        <f t="shared" si="15"/>
        <v>1</v>
      </c>
      <c r="C219">
        <f t="shared" si="19"/>
        <v>0</v>
      </c>
      <c r="D219">
        <f t="shared" si="16"/>
        <v>0</v>
      </c>
      <c r="E219">
        <f>IF($B$2&lt;&gt;$I$3,COUNTIF(Tab_fériés[date],A219),0)</f>
        <v>0</v>
      </c>
      <c r="F219">
        <f t="shared" si="17"/>
        <v>0</v>
      </c>
      <c r="O219" s="3">
        <v>44788</v>
      </c>
      <c r="P219">
        <v>2022</v>
      </c>
      <c r="Q219" t="s">
        <v>275</v>
      </c>
      <c r="R219" t="s">
        <v>284</v>
      </c>
    </row>
    <row r="220" spans="1:18">
      <c r="A220" s="3">
        <f t="shared" si="18"/>
        <v>45874</v>
      </c>
      <c r="B220">
        <f t="shared" si="15"/>
        <v>2</v>
      </c>
      <c r="C220">
        <f t="shared" si="19"/>
        <v>0</v>
      </c>
      <c r="D220">
        <f t="shared" si="16"/>
        <v>0</v>
      </c>
      <c r="E220">
        <f>IF($B$2&lt;&gt;$I$3,COUNTIF(Tab_fériés[date],A220),0)</f>
        <v>0</v>
      </c>
      <c r="F220">
        <f t="shared" si="17"/>
        <v>0</v>
      </c>
      <c r="O220" s="3">
        <v>44866</v>
      </c>
      <c r="P220">
        <v>2022</v>
      </c>
      <c r="Q220" t="s">
        <v>275</v>
      </c>
      <c r="R220" t="s">
        <v>285</v>
      </c>
    </row>
    <row r="221" spans="1:18">
      <c r="A221" s="3">
        <f t="shared" si="18"/>
        <v>45875</v>
      </c>
      <c r="B221">
        <f t="shared" si="15"/>
        <v>3</v>
      </c>
      <c r="C221">
        <f t="shared" si="19"/>
        <v>0</v>
      </c>
      <c r="D221">
        <f t="shared" si="16"/>
        <v>0</v>
      </c>
      <c r="E221">
        <f>IF($B$2&lt;&gt;$I$3,COUNTIF(Tab_fériés[date],A221),0)</f>
        <v>0</v>
      </c>
      <c r="F221">
        <f t="shared" si="17"/>
        <v>0</v>
      </c>
      <c r="O221" s="3">
        <v>44876</v>
      </c>
      <c r="P221">
        <v>2022</v>
      </c>
      <c r="Q221" t="s">
        <v>275</v>
      </c>
      <c r="R221" s="148">
        <v>45241</v>
      </c>
    </row>
    <row r="222" spans="1:18">
      <c r="A222" s="3">
        <f t="shared" si="18"/>
        <v>45876</v>
      </c>
      <c r="B222">
        <f t="shared" si="15"/>
        <v>4</v>
      </c>
      <c r="C222">
        <f t="shared" si="19"/>
        <v>0</v>
      </c>
      <c r="D222">
        <f t="shared" si="16"/>
        <v>0</v>
      </c>
      <c r="E222">
        <f>IF($B$2&lt;&gt;$I$3,COUNTIF(Tab_fériés[date],A222),0)</f>
        <v>0</v>
      </c>
      <c r="F222">
        <f t="shared" si="17"/>
        <v>0</v>
      </c>
      <c r="O222" s="3">
        <v>44920</v>
      </c>
      <c r="P222">
        <v>2022</v>
      </c>
      <c r="Q222" t="s">
        <v>275</v>
      </c>
      <c r="R222" t="s">
        <v>286</v>
      </c>
    </row>
    <row r="223" spans="1:18">
      <c r="A223" s="3">
        <f t="shared" si="18"/>
        <v>45877</v>
      </c>
      <c r="B223">
        <f t="shared" si="15"/>
        <v>5</v>
      </c>
      <c r="C223">
        <f t="shared" si="19"/>
        <v>0</v>
      </c>
      <c r="D223">
        <f t="shared" si="16"/>
        <v>0</v>
      </c>
      <c r="E223">
        <f>IF($B$2&lt;&gt;$I$3,COUNTIF(Tab_fériés[date],A223),0)</f>
        <v>0</v>
      </c>
      <c r="F223">
        <f t="shared" si="17"/>
        <v>0</v>
      </c>
      <c r="O223" s="3">
        <v>44927</v>
      </c>
      <c r="P223">
        <v>2023</v>
      </c>
      <c r="Q223" t="s">
        <v>275</v>
      </c>
      <c r="R223" t="s">
        <v>276</v>
      </c>
    </row>
    <row r="224" spans="1:18">
      <c r="A224" s="3">
        <f t="shared" si="18"/>
        <v>45878</v>
      </c>
      <c r="B224">
        <f t="shared" si="15"/>
        <v>6</v>
      </c>
      <c r="C224">
        <f t="shared" si="19"/>
        <v>0</v>
      </c>
      <c r="D224">
        <f t="shared" si="16"/>
        <v>0</v>
      </c>
      <c r="E224">
        <f>IF($B$2&lt;&gt;$I$3,COUNTIF(Tab_fériés[date],A224),0)</f>
        <v>0</v>
      </c>
      <c r="F224">
        <f t="shared" si="17"/>
        <v>0</v>
      </c>
      <c r="O224" s="3">
        <v>45026</v>
      </c>
      <c r="P224">
        <v>2023</v>
      </c>
      <c r="Q224" t="s">
        <v>275</v>
      </c>
      <c r="R224" t="s">
        <v>277</v>
      </c>
    </row>
    <row r="225" spans="1:18">
      <c r="A225" s="3">
        <f t="shared" si="18"/>
        <v>45879</v>
      </c>
      <c r="B225">
        <f t="shared" si="15"/>
        <v>7</v>
      </c>
      <c r="C225">
        <f t="shared" si="19"/>
        <v>0</v>
      </c>
      <c r="D225">
        <f t="shared" si="16"/>
        <v>0</v>
      </c>
      <c r="E225">
        <f>IF($B$2&lt;&gt;$I$3,COUNTIF(Tab_fériés[date],A225),0)</f>
        <v>0</v>
      </c>
      <c r="F225">
        <f t="shared" si="17"/>
        <v>0</v>
      </c>
      <c r="O225" s="3">
        <v>45047</v>
      </c>
      <c r="P225">
        <v>2023</v>
      </c>
      <c r="Q225" t="s">
        <v>275</v>
      </c>
      <c r="R225" t="s">
        <v>278</v>
      </c>
    </row>
    <row r="226" spans="1:18">
      <c r="A226" s="3">
        <f t="shared" si="18"/>
        <v>45880</v>
      </c>
      <c r="B226">
        <f t="shared" si="15"/>
        <v>1</v>
      </c>
      <c r="C226">
        <f t="shared" si="19"/>
        <v>0</v>
      </c>
      <c r="D226">
        <f t="shared" si="16"/>
        <v>0</v>
      </c>
      <c r="E226">
        <f>IF($B$2&lt;&gt;$I$3,COUNTIF(Tab_fériés[date],A226),0)</f>
        <v>0</v>
      </c>
      <c r="F226">
        <f t="shared" si="17"/>
        <v>0</v>
      </c>
      <c r="O226" s="3">
        <v>45054</v>
      </c>
      <c r="P226">
        <v>2023</v>
      </c>
      <c r="Q226" t="s">
        <v>275</v>
      </c>
      <c r="R226" s="148">
        <v>45054</v>
      </c>
    </row>
    <row r="227" spans="1:18">
      <c r="A227" s="3">
        <f t="shared" si="18"/>
        <v>45881</v>
      </c>
      <c r="B227">
        <f t="shared" si="15"/>
        <v>2</v>
      </c>
      <c r="C227">
        <f t="shared" si="19"/>
        <v>0</v>
      </c>
      <c r="D227">
        <f t="shared" si="16"/>
        <v>0</v>
      </c>
      <c r="E227">
        <f>IF($B$2&lt;&gt;$I$3,COUNTIF(Tab_fériés[date],A227),0)</f>
        <v>0</v>
      </c>
      <c r="F227">
        <f t="shared" si="17"/>
        <v>0</v>
      </c>
      <c r="O227" s="3">
        <v>45064</v>
      </c>
      <c r="P227">
        <v>2023</v>
      </c>
      <c r="Q227" t="s">
        <v>275</v>
      </c>
      <c r="R227" t="s">
        <v>281</v>
      </c>
    </row>
    <row r="228" spans="1:18">
      <c r="A228" s="3">
        <f t="shared" si="18"/>
        <v>45882</v>
      </c>
      <c r="B228">
        <f t="shared" si="15"/>
        <v>3</v>
      </c>
      <c r="C228">
        <f t="shared" si="19"/>
        <v>0</v>
      </c>
      <c r="D228">
        <f t="shared" si="16"/>
        <v>0</v>
      </c>
      <c r="E228">
        <f>IF($B$2&lt;&gt;$I$3,COUNTIF(Tab_fériés[date],A228),0)</f>
        <v>0</v>
      </c>
      <c r="F228">
        <f t="shared" si="17"/>
        <v>0</v>
      </c>
      <c r="O228" s="3">
        <v>45075</v>
      </c>
      <c r="P228">
        <v>2023</v>
      </c>
      <c r="Q228" t="s">
        <v>275</v>
      </c>
      <c r="R228" t="s">
        <v>282</v>
      </c>
    </row>
    <row r="229" spans="1:18">
      <c r="A229" s="3">
        <f t="shared" si="18"/>
        <v>45883</v>
      </c>
      <c r="B229">
        <f t="shared" si="15"/>
        <v>4</v>
      </c>
      <c r="C229">
        <f t="shared" si="19"/>
        <v>0</v>
      </c>
      <c r="D229">
        <f t="shared" si="16"/>
        <v>0</v>
      </c>
      <c r="E229">
        <f>IF($B$2&lt;&gt;$I$3,COUNTIF(Tab_fériés[date],A229),0)</f>
        <v>0</v>
      </c>
      <c r="F229">
        <f t="shared" si="17"/>
        <v>0</v>
      </c>
      <c r="O229" s="3">
        <v>45121</v>
      </c>
      <c r="P229">
        <v>2023</v>
      </c>
      <c r="Q229" t="s">
        <v>275</v>
      </c>
      <c r="R229" s="148">
        <v>45121</v>
      </c>
    </row>
    <row r="230" spans="1:18">
      <c r="A230" s="3">
        <f t="shared" si="18"/>
        <v>45884</v>
      </c>
      <c r="B230">
        <f t="shared" si="15"/>
        <v>5</v>
      </c>
      <c r="C230">
        <f t="shared" si="19"/>
        <v>0</v>
      </c>
      <c r="D230">
        <f t="shared" si="16"/>
        <v>0</v>
      </c>
      <c r="E230">
        <f>IF($B$2&lt;&gt;$I$3,COUNTIF(Tab_fériés[date],A230),0)</f>
        <v>0</v>
      </c>
      <c r="F230">
        <f t="shared" si="17"/>
        <v>0</v>
      </c>
      <c r="O230" s="3">
        <v>45153</v>
      </c>
      <c r="P230">
        <v>2023</v>
      </c>
      <c r="Q230" t="s">
        <v>275</v>
      </c>
      <c r="R230" t="s">
        <v>284</v>
      </c>
    </row>
    <row r="231" spans="1:18">
      <c r="A231" s="3">
        <f t="shared" si="18"/>
        <v>45885</v>
      </c>
      <c r="B231">
        <f t="shared" si="15"/>
        <v>6</v>
      </c>
      <c r="C231">
        <f t="shared" si="19"/>
        <v>0</v>
      </c>
      <c r="D231">
        <f t="shared" si="16"/>
        <v>0</v>
      </c>
      <c r="E231">
        <f>IF($B$2&lt;&gt;$I$3,COUNTIF(Tab_fériés[date],A231),0)</f>
        <v>0</v>
      </c>
      <c r="F231">
        <f t="shared" si="17"/>
        <v>0</v>
      </c>
      <c r="O231" s="3">
        <v>45231</v>
      </c>
      <c r="P231">
        <v>2023</v>
      </c>
      <c r="Q231" t="s">
        <v>275</v>
      </c>
      <c r="R231" t="s">
        <v>285</v>
      </c>
    </row>
    <row r="232" spans="1:18">
      <c r="A232" s="3">
        <f t="shared" si="18"/>
        <v>45886</v>
      </c>
      <c r="B232">
        <f t="shared" si="15"/>
        <v>7</v>
      </c>
      <c r="C232">
        <f t="shared" si="19"/>
        <v>0</v>
      </c>
      <c r="D232">
        <f t="shared" si="16"/>
        <v>0</v>
      </c>
      <c r="E232">
        <f>IF($B$2&lt;&gt;$I$3,COUNTIF(Tab_fériés[date],A232),0)</f>
        <v>0</v>
      </c>
      <c r="F232">
        <f t="shared" si="17"/>
        <v>0</v>
      </c>
      <c r="O232" s="3">
        <v>45241</v>
      </c>
      <c r="P232">
        <v>2023</v>
      </c>
      <c r="Q232" t="s">
        <v>275</v>
      </c>
      <c r="R232" s="148">
        <v>45241</v>
      </c>
    </row>
    <row r="233" spans="1:18">
      <c r="A233" s="3">
        <f t="shared" si="18"/>
        <v>45887</v>
      </c>
      <c r="B233">
        <f t="shared" si="15"/>
        <v>1</v>
      </c>
      <c r="C233">
        <f t="shared" si="19"/>
        <v>0</v>
      </c>
      <c r="D233">
        <f t="shared" si="16"/>
        <v>0</v>
      </c>
      <c r="E233">
        <f>IF($B$2&lt;&gt;$I$3,COUNTIF(Tab_fériés[date],A233),0)</f>
        <v>0</v>
      </c>
      <c r="F233">
        <f t="shared" si="17"/>
        <v>0</v>
      </c>
      <c r="O233" s="3">
        <v>45285</v>
      </c>
      <c r="P233">
        <v>2023</v>
      </c>
      <c r="Q233" t="s">
        <v>275</v>
      </c>
      <c r="R233" t="s">
        <v>286</v>
      </c>
    </row>
    <row r="234" spans="1:18">
      <c r="A234" s="3">
        <f t="shared" si="18"/>
        <v>45888</v>
      </c>
      <c r="B234">
        <f t="shared" si="15"/>
        <v>2</v>
      </c>
      <c r="C234">
        <f t="shared" si="19"/>
        <v>0</v>
      </c>
      <c r="D234">
        <f t="shared" si="16"/>
        <v>0</v>
      </c>
      <c r="E234">
        <f>IF($B$2&lt;&gt;$I$3,COUNTIF(Tab_fériés[date],A234),0)</f>
        <v>0</v>
      </c>
      <c r="F234">
        <f t="shared" si="17"/>
        <v>0</v>
      </c>
      <c r="O234" s="3">
        <v>45292</v>
      </c>
      <c r="P234">
        <v>2024</v>
      </c>
      <c r="Q234" t="s">
        <v>275</v>
      </c>
      <c r="R234" t="s">
        <v>276</v>
      </c>
    </row>
    <row r="235" spans="1:18">
      <c r="A235" s="3">
        <f t="shared" si="18"/>
        <v>45889</v>
      </c>
      <c r="B235">
        <f t="shared" si="15"/>
        <v>3</v>
      </c>
      <c r="C235">
        <f t="shared" si="19"/>
        <v>0</v>
      </c>
      <c r="D235">
        <f t="shared" si="16"/>
        <v>0</v>
      </c>
      <c r="E235">
        <f>IF($B$2&lt;&gt;$I$3,COUNTIF(Tab_fériés[date],A235),0)</f>
        <v>0</v>
      </c>
      <c r="F235">
        <f t="shared" si="17"/>
        <v>0</v>
      </c>
      <c r="O235" s="3">
        <v>45383</v>
      </c>
      <c r="P235">
        <v>2024</v>
      </c>
      <c r="Q235" t="s">
        <v>275</v>
      </c>
      <c r="R235" t="s">
        <v>277</v>
      </c>
    </row>
    <row r="236" spans="1:18">
      <c r="A236" s="3">
        <f t="shared" si="18"/>
        <v>45890</v>
      </c>
      <c r="B236">
        <f t="shared" si="15"/>
        <v>4</v>
      </c>
      <c r="C236">
        <f t="shared" si="19"/>
        <v>0</v>
      </c>
      <c r="D236">
        <f t="shared" si="16"/>
        <v>0</v>
      </c>
      <c r="E236">
        <f>IF($B$2&lt;&gt;$I$3,COUNTIF(Tab_fériés[date],A236),0)</f>
        <v>0</v>
      </c>
      <c r="F236">
        <f t="shared" si="17"/>
        <v>0</v>
      </c>
      <c r="O236" s="3">
        <v>45413</v>
      </c>
      <c r="P236">
        <v>2024</v>
      </c>
      <c r="Q236" t="s">
        <v>275</v>
      </c>
      <c r="R236" t="s">
        <v>278</v>
      </c>
    </row>
    <row r="237" spans="1:18">
      <c r="A237" s="3">
        <f t="shared" si="18"/>
        <v>45891</v>
      </c>
      <c r="B237">
        <f t="shared" si="15"/>
        <v>5</v>
      </c>
      <c r="C237">
        <f t="shared" si="19"/>
        <v>0</v>
      </c>
      <c r="D237">
        <f t="shared" si="16"/>
        <v>0</v>
      </c>
      <c r="E237">
        <f>IF($B$2&lt;&gt;$I$3,COUNTIF(Tab_fériés[date],A237),0)</f>
        <v>0</v>
      </c>
      <c r="F237">
        <f t="shared" si="17"/>
        <v>0</v>
      </c>
      <c r="O237" s="3">
        <v>45420</v>
      </c>
      <c r="P237">
        <v>2024</v>
      </c>
      <c r="Q237" t="s">
        <v>275</v>
      </c>
      <c r="R237" s="148">
        <v>45054</v>
      </c>
    </row>
    <row r="238" spans="1:18">
      <c r="A238" s="3">
        <f t="shared" si="18"/>
        <v>45892</v>
      </c>
      <c r="B238">
        <f t="shared" si="15"/>
        <v>6</v>
      </c>
      <c r="C238">
        <f t="shared" si="19"/>
        <v>0</v>
      </c>
      <c r="D238">
        <f t="shared" si="16"/>
        <v>0</v>
      </c>
      <c r="E238">
        <f>IF($B$2&lt;&gt;$I$3,COUNTIF(Tab_fériés[date],A238),0)</f>
        <v>0</v>
      </c>
      <c r="F238">
        <f t="shared" si="17"/>
        <v>0</v>
      </c>
      <c r="O238" s="3">
        <v>45421</v>
      </c>
      <c r="P238">
        <v>2024</v>
      </c>
      <c r="Q238" t="s">
        <v>275</v>
      </c>
      <c r="R238" t="s">
        <v>281</v>
      </c>
    </row>
    <row r="239" spans="1:18">
      <c r="A239" s="3">
        <f t="shared" si="18"/>
        <v>45893</v>
      </c>
      <c r="B239">
        <f t="shared" si="15"/>
        <v>7</v>
      </c>
      <c r="C239">
        <f t="shared" si="19"/>
        <v>0</v>
      </c>
      <c r="D239">
        <f t="shared" si="16"/>
        <v>0</v>
      </c>
      <c r="E239">
        <f>IF($B$2&lt;&gt;$I$3,COUNTIF(Tab_fériés[date],A239),0)</f>
        <v>0</v>
      </c>
      <c r="F239">
        <f t="shared" si="17"/>
        <v>0</v>
      </c>
      <c r="O239" s="3">
        <v>45432</v>
      </c>
      <c r="P239">
        <v>2024</v>
      </c>
      <c r="Q239" t="s">
        <v>275</v>
      </c>
      <c r="R239" t="s">
        <v>282</v>
      </c>
    </row>
    <row r="240" spans="1:18">
      <c r="A240" s="3">
        <f t="shared" si="18"/>
        <v>45894</v>
      </c>
      <c r="B240">
        <f t="shared" si="15"/>
        <v>1</v>
      </c>
      <c r="C240">
        <f t="shared" si="19"/>
        <v>0</v>
      </c>
      <c r="D240">
        <f t="shared" si="16"/>
        <v>0</v>
      </c>
      <c r="E240">
        <f>IF($B$2&lt;&gt;$I$3,COUNTIF(Tab_fériés[date],A240),0)</f>
        <v>0</v>
      </c>
      <c r="F240">
        <f t="shared" si="17"/>
        <v>0</v>
      </c>
      <c r="O240" s="3">
        <v>45487</v>
      </c>
      <c r="P240">
        <v>2024</v>
      </c>
      <c r="Q240" t="s">
        <v>275</v>
      </c>
      <c r="R240" s="148">
        <v>45121</v>
      </c>
    </row>
    <row r="241" spans="1:18">
      <c r="A241" s="3">
        <f t="shared" si="18"/>
        <v>45895</v>
      </c>
      <c r="B241">
        <f t="shared" si="15"/>
        <v>2</v>
      </c>
      <c r="C241">
        <f t="shared" si="19"/>
        <v>0</v>
      </c>
      <c r="D241">
        <f t="shared" si="16"/>
        <v>0</v>
      </c>
      <c r="E241">
        <f>IF($B$2&lt;&gt;$I$3,COUNTIF(Tab_fériés[date],A241),0)</f>
        <v>0</v>
      </c>
      <c r="F241">
        <f t="shared" si="17"/>
        <v>0</v>
      </c>
      <c r="O241" s="3">
        <v>45519</v>
      </c>
      <c r="P241">
        <v>2024</v>
      </c>
      <c r="Q241" t="s">
        <v>275</v>
      </c>
      <c r="R241" t="s">
        <v>284</v>
      </c>
    </row>
    <row r="242" spans="1:18">
      <c r="A242" s="3">
        <f t="shared" si="18"/>
        <v>45896</v>
      </c>
      <c r="B242">
        <f t="shared" si="15"/>
        <v>3</v>
      </c>
      <c r="C242">
        <f t="shared" si="19"/>
        <v>0</v>
      </c>
      <c r="D242">
        <f t="shared" si="16"/>
        <v>0</v>
      </c>
      <c r="E242">
        <f>IF($B$2&lt;&gt;$I$3,COUNTIF(Tab_fériés[date],A242),0)</f>
        <v>0</v>
      </c>
      <c r="F242">
        <f t="shared" si="17"/>
        <v>0</v>
      </c>
      <c r="O242" s="3">
        <v>45597</v>
      </c>
      <c r="P242">
        <v>2024</v>
      </c>
      <c r="Q242" t="s">
        <v>275</v>
      </c>
      <c r="R242" t="s">
        <v>285</v>
      </c>
    </row>
    <row r="243" spans="1:18">
      <c r="A243" s="3">
        <f t="shared" si="18"/>
        <v>45897</v>
      </c>
      <c r="B243">
        <f t="shared" si="15"/>
        <v>4</v>
      </c>
      <c r="C243">
        <f t="shared" si="19"/>
        <v>0</v>
      </c>
      <c r="D243">
        <f t="shared" si="16"/>
        <v>0</v>
      </c>
      <c r="E243">
        <f>IF($B$2&lt;&gt;$I$3,COUNTIF(Tab_fériés[date],A243),0)</f>
        <v>0</v>
      </c>
      <c r="F243">
        <f t="shared" si="17"/>
        <v>0</v>
      </c>
      <c r="O243" s="3">
        <v>45607</v>
      </c>
      <c r="P243">
        <v>2024</v>
      </c>
      <c r="Q243" t="s">
        <v>275</v>
      </c>
      <c r="R243" s="148">
        <v>45241</v>
      </c>
    </row>
    <row r="244" spans="1:18">
      <c r="A244" s="3">
        <f t="shared" si="18"/>
        <v>45898</v>
      </c>
      <c r="B244">
        <f t="shared" si="15"/>
        <v>5</v>
      </c>
      <c r="C244">
        <f t="shared" si="19"/>
        <v>0</v>
      </c>
      <c r="D244">
        <f t="shared" si="16"/>
        <v>0</v>
      </c>
      <c r="E244">
        <f>IF($B$2&lt;&gt;$I$3,COUNTIF(Tab_fériés[date],A244),0)</f>
        <v>0</v>
      </c>
      <c r="F244">
        <f t="shared" si="17"/>
        <v>0</v>
      </c>
      <c r="O244" s="3">
        <v>45651</v>
      </c>
      <c r="P244">
        <v>2024</v>
      </c>
      <c r="Q244" t="s">
        <v>275</v>
      </c>
      <c r="R244" t="s">
        <v>286</v>
      </c>
    </row>
    <row r="245" spans="1:18">
      <c r="A245" s="3">
        <f t="shared" si="18"/>
        <v>45899</v>
      </c>
      <c r="B245">
        <f t="shared" si="15"/>
        <v>6</v>
      </c>
      <c r="C245">
        <f t="shared" si="19"/>
        <v>0</v>
      </c>
      <c r="D245">
        <f t="shared" si="16"/>
        <v>0</v>
      </c>
      <c r="E245">
        <f>IF($B$2&lt;&gt;$I$3,COUNTIF(Tab_fériés[date],A245),0)</f>
        <v>0</v>
      </c>
      <c r="F245">
        <f t="shared" si="17"/>
        <v>0</v>
      </c>
      <c r="O245" s="3">
        <v>45658</v>
      </c>
      <c r="P245">
        <v>2025</v>
      </c>
      <c r="Q245" t="s">
        <v>275</v>
      </c>
      <c r="R245" t="s">
        <v>276</v>
      </c>
    </row>
    <row r="246" spans="1:18">
      <c r="A246" s="3">
        <f t="shared" si="18"/>
        <v>45900</v>
      </c>
      <c r="B246">
        <f t="shared" si="15"/>
        <v>7</v>
      </c>
      <c r="C246">
        <f t="shared" si="19"/>
        <v>0</v>
      </c>
      <c r="D246">
        <f t="shared" si="16"/>
        <v>0</v>
      </c>
      <c r="E246">
        <f>IF($B$2&lt;&gt;$I$3,COUNTIF(Tab_fériés[date],A246),0)</f>
        <v>0</v>
      </c>
      <c r="F246">
        <f t="shared" si="17"/>
        <v>0</v>
      </c>
      <c r="O246" s="3">
        <v>45768</v>
      </c>
      <c r="P246">
        <v>2025</v>
      </c>
      <c r="Q246" t="s">
        <v>275</v>
      </c>
      <c r="R246" t="s">
        <v>277</v>
      </c>
    </row>
    <row r="247" spans="1:18">
      <c r="A247" s="3">
        <f t="shared" si="18"/>
        <v>45901</v>
      </c>
      <c r="B247">
        <f t="shared" si="15"/>
        <v>1</v>
      </c>
      <c r="C247">
        <f t="shared" si="19"/>
        <v>0</v>
      </c>
      <c r="D247">
        <f t="shared" si="16"/>
        <v>0</v>
      </c>
      <c r="E247">
        <f>IF($B$2&lt;&gt;$I$3,COUNTIF(Tab_fériés[date],A247),0)</f>
        <v>0</v>
      </c>
      <c r="F247">
        <f t="shared" si="17"/>
        <v>0</v>
      </c>
      <c r="O247" s="3">
        <v>45778</v>
      </c>
      <c r="P247">
        <v>2025</v>
      </c>
      <c r="Q247" t="s">
        <v>275</v>
      </c>
      <c r="R247" t="s">
        <v>278</v>
      </c>
    </row>
    <row r="248" spans="1:18">
      <c r="A248" s="3">
        <f t="shared" si="18"/>
        <v>45902</v>
      </c>
      <c r="B248">
        <f t="shared" si="15"/>
        <v>2</v>
      </c>
      <c r="C248">
        <f t="shared" si="19"/>
        <v>0</v>
      </c>
      <c r="D248">
        <f t="shared" si="16"/>
        <v>0</v>
      </c>
      <c r="E248">
        <f>IF($B$2&lt;&gt;$I$3,COUNTIF(Tab_fériés[date],A248),0)</f>
        <v>0</v>
      </c>
      <c r="F248">
        <f t="shared" si="17"/>
        <v>0</v>
      </c>
      <c r="O248" s="3">
        <v>45785</v>
      </c>
      <c r="P248">
        <v>2025</v>
      </c>
      <c r="Q248" t="s">
        <v>275</v>
      </c>
      <c r="R248" s="148">
        <v>45054</v>
      </c>
    </row>
    <row r="249" spans="1:18">
      <c r="A249" s="3">
        <f t="shared" si="18"/>
        <v>45903</v>
      </c>
      <c r="B249">
        <f t="shared" si="15"/>
        <v>3</v>
      </c>
      <c r="C249">
        <f t="shared" si="19"/>
        <v>0</v>
      </c>
      <c r="D249">
        <f t="shared" si="16"/>
        <v>0</v>
      </c>
      <c r="E249">
        <f>IF($B$2&lt;&gt;$I$3,COUNTIF(Tab_fériés[date],A249),0)</f>
        <v>0</v>
      </c>
      <c r="F249">
        <f t="shared" si="17"/>
        <v>0</v>
      </c>
      <c r="O249" s="3">
        <v>45806</v>
      </c>
      <c r="P249">
        <v>2025</v>
      </c>
      <c r="Q249" t="s">
        <v>275</v>
      </c>
      <c r="R249" t="s">
        <v>281</v>
      </c>
    </row>
    <row r="250" spans="1:18">
      <c r="A250" s="3">
        <f t="shared" si="18"/>
        <v>45904</v>
      </c>
      <c r="B250">
        <f t="shared" si="15"/>
        <v>4</v>
      </c>
      <c r="C250">
        <f t="shared" si="19"/>
        <v>0</v>
      </c>
      <c r="D250">
        <f t="shared" si="16"/>
        <v>0</v>
      </c>
      <c r="E250">
        <f>IF($B$2&lt;&gt;$I$3,COUNTIF(Tab_fériés[date],A250),0)</f>
        <v>0</v>
      </c>
      <c r="F250">
        <f t="shared" si="17"/>
        <v>0</v>
      </c>
      <c r="O250" s="3">
        <v>45817</v>
      </c>
      <c r="P250">
        <v>2025</v>
      </c>
      <c r="Q250" t="s">
        <v>275</v>
      </c>
      <c r="R250" t="s">
        <v>282</v>
      </c>
    </row>
    <row r="251" spans="1:18">
      <c r="A251" s="3">
        <f t="shared" si="18"/>
        <v>45905</v>
      </c>
      <c r="B251">
        <f t="shared" si="15"/>
        <v>5</v>
      </c>
      <c r="C251">
        <f t="shared" si="19"/>
        <v>0</v>
      </c>
      <c r="D251">
        <f t="shared" si="16"/>
        <v>0</v>
      </c>
      <c r="E251">
        <f>IF($B$2&lt;&gt;$I$3,COUNTIF(Tab_fériés[date],A251),0)</f>
        <v>0</v>
      </c>
      <c r="F251">
        <f t="shared" si="17"/>
        <v>0</v>
      </c>
      <c r="O251" s="3">
        <v>45852</v>
      </c>
      <c r="P251">
        <v>2025</v>
      </c>
      <c r="Q251" t="s">
        <v>275</v>
      </c>
      <c r="R251" s="148">
        <v>45121</v>
      </c>
    </row>
    <row r="252" spans="1:18">
      <c r="A252" s="3">
        <f t="shared" si="18"/>
        <v>45906</v>
      </c>
      <c r="B252">
        <f t="shared" si="15"/>
        <v>6</v>
      </c>
      <c r="C252">
        <f t="shared" si="19"/>
        <v>0</v>
      </c>
      <c r="D252">
        <f t="shared" si="16"/>
        <v>0</v>
      </c>
      <c r="E252">
        <f>IF($B$2&lt;&gt;$I$3,COUNTIF(Tab_fériés[date],A252),0)</f>
        <v>0</v>
      </c>
      <c r="F252">
        <f t="shared" si="17"/>
        <v>0</v>
      </c>
      <c r="O252" s="3">
        <v>45884</v>
      </c>
      <c r="P252">
        <v>2025</v>
      </c>
      <c r="Q252" t="s">
        <v>275</v>
      </c>
      <c r="R252" t="s">
        <v>284</v>
      </c>
    </row>
    <row r="253" spans="1:18">
      <c r="A253" s="3">
        <f t="shared" si="18"/>
        <v>45907</v>
      </c>
      <c r="B253">
        <f t="shared" si="15"/>
        <v>7</v>
      </c>
      <c r="C253">
        <f t="shared" si="19"/>
        <v>0</v>
      </c>
      <c r="D253">
        <f t="shared" si="16"/>
        <v>0</v>
      </c>
      <c r="E253">
        <f>IF($B$2&lt;&gt;$I$3,COUNTIF(Tab_fériés[date],A253),0)</f>
        <v>0</v>
      </c>
      <c r="F253">
        <f t="shared" si="17"/>
        <v>0</v>
      </c>
      <c r="O253" s="3">
        <v>45962</v>
      </c>
      <c r="P253">
        <v>2025</v>
      </c>
      <c r="Q253" t="s">
        <v>275</v>
      </c>
      <c r="R253" t="s">
        <v>285</v>
      </c>
    </row>
    <row r="254" spans="1:18">
      <c r="A254" s="3">
        <f t="shared" si="18"/>
        <v>45908</v>
      </c>
      <c r="B254">
        <f t="shared" si="15"/>
        <v>1</v>
      </c>
      <c r="C254">
        <f t="shared" si="19"/>
        <v>0</v>
      </c>
      <c r="D254">
        <f t="shared" si="16"/>
        <v>0</v>
      </c>
      <c r="E254">
        <f>IF($B$2&lt;&gt;$I$3,COUNTIF(Tab_fériés[date],A254),0)</f>
        <v>0</v>
      </c>
      <c r="F254">
        <f t="shared" si="17"/>
        <v>0</v>
      </c>
      <c r="O254" s="3">
        <v>45972</v>
      </c>
      <c r="P254">
        <v>2025</v>
      </c>
      <c r="Q254" t="s">
        <v>275</v>
      </c>
      <c r="R254" s="148">
        <v>45241</v>
      </c>
    </row>
    <row r="255" spans="1:18">
      <c r="A255" s="3">
        <f t="shared" si="18"/>
        <v>45909</v>
      </c>
      <c r="B255">
        <f t="shared" si="15"/>
        <v>2</v>
      </c>
      <c r="C255">
        <f t="shared" si="19"/>
        <v>0</v>
      </c>
      <c r="D255">
        <f t="shared" si="16"/>
        <v>0</v>
      </c>
      <c r="E255">
        <f>IF($B$2&lt;&gt;$I$3,COUNTIF(Tab_fériés[date],A255),0)</f>
        <v>0</v>
      </c>
      <c r="F255">
        <f t="shared" si="17"/>
        <v>0</v>
      </c>
      <c r="O255" s="3">
        <v>46016</v>
      </c>
      <c r="P255">
        <v>2025</v>
      </c>
      <c r="Q255" t="s">
        <v>275</v>
      </c>
      <c r="R255" t="s">
        <v>286</v>
      </c>
    </row>
    <row r="256" spans="1:18">
      <c r="A256" s="3">
        <f t="shared" si="18"/>
        <v>45910</v>
      </c>
      <c r="B256">
        <f t="shared" si="15"/>
        <v>3</v>
      </c>
      <c r="C256">
        <f t="shared" si="19"/>
        <v>0</v>
      </c>
      <c r="D256">
        <f t="shared" si="16"/>
        <v>0</v>
      </c>
      <c r="E256">
        <f>IF($B$2&lt;&gt;$I$3,COUNTIF(Tab_fériés[date],A256),0)</f>
        <v>0</v>
      </c>
      <c r="F256">
        <f t="shared" si="17"/>
        <v>0</v>
      </c>
      <c r="O256" s="3">
        <v>46023</v>
      </c>
      <c r="P256">
        <v>2026</v>
      </c>
      <c r="Q256" t="s">
        <v>275</v>
      </c>
      <c r="R256" t="s">
        <v>276</v>
      </c>
    </row>
    <row r="257" spans="1:18">
      <c r="A257" s="3">
        <f t="shared" si="18"/>
        <v>45911</v>
      </c>
      <c r="B257">
        <f t="shared" si="15"/>
        <v>4</v>
      </c>
      <c r="C257">
        <f t="shared" si="19"/>
        <v>0</v>
      </c>
      <c r="D257">
        <f t="shared" si="16"/>
        <v>0</v>
      </c>
      <c r="E257">
        <f>IF($B$2&lt;&gt;$I$3,COUNTIF(Tab_fériés[date],A257),0)</f>
        <v>0</v>
      </c>
      <c r="F257">
        <f t="shared" si="17"/>
        <v>0</v>
      </c>
      <c r="O257" s="3">
        <v>46118</v>
      </c>
      <c r="P257">
        <v>2026</v>
      </c>
      <c r="Q257" t="s">
        <v>275</v>
      </c>
      <c r="R257" t="s">
        <v>277</v>
      </c>
    </row>
    <row r="258" spans="1:18">
      <c r="A258" s="3">
        <f t="shared" si="18"/>
        <v>45912</v>
      </c>
      <c r="B258">
        <f t="shared" si="15"/>
        <v>5</v>
      </c>
      <c r="C258">
        <f t="shared" si="19"/>
        <v>0</v>
      </c>
      <c r="D258">
        <f t="shared" si="16"/>
        <v>0</v>
      </c>
      <c r="E258">
        <f>IF($B$2&lt;&gt;$I$3,COUNTIF(Tab_fériés[date],A258),0)</f>
        <v>0</v>
      </c>
      <c r="F258">
        <f t="shared" si="17"/>
        <v>0</v>
      </c>
      <c r="O258" s="3">
        <v>46143</v>
      </c>
      <c r="P258">
        <v>2026</v>
      </c>
      <c r="Q258" t="s">
        <v>275</v>
      </c>
      <c r="R258" t="s">
        <v>278</v>
      </c>
    </row>
    <row r="259" spans="1:18">
      <c r="A259" s="3">
        <f t="shared" si="18"/>
        <v>45913</v>
      </c>
      <c r="B259">
        <f t="shared" si="15"/>
        <v>6</v>
      </c>
      <c r="C259">
        <f t="shared" si="19"/>
        <v>0</v>
      </c>
      <c r="D259">
        <f t="shared" si="16"/>
        <v>0</v>
      </c>
      <c r="E259">
        <f>IF($B$2&lt;&gt;$I$3,COUNTIF(Tab_fériés[date],A259),0)</f>
        <v>0</v>
      </c>
      <c r="F259">
        <f t="shared" si="17"/>
        <v>0</v>
      </c>
      <c r="O259" s="3">
        <v>46150</v>
      </c>
      <c r="P259">
        <v>2026</v>
      </c>
      <c r="Q259" t="s">
        <v>275</v>
      </c>
      <c r="R259" s="148">
        <v>45054</v>
      </c>
    </row>
    <row r="260" spans="1:18">
      <c r="A260" s="3">
        <f t="shared" si="18"/>
        <v>45914</v>
      </c>
      <c r="B260">
        <f t="shared" si="15"/>
        <v>7</v>
      </c>
      <c r="C260">
        <f t="shared" si="19"/>
        <v>0</v>
      </c>
      <c r="D260">
        <f t="shared" si="16"/>
        <v>0</v>
      </c>
      <c r="E260">
        <f>IF($B$2&lt;&gt;$I$3,COUNTIF(Tab_fériés[date],A260),0)</f>
        <v>0</v>
      </c>
      <c r="F260">
        <f t="shared" si="17"/>
        <v>0</v>
      </c>
      <c r="O260" s="3">
        <v>46156</v>
      </c>
      <c r="P260">
        <v>2026</v>
      </c>
      <c r="Q260" t="s">
        <v>275</v>
      </c>
      <c r="R260" t="s">
        <v>281</v>
      </c>
    </row>
    <row r="261" spans="1:18">
      <c r="A261" s="3">
        <f t="shared" si="18"/>
        <v>45915</v>
      </c>
      <c r="B261">
        <f t="shared" ref="B261:B324" si="20">WEEKDAY(A261,2)</f>
        <v>1</v>
      </c>
      <c r="C261">
        <f t="shared" si="19"/>
        <v>0</v>
      </c>
      <c r="D261">
        <f t="shared" ref="D261:D324" si="21">IF(AND(B261=7,$B$2&lt;&gt;$I$3),1,0)</f>
        <v>0</v>
      </c>
      <c r="E261">
        <f>IF($B$2&lt;&gt;$I$3,COUNTIF(Tab_fériés[date],A261),0)</f>
        <v>0</v>
      </c>
      <c r="F261">
        <f t="shared" ref="F261:F324" si="22">IFERROR(IF(SUM(C261:E261)&gt;0,1,0),0)</f>
        <v>0</v>
      </c>
      <c r="O261" s="3">
        <v>46167</v>
      </c>
      <c r="P261">
        <v>2026</v>
      </c>
      <c r="Q261" t="s">
        <v>275</v>
      </c>
      <c r="R261" t="s">
        <v>282</v>
      </c>
    </row>
    <row r="262" spans="1:18">
      <c r="A262" s="3">
        <f t="shared" ref="A262:A325" si="23">A261+1</f>
        <v>45916</v>
      </c>
      <c r="B262">
        <f t="shared" si="20"/>
        <v>2</v>
      </c>
      <c r="C262">
        <f t="shared" ref="C262:C325" si="24">IF(AND(B262=6,$B$2&lt;&gt;$I$3,$B$2&lt;&gt;$I$5),1,0)</f>
        <v>0</v>
      </c>
      <c r="D262">
        <f t="shared" si="21"/>
        <v>0</v>
      </c>
      <c r="E262">
        <f>IF($B$2&lt;&gt;$I$3,COUNTIF(Tab_fériés[date],A262),0)</f>
        <v>0</v>
      </c>
      <c r="F262">
        <f t="shared" si="22"/>
        <v>0</v>
      </c>
      <c r="O262" s="3">
        <v>46217</v>
      </c>
      <c r="P262">
        <v>2026</v>
      </c>
      <c r="Q262" t="s">
        <v>275</v>
      </c>
      <c r="R262" s="148">
        <v>45121</v>
      </c>
    </row>
    <row r="263" spans="1:18">
      <c r="A263" s="3">
        <f t="shared" si="23"/>
        <v>45917</v>
      </c>
      <c r="B263">
        <f t="shared" si="20"/>
        <v>3</v>
      </c>
      <c r="C263">
        <f t="shared" si="24"/>
        <v>0</v>
      </c>
      <c r="D263">
        <f t="shared" si="21"/>
        <v>0</v>
      </c>
      <c r="E263">
        <f>IF($B$2&lt;&gt;$I$3,COUNTIF(Tab_fériés[date],A263),0)</f>
        <v>0</v>
      </c>
      <c r="F263">
        <f t="shared" si="22"/>
        <v>0</v>
      </c>
      <c r="O263" s="3">
        <v>46249</v>
      </c>
      <c r="P263">
        <v>2026</v>
      </c>
      <c r="Q263" t="s">
        <v>275</v>
      </c>
      <c r="R263" t="s">
        <v>284</v>
      </c>
    </row>
    <row r="264" spans="1:18">
      <c r="A264" s="3">
        <f t="shared" si="23"/>
        <v>45918</v>
      </c>
      <c r="B264">
        <f t="shared" si="20"/>
        <v>4</v>
      </c>
      <c r="C264">
        <f t="shared" si="24"/>
        <v>0</v>
      </c>
      <c r="D264">
        <f t="shared" si="21"/>
        <v>0</v>
      </c>
      <c r="E264">
        <f>IF($B$2&lt;&gt;$I$3,COUNTIF(Tab_fériés[date],A264),0)</f>
        <v>0</v>
      </c>
      <c r="F264">
        <f t="shared" si="22"/>
        <v>0</v>
      </c>
      <c r="O264" s="3">
        <v>46327</v>
      </c>
      <c r="P264">
        <v>2026</v>
      </c>
      <c r="Q264" t="s">
        <v>275</v>
      </c>
      <c r="R264" t="s">
        <v>285</v>
      </c>
    </row>
    <row r="265" spans="1:18">
      <c r="A265" s="3">
        <f t="shared" si="23"/>
        <v>45919</v>
      </c>
      <c r="B265">
        <f t="shared" si="20"/>
        <v>5</v>
      </c>
      <c r="C265">
        <f t="shared" si="24"/>
        <v>0</v>
      </c>
      <c r="D265">
        <f t="shared" si="21"/>
        <v>0</v>
      </c>
      <c r="E265">
        <f>IF($B$2&lt;&gt;$I$3,COUNTIF(Tab_fériés[date],A265),0)</f>
        <v>0</v>
      </c>
      <c r="F265">
        <f t="shared" si="22"/>
        <v>0</v>
      </c>
      <c r="O265" s="3">
        <v>46337</v>
      </c>
      <c r="P265">
        <v>2026</v>
      </c>
      <c r="Q265" t="s">
        <v>275</v>
      </c>
      <c r="R265" s="148">
        <v>45241</v>
      </c>
    </row>
    <row r="266" spans="1:18">
      <c r="A266" s="3">
        <f t="shared" si="23"/>
        <v>45920</v>
      </c>
      <c r="B266">
        <f t="shared" si="20"/>
        <v>6</v>
      </c>
      <c r="C266">
        <f t="shared" si="24"/>
        <v>0</v>
      </c>
      <c r="D266">
        <f t="shared" si="21"/>
        <v>0</v>
      </c>
      <c r="E266">
        <f>IF($B$2&lt;&gt;$I$3,COUNTIF(Tab_fériés[date],A266),0)</f>
        <v>0</v>
      </c>
      <c r="F266">
        <f t="shared" si="22"/>
        <v>0</v>
      </c>
      <c r="O266" s="3">
        <v>46381</v>
      </c>
      <c r="P266">
        <v>2026</v>
      </c>
      <c r="Q266" t="s">
        <v>275</v>
      </c>
      <c r="R266" t="s">
        <v>286</v>
      </c>
    </row>
    <row r="267" spans="1:18">
      <c r="A267" s="3">
        <f t="shared" si="23"/>
        <v>45921</v>
      </c>
      <c r="B267">
        <f t="shared" si="20"/>
        <v>7</v>
      </c>
      <c r="C267">
        <f t="shared" si="24"/>
        <v>0</v>
      </c>
      <c r="D267">
        <f t="shared" si="21"/>
        <v>0</v>
      </c>
      <c r="E267">
        <f>IF($B$2&lt;&gt;$I$3,COUNTIF(Tab_fériés[date],A267),0)</f>
        <v>0</v>
      </c>
      <c r="F267">
        <f t="shared" si="22"/>
        <v>0</v>
      </c>
      <c r="O267" s="3">
        <v>46388</v>
      </c>
      <c r="P267">
        <v>2027</v>
      </c>
      <c r="Q267" t="s">
        <v>275</v>
      </c>
      <c r="R267" t="s">
        <v>276</v>
      </c>
    </row>
    <row r="268" spans="1:18">
      <c r="A268" s="3">
        <f t="shared" si="23"/>
        <v>45922</v>
      </c>
      <c r="B268">
        <f t="shared" si="20"/>
        <v>1</v>
      </c>
      <c r="C268">
        <f t="shared" si="24"/>
        <v>0</v>
      </c>
      <c r="D268">
        <f t="shared" si="21"/>
        <v>0</v>
      </c>
      <c r="E268">
        <f>IF($B$2&lt;&gt;$I$3,COUNTIF(Tab_fériés[date],A268),0)</f>
        <v>0</v>
      </c>
      <c r="F268">
        <f t="shared" si="22"/>
        <v>0</v>
      </c>
      <c r="O268" s="3">
        <v>46475</v>
      </c>
      <c r="P268">
        <v>2027</v>
      </c>
      <c r="Q268" t="s">
        <v>275</v>
      </c>
      <c r="R268" t="s">
        <v>277</v>
      </c>
    </row>
    <row r="269" spans="1:18">
      <c r="A269" s="3">
        <f t="shared" si="23"/>
        <v>45923</v>
      </c>
      <c r="B269">
        <f t="shared" si="20"/>
        <v>2</v>
      </c>
      <c r="C269">
        <f t="shared" si="24"/>
        <v>0</v>
      </c>
      <c r="D269">
        <f t="shared" si="21"/>
        <v>0</v>
      </c>
      <c r="E269">
        <f>IF($B$2&lt;&gt;$I$3,COUNTIF(Tab_fériés[date],A269),0)</f>
        <v>0</v>
      </c>
      <c r="F269">
        <f t="shared" si="22"/>
        <v>0</v>
      </c>
      <c r="O269" s="3">
        <v>46508</v>
      </c>
      <c r="P269">
        <v>2027</v>
      </c>
      <c r="Q269" t="s">
        <v>275</v>
      </c>
      <c r="R269" t="s">
        <v>278</v>
      </c>
    </row>
    <row r="270" spans="1:18">
      <c r="A270" s="3">
        <f t="shared" si="23"/>
        <v>45924</v>
      </c>
      <c r="B270">
        <f t="shared" si="20"/>
        <v>3</v>
      </c>
      <c r="C270">
        <f t="shared" si="24"/>
        <v>0</v>
      </c>
      <c r="D270">
        <f t="shared" si="21"/>
        <v>0</v>
      </c>
      <c r="E270">
        <f>IF($B$2&lt;&gt;$I$3,COUNTIF(Tab_fériés[date],A270),0)</f>
        <v>0</v>
      </c>
      <c r="F270">
        <f t="shared" si="22"/>
        <v>0</v>
      </c>
      <c r="O270" s="3">
        <v>46513</v>
      </c>
      <c r="P270">
        <v>2027</v>
      </c>
      <c r="Q270" t="s">
        <v>275</v>
      </c>
      <c r="R270" t="s">
        <v>281</v>
      </c>
    </row>
    <row r="271" spans="1:18">
      <c r="A271" s="3">
        <f t="shared" si="23"/>
        <v>45925</v>
      </c>
      <c r="B271">
        <f t="shared" si="20"/>
        <v>4</v>
      </c>
      <c r="C271">
        <f t="shared" si="24"/>
        <v>0</v>
      </c>
      <c r="D271">
        <f t="shared" si="21"/>
        <v>0</v>
      </c>
      <c r="E271">
        <f>IF($B$2&lt;&gt;$I$3,COUNTIF(Tab_fériés[date],A271),0)</f>
        <v>0</v>
      </c>
      <c r="F271">
        <f t="shared" si="22"/>
        <v>0</v>
      </c>
      <c r="O271" s="3">
        <v>46515</v>
      </c>
      <c r="P271">
        <v>2027</v>
      </c>
      <c r="Q271" t="s">
        <v>275</v>
      </c>
      <c r="R271" s="148">
        <v>45054</v>
      </c>
    </row>
    <row r="272" spans="1:18">
      <c r="A272" s="3">
        <f t="shared" si="23"/>
        <v>45926</v>
      </c>
      <c r="B272">
        <f t="shared" si="20"/>
        <v>5</v>
      </c>
      <c r="C272">
        <f t="shared" si="24"/>
        <v>0</v>
      </c>
      <c r="D272">
        <f t="shared" si="21"/>
        <v>0</v>
      </c>
      <c r="E272">
        <f>IF($B$2&lt;&gt;$I$3,COUNTIF(Tab_fériés[date],A272),0)</f>
        <v>0</v>
      </c>
      <c r="F272">
        <f t="shared" si="22"/>
        <v>0</v>
      </c>
      <c r="O272" s="3">
        <v>46524</v>
      </c>
      <c r="P272">
        <v>2027</v>
      </c>
      <c r="Q272" t="s">
        <v>275</v>
      </c>
      <c r="R272" t="s">
        <v>282</v>
      </c>
    </row>
    <row r="273" spans="1:18">
      <c r="A273" s="3">
        <f t="shared" si="23"/>
        <v>45927</v>
      </c>
      <c r="B273">
        <f t="shared" si="20"/>
        <v>6</v>
      </c>
      <c r="C273">
        <f t="shared" si="24"/>
        <v>0</v>
      </c>
      <c r="D273">
        <f t="shared" si="21"/>
        <v>0</v>
      </c>
      <c r="E273">
        <f>IF($B$2&lt;&gt;$I$3,COUNTIF(Tab_fériés[date],A273),0)</f>
        <v>0</v>
      </c>
      <c r="F273">
        <f t="shared" si="22"/>
        <v>0</v>
      </c>
      <c r="O273" s="3">
        <v>46582</v>
      </c>
      <c r="P273">
        <v>2027</v>
      </c>
      <c r="Q273" t="s">
        <v>275</v>
      </c>
      <c r="R273" s="148">
        <v>45121</v>
      </c>
    </row>
    <row r="274" spans="1:18">
      <c r="A274" s="3">
        <f t="shared" si="23"/>
        <v>45928</v>
      </c>
      <c r="B274">
        <f t="shared" si="20"/>
        <v>7</v>
      </c>
      <c r="C274">
        <f t="shared" si="24"/>
        <v>0</v>
      </c>
      <c r="D274">
        <f t="shared" si="21"/>
        <v>0</v>
      </c>
      <c r="E274">
        <f>IF($B$2&lt;&gt;$I$3,COUNTIF(Tab_fériés[date],A274),0)</f>
        <v>0</v>
      </c>
      <c r="F274">
        <f t="shared" si="22"/>
        <v>0</v>
      </c>
      <c r="O274" s="3">
        <v>46614</v>
      </c>
      <c r="P274">
        <v>2027</v>
      </c>
      <c r="Q274" t="s">
        <v>275</v>
      </c>
      <c r="R274" t="s">
        <v>284</v>
      </c>
    </row>
    <row r="275" spans="1:18">
      <c r="A275" s="3">
        <f t="shared" si="23"/>
        <v>45929</v>
      </c>
      <c r="B275">
        <f t="shared" si="20"/>
        <v>1</v>
      </c>
      <c r="C275">
        <f t="shared" si="24"/>
        <v>0</v>
      </c>
      <c r="D275">
        <f t="shared" si="21"/>
        <v>0</v>
      </c>
      <c r="E275">
        <f>IF($B$2&lt;&gt;$I$3,COUNTIF(Tab_fériés[date],A275),0)</f>
        <v>0</v>
      </c>
      <c r="F275">
        <f t="shared" si="22"/>
        <v>0</v>
      </c>
      <c r="O275" s="3">
        <v>46692</v>
      </c>
      <c r="P275">
        <v>2027</v>
      </c>
      <c r="Q275" t="s">
        <v>275</v>
      </c>
      <c r="R275" t="s">
        <v>285</v>
      </c>
    </row>
    <row r="276" spans="1:18">
      <c r="A276" s="3">
        <f t="shared" si="23"/>
        <v>45930</v>
      </c>
      <c r="B276">
        <f t="shared" si="20"/>
        <v>2</v>
      </c>
      <c r="C276">
        <f t="shared" si="24"/>
        <v>0</v>
      </c>
      <c r="D276">
        <f t="shared" si="21"/>
        <v>0</v>
      </c>
      <c r="E276">
        <f>IF($B$2&lt;&gt;$I$3,COUNTIF(Tab_fériés[date],A276),0)</f>
        <v>0</v>
      </c>
      <c r="F276">
        <f t="shared" si="22"/>
        <v>0</v>
      </c>
      <c r="O276" s="3">
        <v>46702</v>
      </c>
      <c r="P276">
        <v>2027</v>
      </c>
      <c r="Q276" t="s">
        <v>275</v>
      </c>
      <c r="R276" s="148">
        <v>45241</v>
      </c>
    </row>
    <row r="277" spans="1:18">
      <c r="A277" s="3">
        <f t="shared" si="23"/>
        <v>45931</v>
      </c>
      <c r="B277">
        <f t="shared" si="20"/>
        <v>3</v>
      </c>
      <c r="C277">
        <f t="shared" si="24"/>
        <v>0</v>
      </c>
      <c r="D277">
        <f t="shared" si="21"/>
        <v>0</v>
      </c>
      <c r="E277">
        <f>IF($B$2&lt;&gt;$I$3,COUNTIF(Tab_fériés[date],A277),0)</f>
        <v>0</v>
      </c>
      <c r="F277">
        <f t="shared" si="22"/>
        <v>0</v>
      </c>
      <c r="O277" s="3">
        <v>46746</v>
      </c>
      <c r="P277">
        <v>2027</v>
      </c>
      <c r="Q277" t="s">
        <v>275</v>
      </c>
      <c r="R277" t="s">
        <v>286</v>
      </c>
    </row>
    <row r="278" spans="1:18">
      <c r="A278" s="3">
        <f t="shared" si="23"/>
        <v>45932</v>
      </c>
      <c r="B278">
        <f t="shared" si="20"/>
        <v>4</v>
      </c>
      <c r="C278">
        <f t="shared" si="24"/>
        <v>0</v>
      </c>
      <c r="D278">
        <f t="shared" si="21"/>
        <v>0</v>
      </c>
      <c r="E278">
        <f>IF($B$2&lt;&gt;$I$3,COUNTIF(Tab_fériés[date],A278),0)</f>
        <v>0</v>
      </c>
      <c r="F278">
        <f t="shared" si="22"/>
        <v>0</v>
      </c>
      <c r="O278" s="3">
        <v>46753</v>
      </c>
      <c r="P278">
        <v>2028</v>
      </c>
      <c r="Q278" t="s">
        <v>275</v>
      </c>
      <c r="R278" t="s">
        <v>276</v>
      </c>
    </row>
    <row r="279" spans="1:18">
      <c r="A279" s="3">
        <f t="shared" si="23"/>
        <v>45933</v>
      </c>
      <c r="B279">
        <f t="shared" si="20"/>
        <v>5</v>
      </c>
      <c r="C279">
        <f t="shared" si="24"/>
        <v>0</v>
      </c>
      <c r="D279">
        <f t="shared" si="21"/>
        <v>0</v>
      </c>
      <c r="E279">
        <f>IF($B$2&lt;&gt;$I$3,COUNTIF(Tab_fériés[date],A279),0)</f>
        <v>0</v>
      </c>
      <c r="F279">
        <f t="shared" si="22"/>
        <v>0</v>
      </c>
      <c r="O279" s="3">
        <v>46860</v>
      </c>
      <c r="P279">
        <v>2028</v>
      </c>
      <c r="Q279" t="s">
        <v>275</v>
      </c>
      <c r="R279" t="s">
        <v>277</v>
      </c>
    </row>
    <row r="280" spans="1:18">
      <c r="A280" s="3">
        <f t="shared" si="23"/>
        <v>45934</v>
      </c>
      <c r="B280">
        <f t="shared" si="20"/>
        <v>6</v>
      </c>
      <c r="C280">
        <f t="shared" si="24"/>
        <v>0</v>
      </c>
      <c r="D280">
        <f t="shared" si="21"/>
        <v>0</v>
      </c>
      <c r="E280">
        <f>IF($B$2&lt;&gt;$I$3,COUNTIF(Tab_fériés[date],A280),0)</f>
        <v>0</v>
      </c>
      <c r="F280">
        <f t="shared" si="22"/>
        <v>0</v>
      </c>
      <c r="O280" s="3">
        <v>46874</v>
      </c>
      <c r="P280">
        <v>2028</v>
      </c>
      <c r="Q280" t="s">
        <v>275</v>
      </c>
      <c r="R280" t="s">
        <v>278</v>
      </c>
    </row>
    <row r="281" spans="1:18">
      <c r="A281" s="3">
        <f t="shared" si="23"/>
        <v>45935</v>
      </c>
      <c r="B281">
        <f t="shared" si="20"/>
        <v>7</v>
      </c>
      <c r="C281">
        <f t="shared" si="24"/>
        <v>0</v>
      </c>
      <c r="D281">
        <f t="shared" si="21"/>
        <v>0</v>
      </c>
      <c r="E281">
        <f>IF($B$2&lt;&gt;$I$3,COUNTIF(Tab_fériés[date],A281),0)</f>
        <v>0</v>
      </c>
      <c r="F281">
        <f t="shared" si="22"/>
        <v>0</v>
      </c>
      <c r="O281" s="3">
        <v>46881</v>
      </c>
      <c r="P281">
        <v>2028</v>
      </c>
      <c r="Q281" t="s">
        <v>275</v>
      </c>
      <c r="R281" s="148">
        <v>45054</v>
      </c>
    </row>
    <row r="282" spans="1:18">
      <c r="A282" s="3">
        <f t="shared" si="23"/>
        <v>45936</v>
      </c>
      <c r="B282">
        <f t="shared" si="20"/>
        <v>1</v>
      </c>
      <c r="C282">
        <f t="shared" si="24"/>
        <v>0</v>
      </c>
      <c r="D282">
        <f t="shared" si="21"/>
        <v>0</v>
      </c>
      <c r="E282">
        <f>IF($B$2&lt;&gt;$I$3,COUNTIF(Tab_fériés[date],A282),0)</f>
        <v>0</v>
      </c>
      <c r="F282">
        <f t="shared" si="22"/>
        <v>0</v>
      </c>
      <c r="O282" s="3">
        <v>46898</v>
      </c>
      <c r="P282">
        <v>2028</v>
      </c>
      <c r="Q282" t="s">
        <v>275</v>
      </c>
      <c r="R282" t="s">
        <v>281</v>
      </c>
    </row>
    <row r="283" spans="1:18">
      <c r="A283" s="3">
        <f t="shared" si="23"/>
        <v>45937</v>
      </c>
      <c r="B283">
        <f t="shared" si="20"/>
        <v>2</v>
      </c>
      <c r="C283">
        <f t="shared" si="24"/>
        <v>0</v>
      </c>
      <c r="D283">
        <f t="shared" si="21"/>
        <v>0</v>
      </c>
      <c r="E283">
        <f>IF($B$2&lt;&gt;$I$3,COUNTIF(Tab_fériés[date],A283),0)</f>
        <v>0</v>
      </c>
      <c r="F283">
        <f t="shared" si="22"/>
        <v>0</v>
      </c>
      <c r="O283" s="3">
        <v>46909</v>
      </c>
      <c r="P283">
        <v>2028</v>
      </c>
      <c r="Q283" t="s">
        <v>275</v>
      </c>
      <c r="R283" t="s">
        <v>282</v>
      </c>
    </row>
    <row r="284" spans="1:18">
      <c r="A284" s="3">
        <f t="shared" si="23"/>
        <v>45938</v>
      </c>
      <c r="B284">
        <f t="shared" si="20"/>
        <v>3</v>
      </c>
      <c r="C284">
        <f t="shared" si="24"/>
        <v>0</v>
      </c>
      <c r="D284">
        <f t="shared" si="21"/>
        <v>0</v>
      </c>
      <c r="E284">
        <f>IF($B$2&lt;&gt;$I$3,COUNTIF(Tab_fériés[date],A284),0)</f>
        <v>0</v>
      </c>
      <c r="F284">
        <f t="shared" si="22"/>
        <v>0</v>
      </c>
      <c r="O284" s="3">
        <v>46948</v>
      </c>
      <c r="P284">
        <v>2028</v>
      </c>
      <c r="Q284" t="s">
        <v>275</v>
      </c>
      <c r="R284" s="148">
        <v>45121</v>
      </c>
    </row>
    <row r="285" spans="1:18">
      <c r="A285" s="3">
        <f t="shared" si="23"/>
        <v>45939</v>
      </c>
      <c r="B285">
        <f t="shared" si="20"/>
        <v>4</v>
      </c>
      <c r="C285">
        <f t="shared" si="24"/>
        <v>0</v>
      </c>
      <c r="D285">
        <f t="shared" si="21"/>
        <v>0</v>
      </c>
      <c r="E285">
        <f>IF($B$2&lt;&gt;$I$3,COUNTIF(Tab_fériés[date],A285),0)</f>
        <v>0</v>
      </c>
      <c r="F285">
        <f t="shared" si="22"/>
        <v>0</v>
      </c>
      <c r="O285" s="3">
        <v>46980</v>
      </c>
      <c r="P285">
        <v>2028</v>
      </c>
      <c r="Q285" t="s">
        <v>275</v>
      </c>
      <c r="R285" t="s">
        <v>284</v>
      </c>
    </row>
    <row r="286" spans="1:18">
      <c r="A286" s="3">
        <f t="shared" si="23"/>
        <v>45940</v>
      </c>
      <c r="B286">
        <f t="shared" si="20"/>
        <v>5</v>
      </c>
      <c r="C286">
        <f t="shared" si="24"/>
        <v>0</v>
      </c>
      <c r="D286">
        <f t="shared" si="21"/>
        <v>0</v>
      </c>
      <c r="E286">
        <f>IF($B$2&lt;&gt;$I$3,COUNTIF(Tab_fériés[date],A286),0)</f>
        <v>0</v>
      </c>
      <c r="F286">
        <f t="shared" si="22"/>
        <v>0</v>
      </c>
      <c r="O286" s="3">
        <v>47058</v>
      </c>
      <c r="P286">
        <v>2028</v>
      </c>
      <c r="Q286" t="s">
        <v>275</v>
      </c>
      <c r="R286" t="s">
        <v>285</v>
      </c>
    </row>
    <row r="287" spans="1:18">
      <c r="A287" s="3">
        <f t="shared" si="23"/>
        <v>45941</v>
      </c>
      <c r="B287">
        <f t="shared" si="20"/>
        <v>6</v>
      </c>
      <c r="C287">
        <f t="shared" si="24"/>
        <v>0</v>
      </c>
      <c r="D287">
        <f t="shared" si="21"/>
        <v>0</v>
      </c>
      <c r="E287">
        <f>IF($B$2&lt;&gt;$I$3,COUNTIF(Tab_fériés[date],A287),0)</f>
        <v>0</v>
      </c>
      <c r="F287">
        <f t="shared" si="22"/>
        <v>0</v>
      </c>
      <c r="O287" s="3">
        <v>47068</v>
      </c>
      <c r="P287">
        <v>2028</v>
      </c>
      <c r="Q287" t="s">
        <v>275</v>
      </c>
      <c r="R287" s="148">
        <v>45241</v>
      </c>
    </row>
    <row r="288" spans="1:18">
      <c r="A288" s="3">
        <f t="shared" si="23"/>
        <v>45942</v>
      </c>
      <c r="B288">
        <f t="shared" si="20"/>
        <v>7</v>
      </c>
      <c r="C288">
        <f t="shared" si="24"/>
        <v>0</v>
      </c>
      <c r="D288">
        <f t="shared" si="21"/>
        <v>0</v>
      </c>
      <c r="E288">
        <f>IF($B$2&lt;&gt;$I$3,COUNTIF(Tab_fériés[date],A288),0)</f>
        <v>0</v>
      </c>
      <c r="F288">
        <f t="shared" si="22"/>
        <v>0</v>
      </c>
      <c r="O288" s="3">
        <v>47112</v>
      </c>
      <c r="P288">
        <v>2028</v>
      </c>
      <c r="Q288" t="s">
        <v>275</v>
      </c>
      <c r="R288" t="s">
        <v>286</v>
      </c>
    </row>
    <row r="289" spans="1:6">
      <c r="A289" s="3">
        <f t="shared" si="23"/>
        <v>45943</v>
      </c>
      <c r="B289">
        <f t="shared" si="20"/>
        <v>1</v>
      </c>
      <c r="C289">
        <f t="shared" si="24"/>
        <v>0</v>
      </c>
      <c r="D289">
        <f t="shared" si="21"/>
        <v>0</v>
      </c>
      <c r="E289">
        <f>IF($B$2&lt;&gt;$I$3,COUNTIF(Tab_fériés[date],A289),0)</f>
        <v>0</v>
      </c>
      <c r="F289">
        <f t="shared" si="22"/>
        <v>0</v>
      </c>
    </row>
    <row r="290" spans="1:6">
      <c r="A290" s="3">
        <f t="shared" si="23"/>
        <v>45944</v>
      </c>
      <c r="B290">
        <f t="shared" si="20"/>
        <v>2</v>
      </c>
      <c r="C290">
        <f t="shared" si="24"/>
        <v>0</v>
      </c>
      <c r="D290">
        <f t="shared" si="21"/>
        <v>0</v>
      </c>
      <c r="E290">
        <f>IF($B$2&lt;&gt;$I$3,COUNTIF(Tab_fériés[date],A290),0)</f>
        <v>0</v>
      </c>
      <c r="F290">
        <f t="shared" si="22"/>
        <v>0</v>
      </c>
    </row>
    <row r="291" spans="1:6">
      <c r="A291" s="3">
        <f t="shared" si="23"/>
        <v>45945</v>
      </c>
      <c r="B291">
        <f t="shared" si="20"/>
        <v>3</v>
      </c>
      <c r="C291">
        <f t="shared" si="24"/>
        <v>0</v>
      </c>
      <c r="D291">
        <f t="shared" si="21"/>
        <v>0</v>
      </c>
      <c r="E291">
        <f>IF($B$2&lt;&gt;$I$3,COUNTIF(Tab_fériés[date],A291),0)</f>
        <v>0</v>
      </c>
      <c r="F291">
        <f t="shared" si="22"/>
        <v>0</v>
      </c>
    </row>
    <row r="292" spans="1:6">
      <c r="A292" s="3">
        <f t="shared" si="23"/>
        <v>45946</v>
      </c>
      <c r="B292">
        <f t="shared" si="20"/>
        <v>4</v>
      </c>
      <c r="C292">
        <f t="shared" si="24"/>
        <v>0</v>
      </c>
      <c r="D292">
        <f t="shared" si="21"/>
        <v>0</v>
      </c>
      <c r="E292">
        <f>IF($B$2&lt;&gt;$I$3,COUNTIF(Tab_fériés[date],A292),0)</f>
        <v>0</v>
      </c>
      <c r="F292">
        <f t="shared" si="22"/>
        <v>0</v>
      </c>
    </row>
    <row r="293" spans="1:6">
      <c r="A293" s="3">
        <f t="shared" si="23"/>
        <v>45947</v>
      </c>
      <c r="B293">
        <f t="shared" si="20"/>
        <v>5</v>
      </c>
      <c r="C293">
        <f t="shared" si="24"/>
        <v>0</v>
      </c>
      <c r="D293">
        <f t="shared" si="21"/>
        <v>0</v>
      </c>
      <c r="E293">
        <f>IF($B$2&lt;&gt;$I$3,COUNTIF(Tab_fériés[date],A293),0)</f>
        <v>0</v>
      </c>
      <c r="F293">
        <f t="shared" si="22"/>
        <v>0</v>
      </c>
    </row>
    <row r="294" spans="1:6">
      <c r="A294" s="3">
        <f t="shared" si="23"/>
        <v>45948</v>
      </c>
      <c r="B294">
        <f t="shared" si="20"/>
        <v>6</v>
      </c>
      <c r="C294">
        <f t="shared" si="24"/>
        <v>0</v>
      </c>
      <c r="D294">
        <f t="shared" si="21"/>
        <v>0</v>
      </c>
      <c r="E294">
        <f>IF($B$2&lt;&gt;$I$3,COUNTIF(Tab_fériés[date],A294),0)</f>
        <v>0</v>
      </c>
      <c r="F294">
        <f t="shared" si="22"/>
        <v>0</v>
      </c>
    </row>
    <row r="295" spans="1:6">
      <c r="A295" s="3">
        <f t="shared" si="23"/>
        <v>45949</v>
      </c>
      <c r="B295">
        <f t="shared" si="20"/>
        <v>7</v>
      </c>
      <c r="C295">
        <f t="shared" si="24"/>
        <v>0</v>
      </c>
      <c r="D295">
        <f t="shared" si="21"/>
        <v>0</v>
      </c>
      <c r="E295">
        <f>IF($B$2&lt;&gt;$I$3,COUNTIF(Tab_fériés[date],A295),0)</f>
        <v>0</v>
      </c>
      <c r="F295">
        <f t="shared" si="22"/>
        <v>0</v>
      </c>
    </row>
    <row r="296" spans="1:6">
      <c r="A296" s="3">
        <f t="shared" si="23"/>
        <v>45950</v>
      </c>
      <c r="B296">
        <f t="shared" si="20"/>
        <v>1</v>
      </c>
      <c r="C296">
        <f t="shared" si="24"/>
        <v>0</v>
      </c>
      <c r="D296">
        <f t="shared" si="21"/>
        <v>0</v>
      </c>
      <c r="E296">
        <f>IF($B$2&lt;&gt;$I$3,COUNTIF(Tab_fériés[date],A296),0)</f>
        <v>0</v>
      </c>
      <c r="F296">
        <f t="shared" si="22"/>
        <v>0</v>
      </c>
    </row>
    <row r="297" spans="1:6">
      <c r="A297" s="3">
        <f t="shared" si="23"/>
        <v>45951</v>
      </c>
      <c r="B297">
        <f t="shared" si="20"/>
        <v>2</v>
      </c>
      <c r="C297">
        <f t="shared" si="24"/>
        <v>0</v>
      </c>
      <c r="D297">
        <f t="shared" si="21"/>
        <v>0</v>
      </c>
      <c r="E297">
        <f>IF($B$2&lt;&gt;$I$3,COUNTIF(Tab_fériés[date],A297),0)</f>
        <v>0</v>
      </c>
      <c r="F297">
        <f t="shared" si="22"/>
        <v>0</v>
      </c>
    </row>
    <row r="298" spans="1:6">
      <c r="A298" s="3">
        <f t="shared" si="23"/>
        <v>45952</v>
      </c>
      <c r="B298">
        <f t="shared" si="20"/>
        <v>3</v>
      </c>
      <c r="C298">
        <f t="shared" si="24"/>
        <v>0</v>
      </c>
      <c r="D298">
        <f t="shared" si="21"/>
        <v>0</v>
      </c>
      <c r="E298">
        <f>IF($B$2&lt;&gt;$I$3,COUNTIF(Tab_fériés[date],A298),0)</f>
        <v>0</v>
      </c>
      <c r="F298">
        <f t="shared" si="22"/>
        <v>0</v>
      </c>
    </row>
    <row r="299" spans="1:6">
      <c r="A299" s="3">
        <f t="shared" si="23"/>
        <v>45953</v>
      </c>
      <c r="B299">
        <f t="shared" si="20"/>
        <v>4</v>
      </c>
      <c r="C299">
        <f t="shared" si="24"/>
        <v>0</v>
      </c>
      <c r="D299">
        <f t="shared" si="21"/>
        <v>0</v>
      </c>
      <c r="E299">
        <f>IF($B$2&lt;&gt;$I$3,COUNTIF(Tab_fériés[date],A299),0)</f>
        <v>0</v>
      </c>
      <c r="F299">
        <f t="shared" si="22"/>
        <v>0</v>
      </c>
    </row>
    <row r="300" spans="1:6">
      <c r="A300" s="3">
        <f t="shared" si="23"/>
        <v>45954</v>
      </c>
      <c r="B300">
        <f t="shared" si="20"/>
        <v>5</v>
      </c>
      <c r="C300">
        <f t="shared" si="24"/>
        <v>0</v>
      </c>
      <c r="D300">
        <f t="shared" si="21"/>
        <v>0</v>
      </c>
      <c r="E300">
        <f>IF($B$2&lt;&gt;$I$3,COUNTIF(Tab_fériés[date],A300),0)</f>
        <v>0</v>
      </c>
      <c r="F300">
        <f t="shared" si="22"/>
        <v>0</v>
      </c>
    </row>
    <row r="301" spans="1:6">
      <c r="A301" s="3">
        <f t="shared" si="23"/>
        <v>45955</v>
      </c>
      <c r="B301">
        <f t="shared" si="20"/>
        <v>6</v>
      </c>
      <c r="C301">
        <f t="shared" si="24"/>
        <v>0</v>
      </c>
      <c r="D301">
        <f t="shared" si="21"/>
        <v>0</v>
      </c>
      <c r="E301">
        <f>IF($B$2&lt;&gt;$I$3,COUNTIF(Tab_fériés[date],A301),0)</f>
        <v>0</v>
      </c>
      <c r="F301">
        <f t="shared" si="22"/>
        <v>0</v>
      </c>
    </row>
    <row r="302" spans="1:6">
      <c r="A302" s="3">
        <f t="shared" si="23"/>
        <v>45956</v>
      </c>
      <c r="B302">
        <f t="shared" si="20"/>
        <v>7</v>
      </c>
      <c r="C302">
        <f t="shared" si="24"/>
        <v>0</v>
      </c>
      <c r="D302">
        <f t="shared" si="21"/>
        <v>0</v>
      </c>
      <c r="E302">
        <f>IF($B$2&lt;&gt;$I$3,COUNTIF(Tab_fériés[date],A302),0)</f>
        <v>0</v>
      </c>
      <c r="F302">
        <f t="shared" si="22"/>
        <v>0</v>
      </c>
    </row>
    <row r="303" spans="1:6">
      <c r="A303" s="3">
        <f t="shared" si="23"/>
        <v>45957</v>
      </c>
      <c r="B303">
        <f t="shared" si="20"/>
        <v>1</v>
      </c>
      <c r="C303">
        <f t="shared" si="24"/>
        <v>0</v>
      </c>
      <c r="D303">
        <f t="shared" si="21"/>
        <v>0</v>
      </c>
      <c r="E303">
        <f>IF($B$2&lt;&gt;$I$3,COUNTIF(Tab_fériés[date],A303),0)</f>
        <v>0</v>
      </c>
      <c r="F303">
        <f t="shared" si="22"/>
        <v>0</v>
      </c>
    </row>
    <row r="304" spans="1:6">
      <c r="A304" s="3">
        <f t="shared" si="23"/>
        <v>45958</v>
      </c>
      <c r="B304">
        <f t="shared" si="20"/>
        <v>2</v>
      </c>
      <c r="C304">
        <f t="shared" si="24"/>
        <v>0</v>
      </c>
      <c r="D304">
        <f t="shared" si="21"/>
        <v>0</v>
      </c>
      <c r="E304">
        <f>IF($B$2&lt;&gt;$I$3,COUNTIF(Tab_fériés[date],A304),0)</f>
        <v>0</v>
      </c>
      <c r="F304">
        <f t="shared" si="22"/>
        <v>0</v>
      </c>
    </row>
    <row r="305" spans="1:6">
      <c r="A305" s="3">
        <f t="shared" si="23"/>
        <v>45959</v>
      </c>
      <c r="B305">
        <f t="shared" si="20"/>
        <v>3</v>
      </c>
      <c r="C305">
        <f t="shared" si="24"/>
        <v>0</v>
      </c>
      <c r="D305">
        <f t="shared" si="21"/>
        <v>0</v>
      </c>
      <c r="E305">
        <f>IF($B$2&lt;&gt;$I$3,COUNTIF(Tab_fériés[date],A305),0)</f>
        <v>0</v>
      </c>
      <c r="F305">
        <f t="shared" si="22"/>
        <v>0</v>
      </c>
    </row>
    <row r="306" spans="1:6">
      <c r="A306" s="3">
        <f t="shared" si="23"/>
        <v>45960</v>
      </c>
      <c r="B306">
        <f t="shared" si="20"/>
        <v>4</v>
      </c>
      <c r="C306">
        <f t="shared" si="24"/>
        <v>0</v>
      </c>
      <c r="D306">
        <f t="shared" si="21"/>
        <v>0</v>
      </c>
      <c r="E306">
        <f>IF($B$2&lt;&gt;$I$3,COUNTIF(Tab_fériés[date],A306),0)</f>
        <v>0</v>
      </c>
      <c r="F306">
        <f t="shared" si="22"/>
        <v>0</v>
      </c>
    </row>
    <row r="307" spans="1:6">
      <c r="A307" s="3">
        <f t="shared" si="23"/>
        <v>45961</v>
      </c>
      <c r="B307">
        <f t="shared" si="20"/>
        <v>5</v>
      </c>
      <c r="C307">
        <f t="shared" si="24"/>
        <v>0</v>
      </c>
      <c r="D307">
        <f t="shared" si="21"/>
        <v>0</v>
      </c>
      <c r="E307">
        <f>IF($B$2&lt;&gt;$I$3,COUNTIF(Tab_fériés[date],A307),0)</f>
        <v>0</v>
      </c>
      <c r="F307">
        <f t="shared" si="22"/>
        <v>0</v>
      </c>
    </row>
    <row r="308" spans="1:6">
      <c r="A308" s="3">
        <f t="shared" si="23"/>
        <v>45962</v>
      </c>
      <c r="B308">
        <f t="shared" si="20"/>
        <v>6</v>
      </c>
      <c r="C308">
        <f t="shared" si="24"/>
        <v>0</v>
      </c>
      <c r="D308">
        <f t="shared" si="21"/>
        <v>0</v>
      </c>
      <c r="E308">
        <f>IF($B$2&lt;&gt;$I$3,COUNTIF(Tab_fériés[date],A308),0)</f>
        <v>0</v>
      </c>
      <c r="F308">
        <f t="shared" si="22"/>
        <v>0</v>
      </c>
    </row>
    <row r="309" spans="1:6">
      <c r="A309" s="3">
        <f t="shared" si="23"/>
        <v>45963</v>
      </c>
      <c r="B309">
        <f t="shared" si="20"/>
        <v>7</v>
      </c>
      <c r="C309">
        <f t="shared" si="24"/>
        <v>0</v>
      </c>
      <c r="D309">
        <f t="shared" si="21"/>
        <v>0</v>
      </c>
      <c r="E309">
        <f>IF($B$2&lt;&gt;$I$3,COUNTIF(Tab_fériés[date],A309),0)</f>
        <v>0</v>
      </c>
      <c r="F309">
        <f t="shared" si="22"/>
        <v>0</v>
      </c>
    </row>
    <row r="310" spans="1:6">
      <c r="A310" s="3">
        <f t="shared" si="23"/>
        <v>45964</v>
      </c>
      <c r="B310">
        <f t="shared" si="20"/>
        <v>1</v>
      </c>
      <c r="C310">
        <f t="shared" si="24"/>
        <v>0</v>
      </c>
      <c r="D310">
        <f t="shared" si="21"/>
        <v>0</v>
      </c>
      <c r="E310">
        <f>IF($B$2&lt;&gt;$I$3,COUNTIF(Tab_fériés[date],A310),0)</f>
        <v>0</v>
      </c>
      <c r="F310">
        <f t="shared" si="22"/>
        <v>0</v>
      </c>
    </row>
    <row r="311" spans="1:6">
      <c r="A311" s="3">
        <f t="shared" si="23"/>
        <v>45965</v>
      </c>
      <c r="B311">
        <f t="shared" si="20"/>
        <v>2</v>
      </c>
      <c r="C311">
        <f t="shared" si="24"/>
        <v>0</v>
      </c>
      <c r="D311">
        <f t="shared" si="21"/>
        <v>0</v>
      </c>
      <c r="E311">
        <f>IF($B$2&lt;&gt;$I$3,COUNTIF(Tab_fériés[date],A311),0)</f>
        <v>0</v>
      </c>
      <c r="F311">
        <f t="shared" si="22"/>
        <v>0</v>
      </c>
    </row>
    <row r="312" spans="1:6">
      <c r="A312" s="3">
        <f t="shared" si="23"/>
        <v>45966</v>
      </c>
      <c r="B312">
        <f t="shared" si="20"/>
        <v>3</v>
      </c>
      <c r="C312">
        <f t="shared" si="24"/>
        <v>0</v>
      </c>
      <c r="D312">
        <f t="shared" si="21"/>
        <v>0</v>
      </c>
      <c r="E312">
        <f>IF($B$2&lt;&gt;$I$3,COUNTIF(Tab_fériés[date],A312),0)</f>
        <v>0</v>
      </c>
      <c r="F312">
        <f t="shared" si="22"/>
        <v>0</v>
      </c>
    </row>
    <row r="313" spans="1:6">
      <c r="A313" s="3">
        <f t="shared" si="23"/>
        <v>45967</v>
      </c>
      <c r="B313">
        <f t="shared" si="20"/>
        <v>4</v>
      </c>
      <c r="C313">
        <f t="shared" si="24"/>
        <v>0</v>
      </c>
      <c r="D313">
        <f t="shared" si="21"/>
        <v>0</v>
      </c>
      <c r="E313">
        <f>IF($B$2&lt;&gt;$I$3,COUNTIF(Tab_fériés[date],A313),0)</f>
        <v>0</v>
      </c>
      <c r="F313">
        <f t="shared" si="22"/>
        <v>0</v>
      </c>
    </row>
    <row r="314" spans="1:6">
      <c r="A314" s="3">
        <f t="shared" si="23"/>
        <v>45968</v>
      </c>
      <c r="B314">
        <f t="shared" si="20"/>
        <v>5</v>
      </c>
      <c r="C314">
        <f t="shared" si="24"/>
        <v>0</v>
      </c>
      <c r="D314">
        <f t="shared" si="21"/>
        <v>0</v>
      </c>
      <c r="E314">
        <f>IF($B$2&lt;&gt;$I$3,COUNTIF(Tab_fériés[date],A314),0)</f>
        <v>0</v>
      </c>
      <c r="F314">
        <f t="shared" si="22"/>
        <v>0</v>
      </c>
    </row>
    <row r="315" spans="1:6">
      <c r="A315" s="3">
        <f t="shared" si="23"/>
        <v>45969</v>
      </c>
      <c r="B315">
        <f t="shared" si="20"/>
        <v>6</v>
      </c>
      <c r="C315">
        <f t="shared" si="24"/>
        <v>0</v>
      </c>
      <c r="D315">
        <f t="shared" si="21"/>
        <v>0</v>
      </c>
      <c r="E315">
        <f>IF($B$2&lt;&gt;$I$3,COUNTIF(Tab_fériés[date],A315),0)</f>
        <v>0</v>
      </c>
      <c r="F315">
        <f t="shared" si="22"/>
        <v>0</v>
      </c>
    </row>
    <row r="316" spans="1:6">
      <c r="A316" s="3">
        <f t="shared" si="23"/>
        <v>45970</v>
      </c>
      <c r="B316">
        <f t="shared" si="20"/>
        <v>7</v>
      </c>
      <c r="C316">
        <f t="shared" si="24"/>
        <v>0</v>
      </c>
      <c r="D316">
        <f t="shared" si="21"/>
        <v>0</v>
      </c>
      <c r="E316">
        <f>IF($B$2&lt;&gt;$I$3,COUNTIF(Tab_fériés[date],A316),0)</f>
        <v>0</v>
      </c>
      <c r="F316">
        <f t="shared" si="22"/>
        <v>0</v>
      </c>
    </row>
    <row r="317" spans="1:6">
      <c r="A317" s="3">
        <f t="shared" si="23"/>
        <v>45971</v>
      </c>
      <c r="B317">
        <f t="shared" si="20"/>
        <v>1</v>
      </c>
      <c r="C317">
        <f t="shared" si="24"/>
        <v>0</v>
      </c>
      <c r="D317">
        <f t="shared" si="21"/>
        <v>0</v>
      </c>
      <c r="E317">
        <f>IF($B$2&lt;&gt;$I$3,COUNTIF(Tab_fériés[date],A317),0)</f>
        <v>0</v>
      </c>
      <c r="F317">
        <f t="shared" si="22"/>
        <v>0</v>
      </c>
    </row>
    <row r="318" spans="1:6">
      <c r="A318" s="3">
        <f t="shared" si="23"/>
        <v>45972</v>
      </c>
      <c r="B318">
        <f t="shared" si="20"/>
        <v>2</v>
      </c>
      <c r="C318">
        <f t="shared" si="24"/>
        <v>0</v>
      </c>
      <c r="D318">
        <f t="shared" si="21"/>
        <v>0</v>
      </c>
      <c r="E318">
        <f>IF($B$2&lt;&gt;$I$3,COUNTIF(Tab_fériés[date],A318),0)</f>
        <v>0</v>
      </c>
      <c r="F318">
        <f t="shared" si="22"/>
        <v>0</v>
      </c>
    </row>
    <row r="319" spans="1:6">
      <c r="A319" s="3">
        <f t="shared" si="23"/>
        <v>45973</v>
      </c>
      <c r="B319">
        <f t="shared" si="20"/>
        <v>3</v>
      </c>
      <c r="C319">
        <f t="shared" si="24"/>
        <v>0</v>
      </c>
      <c r="D319">
        <f t="shared" si="21"/>
        <v>0</v>
      </c>
      <c r="E319">
        <f>IF($B$2&lt;&gt;$I$3,COUNTIF(Tab_fériés[date],A319),0)</f>
        <v>0</v>
      </c>
      <c r="F319">
        <f t="shared" si="22"/>
        <v>0</v>
      </c>
    </row>
    <row r="320" spans="1:6">
      <c r="A320" s="3">
        <f t="shared" si="23"/>
        <v>45974</v>
      </c>
      <c r="B320">
        <f t="shared" si="20"/>
        <v>4</v>
      </c>
      <c r="C320">
        <f t="shared" si="24"/>
        <v>0</v>
      </c>
      <c r="D320">
        <f t="shared" si="21"/>
        <v>0</v>
      </c>
      <c r="E320">
        <f>IF($B$2&lt;&gt;$I$3,COUNTIF(Tab_fériés[date],A320),0)</f>
        <v>0</v>
      </c>
      <c r="F320">
        <f t="shared" si="22"/>
        <v>0</v>
      </c>
    </row>
    <row r="321" spans="1:6">
      <c r="A321" s="3">
        <f t="shared" si="23"/>
        <v>45975</v>
      </c>
      <c r="B321">
        <f t="shared" si="20"/>
        <v>5</v>
      </c>
      <c r="C321">
        <f t="shared" si="24"/>
        <v>0</v>
      </c>
      <c r="D321">
        <f t="shared" si="21"/>
        <v>0</v>
      </c>
      <c r="E321">
        <f>IF($B$2&lt;&gt;$I$3,COUNTIF(Tab_fériés[date],A321),0)</f>
        <v>0</v>
      </c>
      <c r="F321">
        <f t="shared" si="22"/>
        <v>0</v>
      </c>
    </row>
    <row r="322" spans="1:6">
      <c r="A322" s="3">
        <f t="shared" si="23"/>
        <v>45976</v>
      </c>
      <c r="B322">
        <f t="shared" si="20"/>
        <v>6</v>
      </c>
      <c r="C322">
        <f t="shared" si="24"/>
        <v>0</v>
      </c>
      <c r="D322">
        <f t="shared" si="21"/>
        <v>0</v>
      </c>
      <c r="E322">
        <f>IF($B$2&lt;&gt;$I$3,COUNTIF(Tab_fériés[date],A322),0)</f>
        <v>0</v>
      </c>
      <c r="F322">
        <f t="shared" si="22"/>
        <v>0</v>
      </c>
    </row>
    <row r="323" spans="1:6">
      <c r="A323" s="3">
        <f t="shared" si="23"/>
        <v>45977</v>
      </c>
      <c r="B323">
        <f t="shared" si="20"/>
        <v>7</v>
      </c>
      <c r="C323">
        <f t="shared" si="24"/>
        <v>0</v>
      </c>
      <c r="D323">
        <f t="shared" si="21"/>
        <v>0</v>
      </c>
      <c r="E323">
        <f>IF($B$2&lt;&gt;$I$3,COUNTIF(Tab_fériés[date],A323),0)</f>
        <v>0</v>
      </c>
      <c r="F323">
        <f t="shared" si="22"/>
        <v>0</v>
      </c>
    </row>
    <row r="324" spans="1:6">
      <c r="A324" s="3">
        <f t="shared" si="23"/>
        <v>45978</v>
      </c>
      <c r="B324">
        <f t="shared" si="20"/>
        <v>1</v>
      </c>
      <c r="C324">
        <f t="shared" si="24"/>
        <v>0</v>
      </c>
      <c r="D324">
        <f t="shared" si="21"/>
        <v>0</v>
      </c>
      <c r="E324">
        <f>IF($B$2&lt;&gt;$I$3,COUNTIF(Tab_fériés[date],A324),0)</f>
        <v>0</v>
      </c>
      <c r="F324">
        <f t="shared" si="22"/>
        <v>0</v>
      </c>
    </row>
    <row r="325" spans="1:6">
      <c r="A325" s="3">
        <f t="shared" si="23"/>
        <v>45979</v>
      </c>
      <c r="B325">
        <f t="shared" ref="B325:B369" si="25">WEEKDAY(A325,2)</f>
        <v>2</v>
      </c>
      <c r="C325">
        <f t="shared" si="24"/>
        <v>0</v>
      </c>
      <c r="D325">
        <f t="shared" ref="D325:D369" si="26">IF(AND(B325=7,$B$2&lt;&gt;$I$3),1,0)</f>
        <v>0</v>
      </c>
      <c r="E325">
        <f>IF($B$2&lt;&gt;$I$3,COUNTIF(Tab_fériés[date],A325),0)</f>
        <v>0</v>
      </c>
      <c r="F325">
        <f t="shared" ref="F325:F369" si="27">IFERROR(IF(SUM(C325:E325)&gt;0,1,0),0)</f>
        <v>0</v>
      </c>
    </row>
    <row r="326" spans="1:6">
      <c r="A326" s="3">
        <f t="shared" ref="A326:A367" si="28">A325+1</f>
        <v>45980</v>
      </c>
      <c r="B326">
        <f t="shared" si="25"/>
        <v>3</v>
      </c>
      <c r="C326">
        <f t="shared" ref="C326:C369" si="29">IF(AND(B326=6,$B$2&lt;&gt;$I$3,$B$2&lt;&gt;$I$5),1,0)</f>
        <v>0</v>
      </c>
      <c r="D326">
        <f t="shared" si="26"/>
        <v>0</v>
      </c>
      <c r="E326">
        <f>IF($B$2&lt;&gt;$I$3,COUNTIF(Tab_fériés[date],A326),0)</f>
        <v>0</v>
      </c>
      <c r="F326">
        <f t="shared" si="27"/>
        <v>0</v>
      </c>
    </row>
    <row r="327" spans="1:6">
      <c r="A327" s="3">
        <f t="shared" si="28"/>
        <v>45981</v>
      </c>
      <c r="B327">
        <f t="shared" si="25"/>
        <v>4</v>
      </c>
      <c r="C327">
        <f t="shared" si="29"/>
        <v>0</v>
      </c>
      <c r="D327">
        <f t="shared" si="26"/>
        <v>0</v>
      </c>
      <c r="E327">
        <f>IF($B$2&lt;&gt;$I$3,COUNTIF(Tab_fériés[date],A327),0)</f>
        <v>0</v>
      </c>
      <c r="F327">
        <f t="shared" si="27"/>
        <v>0</v>
      </c>
    </row>
    <row r="328" spans="1:6">
      <c r="A328" s="3">
        <f t="shared" si="28"/>
        <v>45982</v>
      </c>
      <c r="B328">
        <f t="shared" si="25"/>
        <v>5</v>
      </c>
      <c r="C328">
        <f t="shared" si="29"/>
        <v>0</v>
      </c>
      <c r="D328">
        <f t="shared" si="26"/>
        <v>0</v>
      </c>
      <c r="E328">
        <f>IF($B$2&lt;&gt;$I$3,COUNTIF(Tab_fériés[date],A328),0)</f>
        <v>0</v>
      </c>
      <c r="F328">
        <f t="shared" si="27"/>
        <v>0</v>
      </c>
    </row>
    <row r="329" spans="1:6">
      <c r="A329" s="3">
        <f t="shared" si="28"/>
        <v>45983</v>
      </c>
      <c r="B329">
        <f t="shared" si="25"/>
        <v>6</v>
      </c>
      <c r="C329">
        <f t="shared" si="29"/>
        <v>0</v>
      </c>
      <c r="D329">
        <f t="shared" si="26"/>
        <v>0</v>
      </c>
      <c r="E329">
        <f>IF($B$2&lt;&gt;$I$3,COUNTIF(Tab_fériés[date],A329),0)</f>
        <v>0</v>
      </c>
      <c r="F329">
        <f t="shared" si="27"/>
        <v>0</v>
      </c>
    </row>
    <row r="330" spans="1:6">
      <c r="A330" s="3">
        <f t="shared" si="28"/>
        <v>45984</v>
      </c>
      <c r="B330">
        <f t="shared" si="25"/>
        <v>7</v>
      </c>
      <c r="C330">
        <f t="shared" si="29"/>
        <v>0</v>
      </c>
      <c r="D330">
        <f t="shared" si="26"/>
        <v>0</v>
      </c>
      <c r="E330">
        <f>IF($B$2&lt;&gt;$I$3,COUNTIF(Tab_fériés[date],A330),0)</f>
        <v>0</v>
      </c>
      <c r="F330">
        <f t="shared" si="27"/>
        <v>0</v>
      </c>
    </row>
    <row r="331" spans="1:6">
      <c r="A331" s="3">
        <f t="shared" si="28"/>
        <v>45985</v>
      </c>
      <c r="B331">
        <f t="shared" si="25"/>
        <v>1</v>
      </c>
      <c r="C331">
        <f t="shared" si="29"/>
        <v>0</v>
      </c>
      <c r="D331">
        <f t="shared" si="26"/>
        <v>0</v>
      </c>
      <c r="E331">
        <f>IF($B$2&lt;&gt;$I$3,COUNTIF(Tab_fériés[date],A331),0)</f>
        <v>0</v>
      </c>
      <c r="F331">
        <f t="shared" si="27"/>
        <v>0</v>
      </c>
    </row>
    <row r="332" spans="1:6">
      <c r="A332" s="3">
        <f t="shared" si="28"/>
        <v>45986</v>
      </c>
      <c r="B332">
        <f t="shared" si="25"/>
        <v>2</v>
      </c>
      <c r="C332">
        <f t="shared" si="29"/>
        <v>0</v>
      </c>
      <c r="D332">
        <f t="shared" si="26"/>
        <v>0</v>
      </c>
      <c r="E332">
        <f>IF($B$2&lt;&gt;$I$3,COUNTIF(Tab_fériés[date],A332),0)</f>
        <v>0</v>
      </c>
      <c r="F332">
        <f t="shared" si="27"/>
        <v>0</v>
      </c>
    </row>
    <row r="333" spans="1:6">
      <c r="A333" s="3">
        <f t="shared" si="28"/>
        <v>45987</v>
      </c>
      <c r="B333">
        <f t="shared" si="25"/>
        <v>3</v>
      </c>
      <c r="C333">
        <f t="shared" si="29"/>
        <v>0</v>
      </c>
      <c r="D333">
        <f t="shared" si="26"/>
        <v>0</v>
      </c>
      <c r="E333">
        <f>IF($B$2&lt;&gt;$I$3,COUNTIF(Tab_fériés[date],A333),0)</f>
        <v>0</v>
      </c>
      <c r="F333">
        <f t="shared" si="27"/>
        <v>0</v>
      </c>
    </row>
    <row r="334" spans="1:6">
      <c r="A334" s="3">
        <f t="shared" si="28"/>
        <v>45988</v>
      </c>
      <c r="B334">
        <f t="shared" si="25"/>
        <v>4</v>
      </c>
      <c r="C334">
        <f t="shared" si="29"/>
        <v>0</v>
      </c>
      <c r="D334">
        <f t="shared" si="26"/>
        <v>0</v>
      </c>
      <c r="E334">
        <f>IF($B$2&lt;&gt;$I$3,COUNTIF(Tab_fériés[date],A334),0)</f>
        <v>0</v>
      </c>
      <c r="F334">
        <f t="shared" si="27"/>
        <v>0</v>
      </c>
    </row>
    <row r="335" spans="1:6">
      <c r="A335" s="3">
        <f t="shared" si="28"/>
        <v>45989</v>
      </c>
      <c r="B335">
        <f t="shared" si="25"/>
        <v>5</v>
      </c>
      <c r="C335">
        <f t="shared" si="29"/>
        <v>0</v>
      </c>
      <c r="D335">
        <f t="shared" si="26"/>
        <v>0</v>
      </c>
      <c r="E335">
        <f>IF($B$2&lt;&gt;$I$3,COUNTIF(Tab_fériés[date],A335),0)</f>
        <v>0</v>
      </c>
      <c r="F335">
        <f t="shared" si="27"/>
        <v>0</v>
      </c>
    </row>
    <row r="336" spans="1:6">
      <c r="A336" s="3">
        <f t="shared" si="28"/>
        <v>45990</v>
      </c>
      <c r="B336">
        <f t="shared" si="25"/>
        <v>6</v>
      </c>
      <c r="C336">
        <f t="shared" si="29"/>
        <v>0</v>
      </c>
      <c r="D336">
        <f t="shared" si="26"/>
        <v>0</v>
      </c>
      <c r="E336">
        <f>IF($B$2&lt;&gt;$I$3,COUNTIF(Tab_fériés[date],A336),0)</f>
        <v>0</v>
      </c>
      <c r="F336">
        <f t="shared" si="27"/>
        <v>0</v>
      </c>
    </row>
    <row r="337" spans="1:6">
      <c r="A337" s="3">
        <f t="shared" si="28"/>
        <v>45991</v>
      </c>
      <c r="B337">
        <f t="shared" si="25"/>
        <v>7</v>
      </c>
      <c r="C337">
        <f t="shared" si="29"/>
        <v>0</v>
      </c>
      <c r="D337">
        <f t="shared" si="26"/>
        <v>0</v>
      </c>
      <c r="E337">
        <f>IF($B$2&lt;&gt;$I$3,COUNTIF(Tab_fériés[date],A337),0)</f>
        <v>0</v>
      </c>
      <c r="F337">
        <f t="shared" si="27"/>
        <v>0</v>
      </c>
    </row>
    <row r="338" spans="1:6">
      <c r="A338" s="3">
        <f t="shared" si="28"/>
        <v>45992</v>
      </c>
      <c r="B338">
        <f t="shared" si="25"/>
        <v>1</v>
      </c>
      <c r="C338">
        <f t="shared" si="29"/>
        <v>0</v>
      </c>
      <c r="D338">
        <f t="shared" si="26"/>
        <v>0</v>
      </c>
      <c r="E338">
        <f>IF($B$2&lt;&gt;$I$3,COUNTIF(Tab_fériés[date],A338),0)</f>
        <v>0</v>
      </c>
      <c r="F338">
        <f t="shared" si="27"/>
        <v>0</v>
      </c>
    </row>
    <row r="339" spans="1:6">
      <c r="A339" s="3">
        <f t="shared" si="28"/>
        <v>45993</v>
      </c>
      <c r="B339">
        <f t="shared" si="25"/>
        <v>2</v>
      </c>
      <c r="C339">
        <f t="shared" si="29"/>
        <v>0</v>
      </c>
      <c r="D339">
        <f t="shared" si="26"/>
        <v>0</v>
      </c>
      <c r="E339">
        <f>IF($B$2&lt;&gt;$I$3,COUNTIF(Tab_fériés[date],A339),0)</f>
        <v>0</v>
      </c>
      <c r="F339">
        <f t="shared" si="27"/>
        <v>0</v>
      </c>
    </row>
    <row r="340" spans="1:6">
      <c r="A340" s="3">
        <f t="shared" si="28"/>
        <v>45994</v>
      </c>
      <c r="B340">
        <f t="shared" si="25"/>
        <v>3</v>
      </c>
      <c r="C340">
        <f t="shared" si="29"/>
        <v>0</v>
      </c>
      <c r="D340">
        <f t="shared" si="26"/>
        <v>0</v>
      </c>
      <c r="E340">
        <f>IF($B$2&lt;&gt;$I$3,COUNTIF(Tab_fériés[date],A340),0)</f>
        <v>0</v>
      </c>
      <c r="F340">
        <f t="shared" si="27"/>
        <v>0</v>
      </c>
    </row>
    <row r="341" spans="1:6">
      <c r="A341" s="3">
        <f t="shared" si="28"/>
        <v>45995</v>
      </c>
      <c r="B341">
        <f t="shared" si="25"/>
        <v>4</v>
      </c>
      <c r="C341">
        <f t="shared" si="29"/>
        <v>0</v>
      </c>
      <c r="D341">
        <f t="shared" si="26"/>
        <v>0</v>
      </c>
      <c r="E341">
        <f>IF($B$2&lt;&gt;$I$3,COUNTIF(Tab_fériés[date],A341),0)</f>
        <v>0</v>
      </c>
      <c r="F341">
        <f t="shared" si="27"/>
        <v>0</v>
      </c>
    </row>
    <row r="342" spans="1:6">
      <c r="A342" s="3">
        <f t="shared" si="28"/>
        <v>45996</v>
      </c>
      <c r="B342">
        <f t="shared" si="25"/>
        <v>5</v>
      </c>
      <c r="C342">
        <f t="shared" si="29"/>
        <v>0</v>
      </c>
      <c r="D342">
        <f t="shared" si="26"/>
        <v>0</v>
      </c>
      <c r="E342">
        <f>IF($B$2&lt;&gt;$I$3,COUNTIF(Tab_fériés[date],A342),0)</f>
        <v>0</v>
      </c>
      <c r="F342">
        <f t="shared" si="27"/>
        <v>0</v>
      </c>
    </row>
    <row r="343" spans="1:6">
      <c r="A343" s="3">
        <f t="shared" si="28"/>
        <v>45997</v>
      </c>
      <c r="B343">
        <f t="shared" si="25"/>
        <v>6</v>
      </c>
      <c r="C343">
        <f t="shared" si="29"/>
        <v>0</v>
      </c>
      <c r="D343">
        <f t="shared" si="26"/>
        <v>0</v>
      </c>
      <c r="E343">
        <f>IF($B$2&lt;&gt;$I$3,COUNTIF(Tab_fériés[date],A343),0)</f>
        <v>0</v>
      </c>
      <c r="F343">
        <f t="shared" si="27"/>
        <v>0</v>
      </c>
    </row>
    <row r="344" spans="1:6">
      <c r="A344" s="3">
        <f t="shared" si="28"/>
        <v>45998</v>
      </c>
      <c r="B344">
        <f t="shared" si="25"/>
        <v>7</v>
      </c>
      <c r="C344">
        <f t="shared" si="29"/>
        <v>0</v>
      </c>
      <c r="D344">
        <f t="shared" si="26"/>
        <v>0</v>
      </c>
      <c r="E344">
        <f>IF($B$2&lt;&gt;$I$3,COUNTIF(Tab_fériés[date],A344),0)</f>
        <v>0</v>
      </c>
      <c r="F344">
        <f t="shared" si="27"/>
        <v>0</v>
      </c>
    </row>
    <row r="345" spans="1:6">
      <c r="A345" s="3">
        <f t="shared" si="28"/>
        <v>45999</v>
      </c>
      <c r="B345">
        <f t="shared" si="25"/>
        <v>1</v>
      </c>
      <c r="C345">
        <f t="shared" si="29"/>
        <v>0</v>
      </c>
      <c r="D345">
        <f t="shared" si="26"/>
        <v>0</v>
      </c>
      <c r="E345">
        <f>IF($B$2&lt;&gt;$I$3,COUNTIF(Tab_fériés[date],A345),0)</f>
        <v>0</v>
      </c>
      <c r="F345">
        <f t="shared" si="27"/>
        <v>0</v>
      </c>
    </row>
    <row r="346" spans="1:6">
      <c r="A346" s="3">
        <f t="shared" si="28"/>
        <v>46000</v>
      </c>
      <c r="B346">
        <f t="shared" si="25"/>
        <v>2</v>
      </c>
      <c r="C346">
        <f t="shared" si="29"/>
        <v>0</v>
      </c>
      <c r="D346">
        <f t="shared" si="26"/>
        <v>0</v>
      </c>
      <c r="E346">
        <f>IF($B$2&lt;&gt;$I$3,COUNTIF(Tab_fériés[date],A346),0)</f>
        <v>0</v>
      </c>
      <c r="F346">
        <f t="shared" si="27"/>
        <v>0</v>
      </c>
    </row>
    <row r="347" spans="1:6">
      <c r="A347" s="3">
        <f t="shared" si="28"/>
        <v>46001</v>
      </c>
      <c r="B347">
        <f t="shared" si="25"/>
        <v>3</v>
      </c>
      <c r="C347">
        <f t="shared" si="29"/>
        <v>0</v>
      </c>
      <c r="D347">
        <f t="shared" si="26"/>
        <v>0</v>
      </c>
      <c r="E347">
        <f>IF($B$2&lt;&gt;$I$3,COUNTIF(Tab_fériés[date],A347),0)</f>
        <v>0</v>
      </c>
      <c r="F347">
        <f t="shared" si="27"/>
        <v>0</v>
      </c>
    </row>
    <row r="348" spans="1:6">
      <c r="A348" s="3">
        <f t="shared" si="28"/>
        <v>46002</v>
      </c>
      <c r="B348">
        <f t="shared" si="25"/>
        <v>4</v>
      </c>
      <c r="C348">
        <f t="shared" si="29"/>
        <v>0</v>
      </c>
      <c r="D348">
        <f t="shared" si="26"/>
        <v>0</v>
      </c>
      <c r="E348">
        <f>IF($B$2&lt;&gt;$I$3,COUNTIF(Tab_fériés[date],A348),0)</f>
        <v>0</v>
      </c>
      <c r="F348">
        <f t="shared" si="27"/>
        <v>0</v>
      </c>
    </row>
    <row r="349" spans="1:6">
      <c r="A349" s="3">
        <f t="shared" si="28"/>
        <v>46003</v>
      </c>
      <c r="B349">
        <f t="shared" si="25"/>
        <v>5</v>
      </c>
      <c r="C349">
        <f t="shared" si="29"/>
        <v>0</v>
      </c>
      <c r="D349">
        <f t="shared" si="26"/>
        <v>0</v>
      </c>
      <c r="E349">
        <f>IF($B$2&lt;&gt;$I$3,COUNTIF(Tab_fériés[date],A349),0)</f>
        <v>0</v>
      </c>
      <c r="F349">
        <f t="shared" si="27"/>
        <v>0</v>
      </c>
    </row>
    <row r="350" spans="1:6">
      <c r="A350" s="3">
        <f t="shared" si="28"/>
        <v>46004</v>
      </c>
      <c r="B350">
        <f t="shared" si="25"/>
        <v>6</v>
      </c>
      <c r="C350">
        <f t="shared" si="29"/>
        <v>0</v>
      </c>
      <c r="D350">
        <f t="shared" si="26"/>
        <v>0</v>
      </c>
      <c r="E350">
        <f>IF($B$2&lt;&gt;$I$3,COUNTIF(Tab_fériés[date],A350),0)</f>
        <v>0</v>
      </c>
      <c r="F350">
        <f t="shared" si="27"/>
        <v>0</v>
      </c>
    </row>
    <row r="351" spans="1:6">
      <c r="A351" s="3">
        <f t="shared" si="28"/>
        <v>46005</v>
      </c>
      <c r="B351">
        <f t="shared" si="25"/>
        <v>7</v>
      </c>
      <c r="C351">
        <f t="shared" si="29"/>
        <v>0</v>
      </c>
      <c r="D351">
        <f t="shared" si="26"/>
        <v>0</v>
      </c>
      <c r="E351">
        <f>IF($B$2&lt;&gt;$I$3,COUNTIF(Tab_fériés[date],A351),0)</f>
        <v>0</v>
      </c>
      <c r="F351">
        <f t="shared" si="27"/>
        <v>0</v>
      </c>
    </row>
    <row r="352" spans="1:6">
      <c r="A352" s="3">
        <f t="shared" si="28"/>
        <v>46006</v>
      </c>
      <c r="B352">
        <f t="shared" si="25"/>
        <v>1</v>
      </c>
      <c r="C352">
        <f t="shared" si="29"/>
        <v>0</v>
      </c>
      <c r="D352">
        <f t="shared" si="26"/>
        <v>0</v>
      </c>
      <c r="E352">
        <f>IF($B$2&lt;&gt;$I$3,COUNTIF(Tab_fériés[date],A352),0)</f>
        <v>0</v>
      </c>
      <c r="F352">
        <f t="shared" si="27"/>
        <v>0</v>
      </c>
    </row>
    <row r="353" spans="1:6">
      <c r="A353" s="3">
        <f t="shared" si="28"/>
        <v>46007</v>
      </c>
      <c r="B353">
        <f t="shared" si="25"/>
        <v>2</v>
      </c>
      <c r="C353">
        <f t="shared" si="29"/>
        <v>0</v>
      </c>
      <c r="D353">
        <f t="shared" si="26"/>
        <v>0</v>
      </c>
      <c r="E353">
        <f>IF($B$2&lt;&gt;$I$3,COUNTIF(Tab_fériés[date],A353),0)</f>
        <v>0</v>
      </c>
      <c r="F353">
        <f t="shared" si="27"/>
        <v>0</v>
      </c>
    </row>
    <row r="354" spans="1:6">
      <c r="A354" s="3">
        <f t="shared" si="28"/>
        <v>46008</v>
      </c>
      <c r="B354">
        <f t="shared" si="25"/>
        <v>3</v>
      </c>
      <c r="C354">
        <f t="shared" si="29"/>
        <v>0</v>
      </c>
      <c r="D354">
        <f t="shared" si="26"/>
        <v>0</v>
      </c>
      <c r="E354">
        <f>IF($B$2&lt;&gt;$I$3,COUNTIF(Tab_fériés[date],A354),0)</f>
        <v>0</v>
      </c>
      <c r="F354">
        <f t="shared" si="27"/>
        <v>0</v>
      </c>
    </row>
    <row r="355" spans="1:6">
      <c r="A355" s="3">
        <f t="shared" si="28"/>
        <v>46009</v>
      </c>
      <c r="B355">
        <f t="shared" si="25"/>
        <v>4</v>
      </c>
      <c r="C355">
        <f t="shared" si="29"/>
        <v>0</v>
      </c>
      <c r="D355">
        <f t="shared" si="26"/>
        <v>0</v>
      </c>
      <c r="E355">
        <f>IF($B$2&lt;&gt;$I$3,COUNTIF(Tab_fériés[date],A355),0)</f>
        <v>0</v>
      </c>
      <c r="F355">
        <f t="shared" si="27"/>
        <v>0</v>
      </c>
    </row>
    <row r="356" spans="1:6">
      <c r="A356" s="3">
        <f t="shared" si="28"/>
        <v>46010</v>
      </c>
      <c r="B356">
        <f t="shared" si="25"/>
        <v>5</v>
      </c>
      <c r="C356">
        <f t="shared" si="29"/>
        <v>0</v>
      </c>
      <c r="D356">
        <f t="shared" si="26"/>
        <v>0</v>
      </c>
      <c r="E356">
        <f>IF($B$2&lt;&gt;$I$3,COUNTIF(Tab_fériés[date],A356),0)</f>
        <v>0</v>
      </c>
      <c r="F356">
        <f t="shared" si="27"/>
        <v>0</v>
      </c>
    </row>
    <row r="357" spans="1:6">
      <c r="A357" s="3">
        <f t="shared" si="28"/>
        <v>46011</v>
      </c>
      <c r="B357">
        <f t="shared" si="25"/>
        <v>6</v>
      </c>
      <c r="C357">
        <f t="shared" si="29"/>
        <v>0</v>
      </c>
      <c r="D357">
        <f t="shared" si="26"/>
        <v>0</v>
      </c>
      <c r="E357">
        <f>IF($B$2&lt;&gt;$I$3,COUNTIF(Tab_fériés[date],A357),0)</f>
        <v>0</v>
      </c>
      <c r="F357">
        <f t="shared" si="27"/>
        <v>0</v>
      </c>
    </row>
    <row r="358" spans="1:6">
      <c r="A358" s="3">
        <f t="shared" si="28"/>
        <v>46012</v>
      </c>
      <c r="B358">
        <f t="shared" si="25"/>
        <v>7</v>
      </c>
      <c r="C358">
        <f t="shared" si="29"/>
        <v>0</v>
      </c>
      <c r="D358">
        <f t="shared" si="26"/>
        <v>0</v>
      </c>
      <c r="E358">
        <f>IF($B$2&lt;&gt;$I$3,COUNTIF(Tab_fériés[date],A358),0)</f>
        <v>0</v>
      </c>
      <c r="F358">
        <f t="shared" si="27"/>
        <v>0</v>
      </c>
    </row>
    <row r="359" spans="1:6">
      <c r="A359" s="3">
        <f t="shared" si="28"/>
        <v>46013</v>
      </c>
      <c r="B359">
        <f t="shared" si="25"/>
        <v>1</v>
      </c>
      <c r="C359">
        <f t="shared" si="29"/>
        <v>0</v>
      </c>
      <c r="D359">
        <f t="shared" si="26"/>
        <v>0</v>
      </c>
      <c r="E359">
        <f>IF($B$2&lt;&gt;$I$3,COUNTIF(Tab_fériés[date],A359),0)</f>
        <v>0</v>
      </c>
      <c r="F359">
        <f t="shared" si="27"/>
        <v>0</v>
      </c>
    </row>
    <row r="360" spans="1:6">
      <c r="A360" s="3">
        <f t="shared" si="28"/>
        <v>46014</v>
      </c>
      <c r="B360">
        <f t="shared" si="25"/>
        <v>2</v>
      </c>
      <c r="C360">
        <f t="shared" si="29"/>
        <v>0</v>
      </c>
      <c r="D360">
        <f t="shared" si="26"/>
        <v>0</v>
      </c>
      <c r="E360">
        <f>IF($B$2&lt;&gt;$I$3,COUNTIF(Tab_fériés[date],A360),0)</f>
        <v>0</v>
      </c>
      <c r="F360">
        <f t="shared" si="27"/>
        <v>0</v>
      </c>
    </row>
    <row r="361" spans="1:6">
      <c r="A361" s="3">
        <f t="shared" si="28"/>
        <v>46015</v>
      </c>
      <c r="B361">
        <f t="shared" si="25"/>
        <v>3</v>
      </c>
      <c r="C361">
        <f t="shared" si="29"/>
        <v>0</v>
      </c>
      <c r="D361">
        <f t="shared" si="26"/>
        <v>0</v>
      </c>
      <c r="E361">
        <f>IF($B$2&lt;&gt;$I$3,COUNTIF(Tab_fériés[date],A361),0)</f>
        <v>0</v>
      </c>
      <c r="F361">
        <f t="shared" si="27"/>
        <v>0</v>
      </c>
    </row>
    <row r="362" spans="1:6">
      <c r="A362" s="3">
        <f t="shared" si="28"/>
        <v>46016</v>
      </c>
      <c r="B362">
        <f t="shared" si="25"/>
        <v>4</v>
      </c>
      <c r="C362">
        <f t="shared" si="29"/>
        <v>0</v>
      </c>
      <c r="D362">
        <f t="shared" si="26"/>
        <v>0</v>
      </c>
      <c r="E362">
        <f>IF($B$2&lt;&gt;$I$3,COUNTIF(Tab_fériés[date],A362),0)</f>
        <v>0</v>
      </c>
      <c r="F362">
        <f t="shared" si="27"/>
        <v>0</v>
      </c>
    </row>
    <row r="363" spans="1:6">
      <c r="A363" s="3">
        <f t="shared" si="28"/>
        <v>46017</v>
      </c>
      <c r="B363">
        <f t="shared" si="25"/>
        <v>5</v>
      </c>
      <c r="C363">
        <f t="shared" si="29"/>
        <v>0</v>
      </c>
      <c r="D363">
        <f t="shared" si="26"/>
        <v>0</v>
      </c>
      <c r="E363">
        <f>IF($B$2&lt;&gt;$I$3,COUNTIF(Tab_fériés[date],A363),0)</f>
        <v>0</v>
      </c>
      <c r="F363">
        <f t="shared" si="27"/>
        <v>0</v>
      </c>
    </row>
    <row r="364" spans="1:6">
      <c r="A364" s="3">
        <f t="shared" si="28"/>
        <v>46018</v>
      </c>
      <c r="B364">
        <f t="shared" si="25"/>
        <v>6</v>
      </c>
      <c r="C364">
        <f t="shared" si="29"/>
        <v>0</v>
      </c>
      <c r="D364">
        <f t="shared" si="26"/>
        <v>0</v>
      </c>
      <c r="E364">
        <f>IF($B$2&lt;&gt;$I$3,COUNTIF(Tab_fériés[date],A364),0)</f>
        <v>0</v>
      </c>
      <c r="F364">
        <f t="shared" si="27"/>
        <v>0</v>
      </c>
    </row>
    <row r="365" spans="1:6">
      <c r="A365" s="3">
        <f t="shared" si="28"/>
        <v>46019</v>
      </c>
      <c r="B365">
        <f t="shared" si="25"/>
        <v>7</v>
      </c>
      <c r="C365">
        <f t="shared" si="29"/>
        <v>0</v>
      </c>
      <c r="D365">
        <f t="shared" si="26"/>
        <v>0</v>
      </c>
      <c r="E365">
        <f>IF($B$2&lt;&gt;$I$3,COUNTIF(Tab_fériés[date],A365),0)</f>
        <v>0</v>
      </c>
      <c r="F365">
        <f t="shared" si="27"/>
        <v>0</v>
      </c>
    </row>
    <row r="366" spans="1:6">
      <c r="A366" s="3">
        <f t="shared" si="28"/>
        <v>46020</v>
      </c>
      <c r="B366">
        <f t="shared" si="25"/>
        <v>1</v>
      </c>
      <c r="C366">
        <f t="shared" si="29"/>
        <v>0</v>
      </c>
      <c r="D366">
        <f t="shared" si="26"/>
        <v>0</v>
      </c>
      <c r="E366">
        <f>IF($B$2&lt;&gt;$I$3,COUNTIF(Tab_fériés[date],A366),0)</f>
        <v>0</v>
      </c>
      <c r="F366">
        <f t="shared" si="27"/>
        <v>0</v>
      </c>
    </row>
    <row r="367" spans="1:6">
      <c r="A367" s="3">
        <f t="shared" si="28"/>
        <v>46021</v>
      </c>
      <c r="B367">
        <f t="shared" si="25"/>
        <v>2</v>
      </c>
      <c r="C367">
        <f t="shared" si="29"/>
        <v>0</v>
      </c>
      <c r="D367">
        <f t="shared" si="26"/>
        <v>0</v>
      </c>
      <c r="E367">
        <f>IF($B$2&lt;&gt;$I$3,COUNTIF(Tab_fériés[date],A367),0)</f>
        <v>0</v>
      </c>
      <c r="F367">
        <f t="shared" si="27"/>
        <v>0</v>
      </c>
    </row>
    <row r="368" spans="1:6">
      <c r="A368" s="3">
        <f>IF(YEAR(A367+1)=B1,A367+1,"")</f>
        <v>46022</v>
      </c>
      <c r="B368">
        <f t="shared" si="25"/>
        <v>3</v>
      </c>
      <c r="C368">
        <f t="shared" si="29"/>
        <v>0</v>
      </c>
      <c r="D368">
        <f t="shared" si="26"/>
        <v>0</v>
      </c>
      <c r="E368">
        <f>IF($B$2&lt;&gt;$I$3,COUNTIF(Tab_fériés[date],A368),0)</f>
        <v>0</v>
      </c>
      <c r="F368">
        <f t="shared" si="27"/>
        <v>0</v>
      </c>
    </row>
    <row r="369" spans="1:6">
      <c r="A369" s="3" t="str">
        <f>IF(YEAR(A368+1)=B2,A368+1,"")</f>
        <v/>
      </c>
      <c r="B369" t="e">
        <f t="shared" si="25"/>
        <v>#VALUE!</v>
      </c>
      <c r="C369" t="e">
        <f t="shared" si="29"/>
        <v>#VALUE!</v>
      </c>
      <c r="D369" t="e">
        <f t="shared" si="26"/>
        <v>#VALUE!</v>
      </c>
      <c r="E369">
        <f>IF($B$2&lt;&gt;$I$3,COUNTIF(Tab_fériés[date],A369),0)</f>
        <v>0</v>
      </c>
      <c r="F369">
        <f t="shared" si="27"/>
        <v>0</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25"/>
  <dimension ref="A1:N244"/>
  <sheetViews>
    <sheetView workbookViewId="0">
      <selection activeCell="E231" sqref="E231"/>
    </sheetView>
  </sheetViews>
  <sheetFormatPr baseColWidth="10" defaultColWidth="0" defaultRowHeight="14.5" zeroHeight="1"/>
  <cols>
    <col min="1" max="1" width="22.1796875" style="88" customWidth="1"/>
    <col min="2" max="2" width="14" style="88" customWidth="1"/>
    <col min="3" max="3" width="11.54296875" style="227" customWidth="1"/>
    <col min="4" max="4" width="17.1796875" style="228" customWidth="1"/>
    <col min="5" max="5" width="11.453125" customWidth="1"/>
    <col min="6" max="6" width="14" hidden="1" customWidth="1"/>
    <col min="7" max="8" width="11.453125" hidden="1" customWidth="1"/>
    <col min="9" max="9" width="10.90625" customWidth="1"/>
    <col min="10" max="10" width="13.7265625" style="226" customWidth="1"/>
    <col min="11" max="11" width="21.7265625" customWidth="1"/>
    <col min="12" max="13" width="11.453125" customWidth="1"/>
    <col min="14" max="14" width="21.7265625" customWidth="1"/>
    <col min="15" max="16384" width="11.453125" hidden="1"/>
  </cols>
  <sheetData>
    <row r="1" spans="1:13" ht="37.15" customHeight="1">
      <c r="A1" s="57" t="s">
        <v>401</v>
      </c>
      <c r="B1" s="235" t="s">
        <v>402</v>
      </c>
      <c r="C1" s="132" t="s">
        <v>403</v>
      </c>
      <c r="D1" s="59" t="str">
        <f>CONCATENATE("Montant ",Controle_des_données!$A$40)</f>
        <v>Montant TTC</v>
      </c>
      <c r="E1" s="30" t="s">
        <v>218</v>
      </c>
      <c r="F1" s="29" t="s">
        <v>404</v>
      </c>
      <c r="G1" s="30" t="s">
        <v>405</v>
      </c>
      <c r="H1" s="30" t="s">
        <v>406</v>
      </c>
      <c r="I1" s="30" t="s">
        <v>407</v>
      </c>
      <c r="J1" s="188" t="s">
        <v>408</v>
      </c>
      <c r="K1" s="178" t="s">
        <v>19</v>
      </c>
      <c r="L1" s="186" t="str">
        <f>IF(Site!C39="", "Compteur 2",Site!C39)</f>
        <v>Chaleur Générale (factures)</v>
      </c>
    </row>
    <row r="2" spans="1:13" ht="20.25" hidden="1" customHeight="1">
      <c r="A2" s="85" t="s">
        <v>401</v>
      </c>
      <c r="B2" s="86" t="s">
        <v>402</v>
      </c>
      <c r="C2" s="132" t="s">
        <v>403</v>
      </c>
      <c r="D2" s="128" t="s">
        <v>95</v>
      </c>
      <c r="E2" s="30" t="s">
        <v>218</v>
      </c>
      <c r="F2" s="29" t="s">
        <v>404</v>
      </c>
      <c r="G2" s="30" t="s">
        <v>405</v>
      </c>
      <c r="H2" s="30" t="s">
        <v>406</v>
      </c>
      <c r="I2" s="215" t="s">
        <v>407</v>
      </c>
      <c r="J2" s="29"/>
      <c r="K2" s="178"/>
      <c r="L2" s="186"/>
      <c r="M2" s="187"/>
    </row>
    <row r="3" spans="1:13" hidden="1">
      <c r="A3" s="87" t="s">
        <v>239</v>
      </c>
      <c r="B3" s="87">
        <f>A4-1</f>
        <v>40178</v>
      </c>
      <c r="C3" s="130"/>
      <c r="D3" s="129"/>
      <c r="E3" s="73"/>
      <c r="F3" s="193" t="str">
        <f>IF(Tab_Compteur_2[[#This Row],[Fin de période]]&gt;0,IFERROR(B3-A3+1,""),"")</f>
        <v/>
      </c>
      <c r="G3">
        <f>IFERROR(IF(Str_TypeDonneesCpt=Cpt_Index,Tab_Compteur_1[[#This Row],[Index]],Tab_Compteur_1[[#This Row],[Quantité]])/Tab_Compteur_1[[#This Row],[Delta Jour]],0)</f>
        <v>0</v>
      </c>
      <c r="H3" s="48"/>
      <c r="I3" s="215">
        <f t="shared" ref="I3:I66" si="0">G3</f>
        <v>0</v>
      </c>
      <c r="J3" s="73"/>
      <c r="K3" s="73"/>
      <c r="L3" s="73"/>
      <c r="M3" s="73"/>
    </row>
    <row r="4" spans="1:13">
      <c r="A4" s="3">
        <f>Site!I39</f>
        <v>40179</v>
      </c>
      <c r="C4" s="199"/>
      <c r="D4" s="202"/>
      <c r="E4" s="203"/>
      <c r="F4" s="193" t="str">
        <f>IF(Tab_Compteur_2[[#This Row],[Fin de période]]&gt;0,IFERROR(B4-A4+1,""),"")</f>
        <v/>
      </c>
      <c r="G4" s="225" t="str">
        <f>IF(IFERROR(IF(Str_TypeDonneesCpt2=Cpt_Index,Tab_Compteur_2[[#This Row],[Index]]-M4,Tab_Compteur_2[[#This Row],[Quantité]])/Tab_Compteur_2[[#This Row],[Delta Jour]],"")&lt;0,"",IFERROR(IF(Str_TypeDonneesCpt2=Cpt_Index,Tab_Compteur_2[[#This Row],[Index]]-M4,Tab_Compteur_2[[#This Row],[Quantité]])/Tab_Compteur_2[[#This Row],[Delta Jour]],""))</f>
        <v/>
      </c>
      <c r="H4" s="193" t="str">
        <f>IFERROR(Tab_Compteur_2[[#This Row],[Colonne1]]/Tab_Compteur_2[[#This Row],[Delta Jour]],"")</f>
        <v/>
      </c>
      <c r="I4" s="215" t="str">
        <f t="shared" si="0"/>
        <v/>
      </c>
      <c r="J4" s="203"/>
      <c r="K4" s="223" t="s">
        <v>409</v>
      </c>
      <c r="L4" s="178"/>
      <c r="M4" s="224">
        <v>0</v>
      </c>
    </row>
    <row r="5" spans="1:13">
      <c r="A5" s="3">
        <f>IFERROR(B4+1,0)</f>
        <v>1</v>
      </c>
      <c r="C5" s="199"/>
      <c r="D5" s="202"/>
      <c r="E5" s="203"/>
      <c r="F5" s="193" t="str">
        <f>IF(Tab_Compteur_2[[#This Row],[Fin de période]]&gt;0,IFERROR(B5-A5+1,""),"")</f>
        <v/>
      </c>
      <c r="G5" t="str">
        <f>IF(IFERROR(IF(Str_TypeDonneesCpt2=Cpt_Index,Tab_Compteur_2[[#This Row],[Index]]-E4,Tab_Compteur_2[[#This Row],[Quantité]])/Tab_Compteur_2[[#This Row],[Delta Jour]],"")&lt;0,"",IFERROR(IF(Str_TypeDonneesCpt2=Cpt_Index,Tab_Compteur_2[[#This Row],[Index]]-E4,Tab_Compteur_2[[#This Row],[Quantité]])/Tab_Compteur_2[[#This Row],[Delta Jour]],""))</f>
        <v/>
      </c>
      <c r="H5" s="193" t="str">
        <f>IFERROR(Tab_Compteur_2[[#This Row],[Colonne1]]/Tab_Compteur_2[[#This Row],[Delta Jour]],"")</f>
        <v/>
      </c>
      <c r="I5" s="215" t="str">
        <f t="shared" si="0"/>
        <v/>
      </c>
      <c r="J5" s="203"/>
      <c r="K5" s="73"/>
      <c r="L5" s="73"/>
      <c r="M5" s="73"/>
    </row>
    <row r="6" spans="1:13">
      <c r="A6" s="3">
        <f t="shared" ref="A6:A69" si="1">IFERROR(B5+1,0)</f>
        <v>1</v>
      </c>
      <c r="C6" s="199"/>
      <c r="D6" s="202"/>
      <c r="E6" s="203"/>
      <c r="F6" s="193" t="str">
        <f>IF(Tab_Compteur_2[[#This Row],[Fin de période]]&gt;0,IFERROR(B6-A6+1,""),"")</f>
        <v/>
      </c>
      <c r="G6" t="str">
        <f>IF(IFERROR(IF(Str_TypeDonneesCpt2=Cpt_Index,Tab_Compteur_2[[#This Row],[Index]]-E5,Tab_Compteur_2[[#This Row],[Quantité]])/Tab_Compteur_2[[#This Row],[Delta Jour]],"")&lt;0,"",IFERROR(IF(Str_TypeDonneesCpt2=Cpt_Index,Tab_Compteur_2[[#This Row],[Index]]-E5,Tab_Compteur_2[[#This Row],[Quantité]])/Tab_Compteur_2[[#This Row],[Delta Jour]],""))</f>
        <v/>
      </c>
      <c r="H6" s="193" t="str">
        <f>IFERROR(Tab_Compteur_2[[#This Row],[Colonne1]]/Tab_Compteur_2[[#This Row],[Delta Jour]],"")</f>
        <v/>
      </c>
      <c r="I6" s="215" t="str">
        <f t="shared" si="0"/>
        <v/>
      </c>
      <c r="J6" s="203"/>
      <c r="K6" s="73"/>
      <c r="L6" s="73"/>
      <c r="M6" s="73"/>
    </row>
    <row r="7" spans="1:13">
      <c r="A7" s="3">
        <f t="shared" si="1"/>
        <v>1</v>
      </c>
      <c r="C7" s="199"/>
      <c r="D7" s="202"/>
      <c r="E7" s="203"/>
      <c r="F7" s="193" t="str">
        <f>IF(Tab_Compteur_2[[#This Row],[Fin de période]]&gt;0,IFERROR(B7-A7+1,""),"")</f>
        <v/>
      </c>
      <c r="G7" t="str">
        <f>IF(IFERROR(IF(Str_TypeDonneesCpt2=Cpt_Index,Tab_Compteur_2[[#This Row],[Index]]-E6,Tab_Compteur_2[[#This Row],[Quantité]])/Tab_Compteur_2[[#This Row],[Delta Jour]],"")&lt;0,"",IFERROR(IF(Str_TypeDonneesCpt2=Cpt_Index,Tab_Compteur_2[[#This Row],[Index]]-E6,Tab_Compteur_2[[#This Row],[Quantité]])/Tab_Compteur_2[[#This Row],[Delta Jour]],""))</f>
        <v/>
      </c>
      <c r="H7" s="193" t="str">
        <f>IFERROR(Tab_Compteur_2[[#This Row],[Colonne1]]/Tab_Compteur_2[[#This Row],[Delta Jour]],"")</f>
        <v/>
      </c>
      <c r="I7" s="215" t="str">
        <f t="shared" si="0"/>
        <v/>
      </c>
      <c r="J7" s="203"/>
      <c r="K7" s="73"/>
      <c r="L7" s="73"/>
      <c r="M7" s="73"/>
    </row>
    <row r="8" spans="1:13">
      <c r="A8" s="3">
        <f t="shared" si="1"/>
        <v>1</v>
      </c>
      <c r="C8" s="199"/>
      <c r="D8" s="202"/>
      <c r="E8" s="203"/>
      <c r="F8" s="193" t="str">
        <f>IF(Tab_Compteur_2[[#This Row],[Fin de période]]&gt;0,IFERROR(B8-A8+1,""),"")</f>
        <v/>
      </c>
      <c r="G8" t="str">
        <f>IF(IFERROR(IF(Str_TypeDonneesCpt2=Cpt_Index,Tab_Compteur_2[[#This Row],[Index]]-E7,Tab_Compteur_2[[#This Row],[Quantité]])/Tab_Compteur_2[[#This Row],[Delta Jour]],"")&lt;0,"",IFERROR(IF(Str_TypeDonneesCpt2=Cpt_Index,Tab_Compteur_2[[#This Row],[Index]]-E7,Tab_Compteur_2[[#This Row],[Quantité]])/Tab_Compteur_2[[#This Row],[Delta Jour]],""))</f>
        <v/>
      </c>
      <c r="H8" s="193" t="str">
        <f>IFERROR(Tab_Compteur_2[[#This Row],[Colonne1]]/Tab_Compteur_2[[#This Row],[Delta Jour]],"")</f>
        <v/>
      </c>
      <c r="I8" s="215" t="str">
        <f t="shared" si="0"/>
        <v/>
      </c>
      <c r="J8" s="203"/>
      <c r="K8" s="73"/>
      <c r="L8" s="73"/>
      <c r="M8" s="73"/>
    </row>
    <row r="9" spans="1:13">
      <c r="A9" s="3">
        <f t="shared" si="1"/>
        <v>1</v>
      </c>
      <c r="C9" s="199"/>
      <c r="D9" s="202"/>
      <c r="E9" s="203"/>
      <c r="F9" s="193" t="str">
        <f>IF(Tab_Compteur_2[[#This Row],[Fin de période]]&gt;0,IFERROR(B9-A9+1,""),"")</f>
        <v/>
      </c>
      <c r="G9" t="str">
        <f>IF(IFERROR(IF(Str_TypeDonneesCpt2=Cpt_Index,Tab_Compteur_2[[#This Row],[Index]]-E8,Tab_Compteur_2[[#This Row],[Quantité]])/Tab_Compteur_2[[#This Row],[Delta Jour]],"")&lt;0,"",IFERROR(IF(Str_TypeDonneesCpt2=Cpt_Index,Tab_Compteur_2[[#This Row],[Index]]-E8,Tab_Compteur_2[[#This Row],[Quantité]])/Tab_Compteur_2[[#This Row],[Delta Jour]],""))</f>
        <v/>
      </c>
      <c r="H9" s="193" t="str">
        <f>IFERROR(Tab_Compteur_2[[#This Row],[Colonne1]]/Tab_Compteur_2[[#This Row],[Delta Jour]],"")</f>
        <v/>
      </c>
      <c r="I9" s="215" t="str">
        <f t="shared" si="0"/>
        <v/>
      </c>
      <c r="J9" s="203"/>
      <c r="K9" s="73"/>
      <c r="L9" s="73"/>
      <c r="M9" s="73"/>
    </row>
    <row r="10" spans="1:13">
      <c r="A10" s="3">
        <f t="shared" si="1"/>
        <v>1</v>
      </c>
      <c r="C10" s="199"/>
      <c r="D10" s="202"/>
      <c r="E10" s="203"/>
      <c r="F10" s="193" t="str">
        <f>IF(Tab_Compteur_2[[#This Row],[Fin de période]]&gt;0,IFERROR(B10-A10+1,""),"")</f>
        <v/>
      </c>
      <c r="G10" t="str">
        <f>IF(IFERROR(IF(Str_TypeDonneesCpt2=Cpt_Index,Tab_Compteur_2[[#This Row],[Index]]-E9,Tab_Compteur_2[[#This Row],[Quantité]])/Tab_Compteur_2[[#This Row],[Delta Jour]],"")&lt;0,"",IFERROR(IF(Str_TypeDonneesCpt2=Cpt_Index,Tab_Compteur_2[[#This Row],[Index]]-E9,Tab_Compteur_2[[#This Row],[Quantité]])/Tab_Compteur_2[[#This Row],[Delta Jour]],""))</f>
        <v/>
      </c>
      <c r="H10" s="193" t="str">
        <f>IFERROR(Tab_Compteur_2[[#This Row],[Colonne1]]/Tab_Compteur_2[[#This Row],[Delta Jour]],"")</f>
        <v/>
      </c>
      <c r="I10" s="215" t="str">
        <f t="shared" si="0"/>
        <v/>
      </c>
      <c r="J10" s="204"/>
      <c r="K10" s="179"/>
      <c r="L10" s="179"/>
      <c r="M10" s="179"/>
    </row>
    <row r="11" spans="1:13" ht="15" customHeight="1">
      <c r="A11" s="3">
        <f t="shared" si="1"/>
        <v>1</v>
      </c>
      <c r="C11" s="199"/>
      <c r="D11" s="202"/>
      <c r="E11" s="203"/>
      <c r="F11" s="193" t="str">
        <f>IF(Tab_Compteur_2[[#This Row],[Fin de période]]&gt;0,IFERROR(B11-A11+1,""),"")</f>
        <v/>
      </c>
      <c r="G11" t="str">
        <f>IF(IFERROR(IF(Str_TypeDonneesCpt2=Cpt_Index,Tab_Compteur_2[[#This Row],[Index]]-E10,Tab_Compteur_2[[#This Row],[Quantité]])/Tab_Compteur_2[[#This Row],[Delta Jour]],"")&lt;0,"",IFERROR(IF(Str_TypeDonneesCpt2=Cpt_Index,Tab_Compteur_2[[#This Row],[Index]]-E10,Tab_Compteur_2[[#This Row],[Quantité]])/Tab_Compteur_2[[#This Row],[Delta Jour]],""))</f>
        <v/>
      </c>
      <c r="H11" s="193" t="str">
        <f>IFERROR(Tab_Compteur_2[[#This Row],[Colonne1]]/Tab_Compteur_2[[#This Row],[Delta Jour]],"")</f>
        <v/>
      </c>
      <c r="I11" s="215" t="str">
        <f t="shared" si="0"/>
        <v/>
      </c>
      <c r="J11" s="205"/>
      <c r="K11" s="573"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73"/>
      <c r="M11" s="573"/>
    </row>
    <row r="12" spans="1:13">
      <c r="A12" s="3">
        <f t="shared" si="1"/>
        <v>1</v>
      </c>
      <c r="C12" s="199"/>
      <c r="D12" s="202"/>
      <c r="E12" s="205"/>
      <c r="F12" s="193" t="str">
        <f>IF(Tab_Compteur_2[[#This Row],[Fin de période]]&gt;0,IFERROR(B12-A12+1,""),"")</f>
        <v/>
      </c>
      <c r="G12" t="str">
        <f>IF(IFERROR(IF(Str_TypeDonneesCpt2=Cpt_Index,Tab_Compteur_2[[#This Row],[Index]]-E11,Tab_Compteur_2[[#This Row],[Quantité]])/Tab_Compteur_2[[#This Row],[Delta Jour]],"")&lt;0,"",IFERROR(IF(Str_TypeDonneesCpt2=Cpt_Index,Tab_Compteur_2[[#This Row],[Index]]-E11,Tab_Compteur_2[[#This Row],[Quantité]])/Tab_Compteur_2[[#This Row],[Delta Jour]],""))</f>
        <v/>
      </c>
      <c r="H12" s="193" t="str">
        <f>IFERROR(Tab_Compteur_2[[#This Row],[Colonne1]]/Tab_Compteur_2[[#This Row],[Delta Jour]],"")</f>
        <v/>
      </c>
      <c r="I12" s="215" t="str">
        <f t="shared" si="0"/>
        <v/>
      </c>
      <c r="J12" s="205"/>
      <c r="K12" s="573"/>
      <c r="L12" s="573"/>
      <c r="M12" s="573"/>
    </row>
    <row r="13" spans="1:13">
      <c r="A13" s="3">
        <f t="shared" si="1"/>
        <v>1</v>
      </c>
      <c r="C13" s="199"/>
      <c r="D13" s="202"/>
      <c r="E13" s="205"/>
      <c r="F13" s="193" t="str">
        <f>IF(Tab_Compteur_2[[#This Row],[Fin de période]]&gt;0,IFERROR(B13-A13+1,""),"")</f>
        <v/>
      </c>
      <c r="G13" t="str">
        <f>IF(IFERROR(IF(Str_TypeDonneesCpt2=Cpt_Index,Tab_Compteur_2[[#This Row],[Index]]-E12,Tab_Compteur_2[[#This Row],[Quantité]])/Tab_Compteur_2[[#This Row],[Delta Jour]],"")&lt;0,"",IFERROR(IF(Str_TypeDonneesCpt2=Cpt_Index,Tab_Compteur_2[[#This Row],[Index]]-E12,Tab_Compteur_2[[#This Row],[Quantité]])/Tab_Compteur_2[[#This Row],[Delta Jour]],""))</f>
        <v/>
      </c>
      <c r="H13" s="193" t="str">
        <f>IFERROR(Tab_Compteur_2[[#This Row],[Colonne1]]/Tab_Compteur_2[[#This Row],[Delta Jour]],"")</f>
        <v/>
      </c>
      <c r="I13" s="215" t="str">
        <f t="shared" si="0"/>
        <v/>
      </c>
      <c r="J13" s="205"/>
      <c r="K13" s="573"/>
      <c r="L13" s="573"/>
      <c r="M13" s="573"/>
    </row>
    <row r="14" spans="1:13">
      <c r="A14" s="3">
        <f t="shared" si="1"/>
        <v>1</v>
      </c>
      <c r="C14" s="199"/>
      <c r="D14" s="202"/>
      <c r="E14" s="205"/>
      <c r="F14" s="193" t="str">
        <f>IF(Tab_Compteur_2[[#This Row],[Fin de période]]&gt;0,IFERROR(B14-A14+1,""),"")</f>
        <v/>
      </c>
      <c r="G14" t="str">
        <f>IF(IFERROR(IF(Str_TypeDonneesCpt2=Cpt_Index,Tab_Compteur_2[[#This Row],[Index]]-E13,Tab_Compteur_2[[#This Row],[Quantité]])/Tab_Compteur_2[[#This Row],[Delta Jour]],"")&lt;0,"",IFERROR(IF(Str_TypeDonneesCpt2=Cpt_Index,Tab_Compteur_2[[#This Row],[Index]]-E13,Tab_Compteur_2[[#This Row],[Quantité]])/Tab_Compteur_2[[#This Row],[Delta Jour]],""))</f>
        <v/>
      </c>
      <c r="H14" s="193" t="str">
        <f>IFERROR(Tab_Compteur_2[[#This Row],[Colonne1]]/Tab_Compteur_2[[#This Row],[Delta Jour]],"")</f>
        <v/>
      </c>
      <c r="I14" s="215" t="str">
        <f t="shared" si="0"/>
        <v/>
      </c>
      <c r="J14" s="205"/>
      <c r="K14" s="573"/>
      <c r="L14" s="573"/>
      <c r="M14" s="573"/>
    </row>
    <row r="15" spans="1:13">
      <c r="A15" s="3">
        <f t="shared" si="1"/>
        <v>1</v>
      </c>
      <c r="C15" s="193"/>
      <c r="D15" s="202"/>
      <c r="E15" s="205"/>
      <c r="F15" s="193" t="str">
        <f>IF(Tab_Compteur_2[[#This Row],[Fin de période]]&gt;0,IFERROR(B15-A15+1,""),"")</f>
        <v/>
      </c>
      <c r="G15" t="str">
        <f>IF(IFERROR(IF(Str_TypeDonneesCpt2=Cpt_Index,Tab_Compteur_2[[#This Row],[Index]]-E14,Tab_Compteur_2[[#This Row],[Quantité]])/Tab_Compteur_2[[#This Row],[Delta Jour]],"")&lt;0,"",IFERROR(IF(Str_TypeDonneesCpt2=Cpt_Index,Tab_Compteur_2[[#This Row],[Index]]-E14,Tab_Compteur_2[[#This Row],[Quantité]])/Tab_Compteur_2[[#This Row],[Delta Jour]],""))</f>
        <v/>
      </c>
      <c r="H15" s="193" t="str">
        <f>IFERROR(Tab_Compteur_2[[#This Row],[Colonne1]]/Tab_Compteur_2[[#This Row],[Delta Jour]],"")</f>
        <v/>
      </c>
      <c r="I15" s="215" t="str">
        <f t="shared" si="0"/>
        <v/>
      </c>
      <c r="J15" s="205"/>
      <c r="K15" s="573"/>
      <c r="L15" s="573"/>
      <c r="M15" s="573"/>
    </row>
    <row r="16" spans="1:13">
      <c r="A16" s="3">
        <f t="shared" si="1"/>
        <v>1</v>
      </c>
      <c r="C16" s="193"/>
      <c r="D16" s="202"/>
      <c r="E16" s="205"/>
      <c r="F16" s="193" t="str">
        <f>IF(Tab_Compteur_2[[#This Row],[Fin de période]]&gt;0,IFERROR(B16-A16+1,""),"")</f>
        <v/>
      </c>
      <c r="G16" t="str">
        <f>IF(IFERROR(IF(Str_TypeDonneesCpt2=Cpt_Index,Tab_Compteur_2[[#This Row],[Index]]-E15,Tab_Compteur_2[[#This Row],[Quantité]])/Tab_Compteur_2[[#This Row],[Delta Jour]],"")&lt;0,"",IFERROR(IF(Str_TypeDonneesCpt2=Cpt_Index,Tab_Compteur_2[[#This Row],[Index]]-E15,Tab_Compteur_2[[#This Row],[Quantité]])/Tab_Compteur_2[[#This Row],[Delta Jour]],""))</f>
        <v/>
      </c>
      <c r="H16" s="193" t="str">
        <f>IFERROR(Tab_Compteur_2[[#This Row],[Colonne1]]/Tab_Compteur_2[[#This Row],[Delta Jour]],"")</f>
        <v/>
      </c>
      <c r="I16" s="215" t="str">
        <f t="shared" si="0"/>
        <v/>
      </c>
      <c r="J16" s="205"/>
      <c r="K16" s="573"/>
      <c r="L16" s="573"/>
      <c r="M16" s="573"/>
    </row>
    <row r="17" spans="1:13">
      <c r="A17" s="3">
        <f t="shared" si="1"/>
        <v>1</v>
      </c>
      <c r="C17" s="193"/>
      <c r="D17" s="202"/>
      <c r="E17" s="205"/>
      <c r="F17" s="193" t="str">
        <f>IF(Tab_Compteur_2[[#This Row],[Fin de période]]&gt;0,IFERROR(B17-A17+1,""),"")</f>
        <v/>
      </c>
      <c r="G17" t="str">
        <f>IF(IFERROR(IF(Str_TypeDonneesCpt2=Cpt_Index,Tab_Compteur_2[[#This Row],[Index]]-E16,Tab_Compteur_2[[#This Row],[Quantité]])/Tab_Compteur_2[[#This Row],[Delta Jour]],"")&lt;0,"",IFERROR(IF(Str_TypeDonneesCpt2=Cpt_Index,Tab_Compteur_2[[#This Row],[Index]]-E16,Tab_Compteur_2[[#This Row],[Quantité]])/Tab_Compteur_2[[#This Row],[Delta Jour]],""))</f>
        <v/>
      </c>
      <c r="H17" s="193" t="str">
        <f>IFERROR(Tab_Compteur_2[[#This Row],[Colonne1]]/Tab_Compteur_2[[#This Row],[Delta Jour]],"")</f>
        <v/>
      </c>
      <c r="I17" s="215" t="str">
        <f t="shared" si="0"/>
        <v/>
      </c>
      <c r="J17" s="205"/>
      <c r="K17" s="573"/>
      <c r="L17" s="573"/>
      <c r="M17" s="573"/>
    </row>
    <row r="18" spans="1:13">
      <c r="A18" s="3">
        <f t="shared" si="1"/>
        <v>1</v>
      </c>
      <c r="C18" s="193"/>
      <c r="D18" s="202"/>
      <c r="E18" s="205"/>
      <c r="F18" s="193" t="str">
        <f>IF(Tab_Compteur_2[[#This Row],[Fin de période]]&gt;0,IFERROR(B18-A18+1,""),"")</f>
        <v/>
      </c>
      <c r="G18" t="str">
        <f>IF(IFERROR(IF(Str_TypeDonneesCpt2=Cpt_Index,Tab_Compteur_2[[#This Row],[Index]]-E17,Tab_Compteur_2[[#This Row],[Quantité]])/Tab_Compteur_2[[#This Row],[Delta Jour]],"")&lt;0,"",IFERROR(IF(Str_TypeDonneesCpt2=Cpt_Index,Tab_Compteur_2[[#This Row],[Index]]-E17,Tab_Compteur_2[[#This Row],[Quantité]])/Tab_Compteur_2[[#This Row],[Delta Jour]],""))</f>
        <v/>
      </c>
      <c r="H18" s="193" t="str">
        <f>IFERROR(Tab_Compteur_2[[#This Row],[Colonne1]]/Tab_Compteur_2[[#This Row],[Delta Jour]],"")</f>
        <v/>
      </c>
      <c r="I18" s="215" t="str">
        <f t="shared" si="0"/>
        <v/>
      </c>
      <c r="J18" s="205"/>
      <c r="K18" s="573"/>
      <c r="L18" s="573"/>
      <c r="M18" s="573"/>
    </row>
    <row r="19" spans="1:13">
      <c r="A19" s="3">
        <f t="shared" si="1"/>
        <v>1</v>
      </c>
      <c r="C19" s="193"/>
      <c r="D19" s="202"/>
      <c r="E19" s="205"/>
      <c r="F19" s="193" t="str">
        <f>IF(Tab_Compteur_2[[#This Row],[Fin de période]]&gt;0,IFERROR(B19-A19+1,""),"")</f>
        <v/>
      </c>
      <c r="G19" t="str">
        <f>IF(IFERROR(IF(Str_TypeDonneesCpt2=Cpt_Index,Tab_Compteur_2[[#This Row],[Index]]-E18,Tab_Compteur_2[[#This Row],[Quantité]])/Tab_Compteur_2[[#This Row],[Delta Jour]],"")&lt;0,"",IFERROR(IF(Str_TypeDonneesCpt2=Cpt_Index,Tab_Compteur_2[[#This Row],[Index]]-E18,Tab_Compteur_2[[#This Row],[Quantité]])/Tab_Compteur_2[[#This Row],[Delta Jour]],""))</f>
        <v/>
      </c>
      <c r="H19" s="193" t="str">
        <f>IFERROR(Tab_Compteur_2[[#This Row],[Colonne1]]/Tab_Compteur_2[[#This Row],[Delta Jour]],"")</f>
        <v/>
      </c>
      <c r="I19" s="215" t="str">
        <f t="shared" si="0"/>
        <v/>
      </c>
      <c r="J19" s="205"/>
      <c r="K19" s="573"/>
      <c r="L19" s="573"/>
      <c r="M19" s="573"/>
    </row>
    <row r="20" spans="1:13">
      <c r="A20" s="3">
        <f t="shared" si="1"/>
        <v>1</v>
      </c>
      <c r="C20" s="193"/>
      <c r="D20" s="202"/>
      <c r="E20" s="205"/>
      <c r="F20" s="193" t="str">
        <f>IF(Tab_Compteur_2[[#This Row],[Fin de période]]&gt;0,IFERROR(B20-A20+1,""),"")</f>
        <v/>
      </c>
      <c r="G20" t="str">
        <f>IF(IFERROR(IF(Str_TypeDonneesCpt2=Cpt_Index,Tab_Compteur_2[[#This Row],[Index]]-E19,Tab_Compteur_2[[#This Row],[Quantité]])/Tab_Compteur_2[[#This Row],[Delta Jour]],"")&lt;0,"",IFERROR(IF(Str_TypeDonneesCpt2=Cpt_Index,Tab_Compteur_2[[#This Row],[Index]]-E19,Tab_Compteur_2[[#This Row],[Quantité]])/Tab_Compteur_2[[#This Row],[Delta Jour]],""))</f>
        <v/>
      </c>
      <c r="H20" s="193" t="str">
        <f>IFERROR(Tab_Compteur_2[[#This Row],[Colonne1]]/Tab_Compteur_2[[#This Row],[Delta Jour]],"")</f>
        <v/>
      </c>
      <c r="I20" s="215" t="str">
        <f t="shared" si="0"/>
        <v/>
      </c>
      <c r="J20" s="205"/>
      <c r="K20" s="573"/>
      <c r="L20" s="573"/>
      <c r="M20" s="573"/>
    </row>
    <row r="21" spans="1:13">
      <c r="A21" s="3">
        <f t="shared" si="1"/>
        <v>1</v>
      </c>
      <c r="C21" s="193"/>
      <c r="D21" s="202"/>
      <c r="E21" s="205"/>
      <c r="F21" s="193" t="str">
        <f>IF(Tab_Compteur_2[[#This Row],[Fin de période]]&gt;0,IFERROR(B21-A21+1,""),"")</f>
        <v/>
      </c>
      <c r="G21" t="str">
        <f>IF(IFERROR(IF(Str_TypeDonneesCpt2=Cpt_Index,Tab_Compteur_2[[#This Row],[Index]]-E20,Tab_Compteur_2[[#This Row],[Quantité]])/Tab_Compteur_2[[#This Row],[Delta Jour]],"")&lt;0,"",IFERROR(IF(Str_TypeDonneesCpt2=Cpt_Index,Tab_Compteur_2[[#This Row],[Index]]-E20,Tab_Compteur_2[[#This Row],[Quantité]])/Tab_Compteur_2[[#This Row],[Delta Jour]],""))</f>
        <v/>
      </c>
      <c r="H21" s="193" t="str">
        <f>IFERROR(Tab_Compteur_2[[#This Row],[Colonne1]]/Tab_Compteur_2[[#This Row],[Delta Jour]],"")</f>
        <v/>
      </c>
      <c r="I21" s="215" t="str">
        <f t="shared" si="0"/>
        <v/>
      </c>
      <c r="J21" s="205"/>
      <c r="K21" s="573"/>
      <c r="L21" s="573"/>
      <c r="M21" s="573"/>
    </row>
    <row r="22" spans="1:13">
      <c r="A22" s="3">
        <f t="shared" si="1"/>
        <v>1</v>
      </c>
      <c r="C22" s="193"/>
      <c r="D22" s="202"/>
      <c r="E22" s="203"/>
      <c r="F22" s="193" t="str">
        <f>IF(Tab_Compteur_2[[#This Row],[Fin de période]]&gt;0,IFERROR(B22-A22+1,""),"")</f>
        <v/>
      </c>
      <c r="G22" t="str">
        <f>IF(IFERROR(IF(Str_TypeDonneesCpt2=Cpt_Index,Tab_Compteur_2[[#This Row],[Index]]-E21,Tab_Compteur_2[[#This Row],[Quantité]])/Tab_Compteur_2[[#This Row],[Delta Jour]],"")&lt;0,"",IFERROR(IF(Str_TypeDonneesCpt2=Cpt_Index,Tab_Compteur_2[[#This Row],[Index]]-E21,Tab_Compteur_2[[#This Row],[Quantité]])/Tab_Compteur_2[[#This Row],[Delta Jour]],""))</f>
        <v/>
      </c>
      <c r="H22" s="193" t="str">
        <f>IFERROR(Tab_Compteur_2[[#This Row],[Colonne1]]/Tab_Compteur_2[[#This Row],[Delta Jour]],"")</f>
        <v/>
      </c>
      <c r="I22" s="215" t="str">
        <f t="shared" si="0"/>
        <v/>
      </c>
      <c r="J22" s="203"/>
      <c r="K22" s="573"/>
      <c r="L22" s="573"/>
      <c r="M22" s="573"/>
    </row>
    <row r="23" spans="1:13">
      <c r="A23" s="3">
        <f t="shared" si="1"/>
        <v>1</v>
      </c>
      <c r="C23" s="193"/>
      <c r="D23" s="202"/>
      <c r="E23" s="203"/>
      <c r="F23" s="193" t="str">
        <f>IF(Tab_Compteur_2[[#This Row],[Fin de période]]&gt;0,IFERROR(B23-A23+1,""),"")</f>
        <v/>
      </c>
      <c r="G23" t="str">
        <f>IF(IFERROR(IF(Str_TypeDonneesCpt2=Cpt_Index,Tab_Compteur_2[[#This Row],[Index]]-E22,Tab_Compteur_2[[#This Row],[Quantité]])/Tab_Compteur_2[[#This Row],[Delta Jour]],"")&lt;0,"",IFERROR(IF(Str_TypeDonneesCpt2=Cpt_Index,Tab_Compteur_2[[#This Row],[Index]]-E22,Tab_Compteur_2[[#This Row],[Quantité]])/Tab_Compteur_2[[#This Row],[Delta Jour]],""))</f>
        <v/>
      </c>
      <c r="H23" s="193" t="str">
        <f>IFERROR(Tab_Compteur_2[[#This Row],[Colonne1]]/Tab_Compteur_2[[#This Row],[Delta Jour]],"")</f>
        <v/>
      </c>
      <c r="I23" s="215" t="str">
        <f t="shared" si="0"/>
        <v/>
      </c>
      <c r="J23" s="203"/>
      <c r="K23" s="573"/>
      <c r="L23" s="573"/>
      <c r="M23" s="573"/>
    </row>
    <row r="24" spans="1:13">
      <c r="A24" s="3">
        <f t="shared" si="1"/>
        <v>1</v>
      </c>
      <c r="C24" s="193"/>
      <c r="D24" s="202"/>
      <c r="E24" s="203"/>
      <c r="F24" s="193" t="str">
        <f>IF(Tab_Compteur_2[[#This Row],[Fin de période]]&gt;0,IFERROR(B24-A24+1,""),"")</f>
        <v/>
      </c>
      <c r="G24" t="str">
        <f>IF(IFERROR(IF(Str_TypeDonneesCpt2=Cpt_Index,Tab_Compteur_2[[#This Row],[Index]]-E23,Tab_Compteur_2[[#This Row],[Quantité]])/Tab_Compteur_2[[#This Row],[Delta Jour]],"")&lt;0,"",IFERROR(IF(Str_TypeDonneesCpt2=Cpt_Index,Tab_Compteur_2[[#This Row],[Index]]-E23,Tab_Compteur_2[[#This Row],[Quantité]])/Tab_Compteur_2[[#This Row],[Delta Jour]],""))</f>
        <v/>
      </c>
      <c r="H24" s="193" t="str">
        <f>IFERROR(Tab_Compteur_2[[#This Row],[Colonne1]]/Tab_Compteur_2[[#This Row],[Delta Jour]],"")</f>
        <v/>
      </c>
      <c r="I24" s="215" t="str">
        <f t="shared" si="0"/>
        <v/>
      </c>
      <c r="J24" s="203"/>
      <c r="K24" s="573"/>
      <c r="L24" s="573"/>
      <c r="M24" s="573"/>
    </row>
    <row r="25" spans="1:13">
      <c r="A25" s="3">
        <f t="shared" si="1"/>
        <v>1</v>
      </c>
      <c r="C25" s="193"/>
      <c r="D25" s="202"/>
      <c r="E25" s="203"/>
      <c r="F25" s="193" t="str">
        <f>IF(Tab_Compteur_2[[#This Row],[Fin de période]]&gt;0,IFERROR(B25-A25+1,""),"")</f>
        <v/>
      </c>
      <c r="G25" t="str">
        <f>IF(IFERROR(IF(Str_TypeDonneesCpt2=Cpt_Index,Tab_Compteur_2[[#This Row],[Index]]-E24,Tab_Compteur_2[[#This Row],[Quantité]])/Tab_Compteur_2[[#This Row],[Delta Jour]],"")&lt;0,"",IFERROR(IF(Str_TypeDonneesCpt2=Cpt_Index,Tab_Compteur_2[[#This Row],[Index]]-E24,Tab_Compteur_2[[#This Row],[Quantité]])/Tab_Compteur_2[[#This Row],[Delta Jour]],""))</f>
        <v/>
      </c>
      <c r="H25" s="193" t="str">
        <f>IFERROR(Tab_Compteur_2[[#This Row],[Colonne1]]/Tab_Compteur_2[[#This Row],[Delta Jour]],"")</f>
        <v/>
      </c>
      <c r="I25" s="215" t="str">
        <f t="shared" si="0"/>
        <v/>
      </c>
      <c r="J25" s="203"/>
      <c r="K25" s="573"/>
      <c r="L25" s="573"/>
      <c r="M25" s="573"/>
    </row>
    <row r="26" spans="1:13">
      <c r="A26" s="3">
        <f t="shared" si="1"/>
        <v>1</v>
      </c>
      <c r="C26" s="193"/>
      <c r="D26" s="202"/>
      <c r="E26" s="203"/>
      <c r="F26" s="193" t="str">
        <f>IF(Tab_Compteur_2[[#This Row],[Fin de période]]&gt;0,IFERROR(B26-A26+1,""),"")</f>
        <v/>
      </c>
      <c r="G26" t="str">
        <f>IF(IFERROR(IF(Str_TypeDonneesCpt2=Cpt_Index,Tab_Compteur_2[[#This Row],[Index]]-E25,Tab_Compteur_2[[#This Row],[Quantité]])/Tab_Compteur_2[[#This Row],[Delta Jour]],"")&lt;0,"",IFERROR(IF(Str_TypeDonneesCpt2=Cpt_Index,Tab_Compteur_2[[#This Row],[Index]]-E25,Tab_Compteur_2[[#This Row],[Quantité]])/Tab_Compteur_2[[#This Row],[Delta Jour]],""))</f>
        <v/>
      </c>
      <c r="H26" s="193" t="str">
        <f>IFERROR(Tab_Compteur_2[[#This Row],[Colonne1]]/Tab_Compteur_2[[#This Row],[Delta Jour]],"")</f>
        <v/>
      </c>
      <c r="I26" s="215" t="str">
        <f t="shared" si="0"/>
        <v/>
      </c>
      <c r="J26" s="203"/>
      <c r="K26" s="573"/>
      <c r="L26" s="573"/>
      <c r="M26" s="573"/>
    </row>
    <row r="27" spans="1:13">
      <c r="A27" s="3">
        <f t="shared" si="1"/>
        <v>1</v>
      </c>
      <c r="C27" s="193"/>
      <c r="D27" s="202"/>
      <c r="E27" s="203"/>
      <c r="F27" s="193" t="str">
        <f>IF(Tab_Compteur_2[[#This Row],[Fin de période]]&gt;0,IFERROR(B27-A27+1,""),"")</f>
        <v/>
      </c>
      <c r="G27" t="str">
        <f>IF(IFERROR(IF(Str_TypeDonneesCpt2=Cpt_Index,Tab_Compteur_2[[#This Row],[Index]]-E26,Tab_Compteur_2[[#This Row],[Quantité]])/Tab_Compteur_2[[#This Row],[Delta Jour]],"")&lt;0,"",IFERROR(IF(Str_TypeDonneesCpt2=Cpt_Index,Tab_Compteur_2[[#This Row],[Index]]-E26,Tab_Compteur_2[[#This Row],[Quantité]])/Tab_Compteur_2[[#This Row],[Delta Jour]],""))</f>
        <v/>
      </c>
      <c r="H27" s="193" t="str">
        <f>IFERROR(Tab_Compteur_2[[#This Row],[Colonne1]]/Tab_Compteur_2[[#This Row],[Delta Jour]],"")</f>
        <v/>
      </c>
      <c r="I27" s="215" t="str">
        <f t="shared" si="0"/>
        <v/>
      </c>
      <c r="J27" s="203"/>
      <c r="K27" s="573"/>
      <c r="L27" s="573"/>
      <c r="M27" s="573"/>
    </row>
    <row r="28" spans="1:13">
      <c r="A28" s="3">
        <f t="shared" si="1"/>
        <v>1</v>
      </c>
      <c r="C28" s="193"/>
      <c r="D28" s="202"/>
      <c r="E28" s="203"/>
      <c r="F28" s="193" t="str">
        <f>IF(Tab_Compteur_2[[#This Row],[Fin de période]]&gt;0,IFERROR(B28-A28+1,""),"")</f>
        <v/>
      </c>
      <c r="G28" t="str">
        <f>IF(IFERROR(IF(Str_TypeDonneesCpt2=Cpt_Index,Tab_Compteur_2[[#This Row],[Index]]-E27,Tab_Compteur_2[[#This Row],[Quantité]])/Tab_Compteur_2[[#This Row],[Delta Jour]],"")&lt;0,"",IFERROR(IF(Str_TypeDonneesCpt2=Cpt_Index,Tab_Compteur_2[[#This Row],[Index]]-E27,Tab_Compteur_2[[#This Row],[Quantité]])/Tab_Compteur_2[[#This Row],[Delta Jour]],""))</f>
        <v/>
      </c>
      <c r="H28" s="193" t="str">
        <f>IFERROR(Tab_Compteur_2[[#This Row],[Colonne1]]/Tab_Compteur_2[[#This Row],[Delta Jour]],"")</f>
        <v/>
      </c>
      <c r="I28" s="215" t="str">
        <f t="shared" si="0"/>
        <v/>
      </c>
      <c r="J28" s="203"/>
      <c r="K28" s="573"/>
      <c r="L28" s="573"/>
      <c r="M28" s="573"/>
    </row>
    <row r="29" spans="1:13">
      <c r="A29" s="3">
        <f t="shared" si="1"/>
        <v>1</v>
      </c>
      <c r="C29" s="193"/>
      <c r="D29" s="202"/>
      <c r="E29" s="203"/>
      <c r="F29" s="193" t="str">
        <f>IF(Tab_Compteur_2[[#This Row],[Fin de période]]&gt;0,IFERROR(B29-A29+1,""),"")</f>
        <v/>
      </c>
      <c r="G29" t="str">
        <f>IF(IFERROR(IF(Str_TypeDonneesCpt2=Cpt_Index,Tab_Compteur_2[[#This Row],[Index]]-E28,Tab_Compteur_2[[#This Row],[Quantité]])/Tab_Compteur_2[[#This Row],[Delta Jour]],"")&lt;0,"",IFERROR(IF(Str_TypeDonneesCpt2=Cpt_Index,Tab_Compteur_2[[#This Row],[Index]]-E28,Tab_Compteur_2[[#This Row],[Quantité]])/Tab_Compteur_2[[#This Row],[Delta Jour]],""))</f>
        <v/>
      </c>
      <c r="H29" s="193" t="str">
        <f>IFERROR(Tab_Compteur_2[[#This Row],[Colonne1]]/Tab_Compteur_2[[#This Row],[Delta Jour]],"")</f>
        <v/>
      </c>
      <c r="I29" s="215" t="str">
        <f t="shared" si="0"/>
        <v/>
      </c>
      <c r="J29" s="203"/>
      <c r="K29" s="573"/>
      <c r="L29" s="573"/>
      <c r="M29" s="573"/>
    </row>
    <row r="30" spans="1:13">
      <c r="A30" s="3">
        <f t="shared" si="1"/>
        <v>1</v>
      </c>
      <c r="C30" s="193"/>
      <c r="D30" s="202"/>
      <c r="E30" s="203"/>
      <c r="F30" s="193" t="str">
        <f>IF(Tab_Compteur_2[[#This Row],[Fin de période]]&gt;0,IFERROR(B30-A30+1,""),"")</f>
        <v/>
      </c>
      <c r="G30" t="str">
        <f>IF(IFERROR(IF(Str_TypeDonneesCpt2=Cpt_Index,Tab_Compteur_2[[#This Row],[Index]]-E29,Tab_Compteur_2[[#This Row],[Quantité]])/Tab_Compteur_2[[#This Row],[Delta Jour]],"")&lt;0,"",IFERROR(IF(Str_TypeDonneesCpt2=Cpt_Index,Tab_Compteur_2[[#This Row],[Index]]-E29,Tab_Compteur_2[[#This Row],[Quantité]])/Tab_Compteur_2[[#This Row],[Delta Jour]],""))</f>
        <v/>
      </c>
      <c r="H30" s="193" t="str">
        <f>IFERROR(Tab_Compteur_2[[#This Row],[Colonne1]]/Tab_Compteur_2[[#This Row],[Delta Jour]],"")</f>
        <v/>
      </c>
      <c r="I30" s="215" t="str">
        <f t="shared" si="0"/>
        <v/>
      </c>
      <c r="J30" s="203"/>
      <c r="K30" s="573"/>
      <c r="L30" s="573"/>
      <c r="M30" s="573"/>
    </row>
    <row r="31" spans="1:13">
      <c r="A31" s="3">
        <f t="shared" si="1"/>
        <v>1</v>
      </c>
      <c r="C31" s="193"/>
      <c r="D31" s="202"/>
      <c r="E31" s="203"/>
      <c r="F31" s="193" t="str">
        <f>IF(Tab_Compteur_2[[#This Row],[Fin de période]]&gt;0,IFERROR(B31-A31+1,""),"")</f>
        <v/>
      </c>
      <c r="G31" t="str">
        <f>IF(IFERROR(IF(Str_TypeDonneesCpt2=Cpt_Index,Tab_Compteur_2[[#This Row],[Index]]-E30,Tab_Compteur_2[[#This Row],[Quantité]])/Tab_Compteur_2[[#This Row],[Delta Jour]],"")&lt;0,"",IFERROR(IF(Str_TypeDonneesCpt2=Cpt_Index,Tab_Compteur_2[[#This Row],[Index]]-E30,Tab_Compteur_2[[#This Row],[Quantité]])/Tab_Compteur_2[[#This Row],[Delta Jour]],""))</f>
        <v/>
      </c>
      <c r="H31" s="193" t="str">
        <f>IFERROR(Tab_Compteur_2[[#This Row],[Colonne1]]/Tab_Compteur_2[[#This Row],[Delta Jour]],"")</f>
        <v/>
      </c>
      <c r="I31" s="215" t="str">
        <f t="shared" si="0"/>
        <v/>
      </c>
      <c r="J31" s="203"/>
      <c r="K31" s="573"/>
      <c r="L31" s="573"/>
      <c r="M31" s="573"/>
    </row>
    <row r="32" spans="1:13">
      <c r="A32" s="3">
        <f t="shared" si="1"/>
        <v>1</v>
      </c>
      <c r="C32" s="193"/>
      <c r="D32" s="202"/>
      <c r="E32" s="203"/>
      <c r="F32" s="193" t="str">
        <f>IF(Tab_Compteur_2[[#This Row],[Fin de période]]&gt;0,IFERROR(B32-A32+1,""),"")</f>
        <v/>
      </c>
      <c r="G32" t="str">
        <f>IF(IFERROR(IF(Str_TypeDonneesCpt2=Cpt_Index,Tab_Compteur_2[[#This Row],[Index]]-E31,Tab_Compteur_2[[#This Row],[Quantité]])/Tab_Compteur_2[[#This Row],[Delta Jour]],"")&lt;0,"",IFERROR(IF(Str_TypeDonneesCpt2=Cpt_Index,Tab_Compteur_2[[#This Row],[Index]]-E31,Tab_Compteur_2[[#This Row],[Quantité]])/Tab_Compteur_2[[#This Row],[Delta Jour]],""))</f>
        <v/>
      </c>
      <c r="H32" s="193" t="str">
        <f>IFERROR(Tab_Compteur_2[[#This Row],[Colonne1]]/Tab_Compteur_2[[#This Row],[Delta Jour]],"")</f>
        <v/>
      </c>
      <c r="I32" s="215" t="str">
        <f t="shared" si="0"/>
        <v/>
      </c>
      <c r="J32" s="203"/>
      <c r="K32" s="573"/>
      <c r="L32" s="573"/>
      <c r="M32" s="573"/>
    </row>
    <row r="33" spans="1:13">
      <c r="A33" s="3">
        <f t="shared" si="1"/>
        <v>1</v>
      </c>
      <c r="C33" s="193"/>
      <c r="D33" s="202"/>
      <c r="E33" s="203"/>
      <c r="F33" s="193" t="str">
        <f>IF(Tab_Compteur_2[[#This Row],[Fin de période]]&gt;0,IFERROR(B33-A33+1,""),"")</f>
        <v/>
      </c>
      <c r="G33" t="str">
        <f>IF(IFERROR(IF(Str_TypeDonneesCpt2=Cpt_Index,Tab_Compteur_2[[#This Row],[Index]]-E32,Tab_Compteur_2[[#This Row],[Quantité]])/Tab_Compteur_2[[#This Row],[Delta Jour]],"")&lt;0,"",IFERROR(IF(Str_TypeDonneesCpt2=Cpt_Index,Tab_Compteur_2[[#This Row],[Index]]-E32,Tab_Compteur_2[[#This Row],[Quantité]])/Tab_Compteur_2[[#This Row],[Delta Jour]],""))</f>
        <v/>
      </c>
      <c r="H33" s="193" t="str">
        <f>IFERROR(Tab_Compteur_2[[#This Row],[Colonne1]]/Tab_Compteur_2[[#This Row],[Delta Jour]],"")</f>
        <v/>
      </c>
      <c r="I33" s="215" t="str">
        <f t="shared" si="0"/>
        <v/>
      </c>
      <c r="J33" s="203"/>
      <c r="K33" s="573"/>
      <c r="L33" s="573"/>
      <c r="M33" s="573"/>
    </row>
    <row r="34" spans="1:13">
      <c r="A34" s="3">
        <f t="shared" si="1"/>
        <v>1</v>
      </c>
      <c r="C34" s="193"/>
      <c r="D34" s="202"/>
      <c r="E34" s="203"/>
      <c r="F34" s="193" t="str">
        <f>IF(Tab_Compteur_2[[#This Row],[Fin de période]]&gt;0,IFERROR(B34-A34+1,""),"")</f>
        <v/>
      </c>
      <c r="G34" t="str">
        <f>IF(IFERROR(IF(Str_TypeDonneesCpt2=Cpt_Index,Tab_Compteur_2[[#This Row],[Index]]-E33,Tab_Compteur_2[[#This Row],[Quantité]])/Tab_Compteur_2[[#This Row],[Delta Jour]],"")&lt;0,"",IFERROR(IF(Str_TypeDonneesCpt2=Cpt_Index,Tab_Compteur_2[[#This Row],[Index]]-E33,Tab_Compteur_2[[#This Row],[Quantité]])/Tab_Compteur_2[[#This Row],[Delta Jour]],""))</f>
        <v/>
      </c>
      <c r="H34" s="193" t="str">
        <f>IFERROR(Tab_Compteur_2[[#This Row],[Colonne1]]/Tab_Compteur_2[[#This Row],[Delta Jour]],"")</f>
        <v/>
      </c>
      <c r="I34" s="215" t="str">
        <f t="shared" si="0"/>
        <v/>
      </c>
      <c r="J34" s="203"/>
      <c r="K34" s="190"/>
      <c r="L34" s="190"/>
      <c r="M34" s="190"/>
    </row>
    <row r="35" spans="1:13">
      <c r="A35" s="3">
        <f t="shared" si="1"/>
        <v>1</v>
      </c>
      <c r="C35" s="193"/>
      <c r="D35" s="202"/>
      <c r="E35" s="203"/>
      <c r="F35" s="193" t="str">
        <f>IF(Tab_Compteur_2[[#This Row],[Fin de période]]&gt;0,IFERROR(B35-A35+1,""),"")</f>
        <v/>
      </c>
      <c r="G35" t="str">
        <f>IF(IFERROR(IF(Str_TypeDonneesCpt2=Cpt_Index,Tab_Compteur_2[[#This Row],[Index]]-E34,Tab_Compteur_2[[#This Row],[Quantité]])/Tab_Compteur_2[[#This Row],[Delta Jour]],"")&lt;0,"",IFERROR(IF(Str_TypeDonneesCpt2=Cpt_Index,Tab_Compteur_2[[#This Row],[Index]]-E34,Tab_Compteur_2[[#This Row],[Quantité]])/Tab_Compteur_2[[#This Row],[Delta Jour]],""))</f>
        <v/>
      </c>
      <c r="H35" s="193" t="str">
        <f>IFERROR(Tab_Compteur_2[[#This Row],[Colonne1]]/Tab_Compteur_2[[#This Row],[Delta Jour]],"")</f>
        <v/>
      </c>
      <c r="I35" s="215" t="str">
        <f t="shared" si="0"/>
        <v/>
      </c>
      <c r="J35" s="203"/>
      <c r="K35" s="190"/>
      <c r="L35" s="190"/>
      <c r="M35" s="190"/>
    </row>
    <row r="36" spans="1:13">
      <c r="A36" s="3">
        <f t="shared" si="1"/>
        <v>1</v>
      </c>
      <c r="C36" s="193"/>
      <c r="D36" s="202"/>
      <c r="E36" s="203"/>
      <c r="F36" s="193" t="str">
        <f>IF(Tab_Compteur_2[[#This Row],[Fin de période]]&gt;0,IFERROR(B36-A36+1,""),"")</f>
        <v/>
      </c>
      <c r="G36" t="str">
        <f>IF(IFERROR(IF(Str_TypeDonneesCpt2=Cpt_Index,Tab_Compteur_2[[#This Row],[Index]]-E35,Tab_Compteur_2[[#This Row],[Quantité]])/Tab_Compteur_2[[#This Row],[Delta Jour]],"")&lt;0,"",IFERROR(IF(Str_TypeDonneesCpt2=Cpt_Index,Tab_Compteur_2[[#This Row],[Index]]-E35,Tab_Compteur_2[[#This Row],[Quantité]])/Tab_Compteur_2[[#This Row],[Delta Jour]],""))</f>
        <v/>
      </c>
      <c r="H36" s="193" t="str">
        <f>IFERROR(Tab_Compteur_2[[#This Row],[Colonne1]]/Tab_Compteur_2[[#This Row],[Delta Jour]],"")</f>
        <v/>
      </c>
      <c r="I36" s="215" t="str">
        <f t="shared" si="0"/>
        <v/>
      </c>
      <c r="J36" s="203"/>
      <c r="K36" s="73"/>
      <c r="L36" s="73"/>
      <c r="M36" s="73"/>
    </row>
    <row r="37" spans="1:13">
      <c r="A37" s="3">
        <f t="shared" si="1"/>
        <v>1</v>
      </c>
      <c r="C37" s="193"/>
      <c r="D37" s="202"/>
      <c r="E37" s="203"/>
      <c r="F37" s="193" t="str">
        <f>IF(Tab_Compteur_2[[#This Row],[Fin de période]]&gt;0,IFERROR(B37-A37+1,""),"")</f>
        <v/>
      </c>
      <c r="G37" t="str">
        <f>IF(IFERROR(IF(Str_TypeDonneesCpt2=Cpt_Index,Tab_Compteur_2[[#This Row],[Index]]-E36,Tab_Compteur_2[[#This Row],[Quantité]])/Tab_Compteur_2[[#This Row],[Delta Jour]],"")&lt;0,"",IFERROR(IF(Str_TypeDonneesCpt2=Cpt_Index,Tab_Compteur_2[[#This Row],[Index]]-E36,Tab_Compteur_2[[#This Row],[Quantité]])/Tab_Compteur_2[[#This Row],[Delta Jour]],""))</f>
        <v/>
      </c>
      <c r="H37" s="193" t="str">
        <f>IFERROR(Tab_Compteur_2[[#This Row],[Colonne1]]/Tab_Compteur_2[[#This Row],[Delta Jour]],"")</f>
        <v/>
      </c>
      <c r="I37" s="215" t="str">
        <f t="shared" si="0"/>
        <v/>
      </c>
      <c r="J37" s="203"/>
      <c r="K37" s="73"/>
      <c r="L37" s="73"/>
      <c r="M37" s="73"/>
    </row>
    <row r="38" spans="1:13">
      <c r="A38" s="3">
        <f t="shared" si="1"/>
        <v>1</v>
      </c>
      <c r="C38" s="193"/>
      <c r="D38" s="202"/>
      <c r="E38" s="203"/>
      <c r="F38" s="193" t="str">
        <f>IF(Tab_Compteur_2[[#This Row],[Fin de période]]&gt;0,IFERROR(B38-A38+1,""),"")</f>
        <v/>
      </c>
      <c r="G38" t="str">
        <f>IF(IFERROR(IF(Str_TypeDonneesCpt2=Cpt_Index,Tab_Compteur_2[[#This Row],[Index]]-E37,Tab_Compteur_2[[#This Row],[Quantité]])/Tab_Compteur_2[[#This Row],[Delta Jour]],"")&lt;0,"",IFERROR(IF(Str_TypeDonneesCpt2=Cpt_Index,Tab_Compteur_2[[#This Row],[Index]]-E37,Tab_Compteur_2[[#This Row],[Quantité]])/Tab_Compteur_2[[#This Row],[Delta Jour]],""))</f>
        <v/>
      </c>
      <c r="H38" s="193" t="str">
        <f>IFERROR(Tab_Compteur_2[[#This Row],[Colonne1]]/Tab_Compteur_2[[#This Row],[Delta Jour]],"")</f>
        <v/>
      </c>
      <c r="I38" s="215" t="str">
        <f t="shared" si="0"/>
        <v/>
      </c>
      <c r="J38" s="203"/>
      <c r="K38" s="73"/>
      <c r="L38" s="73"/>
      <c r="M38" s="73"/>
    </row>
    <row r="39" spans="1:13">
      <c r="A39" s="3">
        <f t="shared" si="1"/>
        <v>1</v>
      </c>
      <c r="C39" s="193"/>
      <c r="D39" s="202"/>
      <c r="E39" s="203"/>
      <c r="F39" s="193" t="str">
        <f>IF(Tab_Compteur_2[[#This Row],[Fin de période]]&gt;0,IFERROR(B39-A39+1,""),"")</f>
        <v/>
      </c>
      <c r="G39" t="str">
        <f>IF(IFERROR(IF(Str_TypeDonneesCpt2=Cpt_Index,Tab_Compteur_2[[#This Row],[Index]]-E38,Tab_Compteur_2[[#This Row],[Quantité]])/Tab_Compteur_2[[#This Row],[Delta Jour]],"")&lt;0,"",IFERROR(IF(Str_TypeDonneesCpt2=Cpt_Index,Tab_Compteur_2[[#This Row],[Index]]-E38,Tab_Compteur_2[[#This Row],[Quantité]])/Tab_Compteur_2[[#This Row],[Delta Jour]],""))</f>
        <v/>
      </c>
      <c r="H39" s="193" t="str">
        <f>IFERROR(Tab_Compteur_2[[#This Row],[Colonne1]]/Tab_Compteur_2[[#This Row],[Delta Jour]],"")</f>
        <v/>
      </c>
      <c r="I39" s="215" t="str">
        <f t="shared" si="0"/>
        <v/>
      </c>
      <c r="J39" s="203"/>
      <c r="K39" s="73"/>
      <c r="L39" s="73"/>
      <c r="M39" s="73"/>
    </row>
    <row r="40" spans="1:13">
      <c r="A40" s="3">
        <f t="shared" si="1"/>
        <v>1</v>
      </c>
      <c r="C40" s="193"/>
      <c r="D40" s="202"/>
      <c r="E40" s="203"/>
      <c r="F40" s="193" t="str">
        <f>IF(Tab_Compteur_2[[#This Row],[Fin de période]]&gt;0,IFERROR(B40-A40+1,""),"")</f>
        <v/>
      </c>
      <c r="G40" t="str">
        <f>IF(IFERROR(IF(Str_TypeDonneesCpt2=Cpt_Index,Tab_Compteur_2[[#This Row],[Index]]-E39,Tab_Compteur_2[[#This Row],[Quantité]])/Tab_Compteur_2[[#This Row],[Delta Jour]],"")&lt;0,"",IFERROR(IF(Str_TypeDonneesCpt2=Cpt_Index,Tab_Compteur_2[[#This Row],[Index]]-E39,Tab_Compteur_2[[#This Row],[Quantité]])/Tab_Compteur_2[[#This Row],[Delta Jour]],""))</f>
        <v/>
      </c>
      <c r="H40" s="193" t="str">
        <f>IFERROR(Tab_Compteur_2[[#This Row],[Colonne1]]/Tab_Compteur_2[[#This Row],[Delta Jour]],"")</f>
        <v/>
      </c>
      <c r="I40" s="215" t="str">
        <f t="shared" si="0"/>
        <v/>
      </c>
      <c r="J40" s="203"/>
      <c r="K40" s="73"/>
      <c r="L40" s="73"/>
      <c r="M40" s="73"/>
    </row>
    <row r="41" spans="1:13">
      <c r="A41" s="3">
        <f t="shared" si="1"/>
        <v>1</v>
      </c>
      <c r="C41" s="193"/>
      <c r="D41" s="202"/>
      <c r="E41" s="203"/>
      <c r="F41" s="193" t="str">
        <f>IF(Tab_Compteur_2[[#This Row],[Fin de période]]&gt;0,IFERROR(B41-A41+1,""),"")</f>
        <v/>
      </c>
      <c r="G41" t="str">
        <f>IF(IFERROR(IF(Str_TypeDonneesCpt2=Cpt_Index,Tab_Compteur_2[[#This Row],[Index]]-E40,Tab_Compteur_2[[#This Row],[Quantité]])/Tab_Compteur_2[[#This Row],[Delta Jour]],"")&lt;0,"",IFERROR(IF(Str_TypeDonneesCpt2=Cpt_Index,Tab_Compteur_2[[#This Row],[Index]]-E40,Tab_Compteur_2[[#This Row],[Quantité]])/Tab_Compteur_2[[#This Row],[Delta Jour]],""))</f>
        <v/>
      </c>
      <c r="H41" s="193" t="str">
        <f>IFERROR(Tab_Compteur_2[[#This Row],[Colonne1]]/Tab_Compteur_2[[#This Row],[Delta Jour]],"")</f>
        <v/>
      </c>
      <c r="I41" s="215" t="str">
        <f t="shared" si="0"/>
        <v/>
      </c>
      <c r="J41" s="203"/>
      <c r="K41" s="73"/>
      <c r="L41" s="73"/>
      <c r="M41" s="73"/>
    </row>
    <row r="42" spans="1:13">
      <c r="A42" s="3">
        <f t="shared" si="1"/>
        <v>1</v>
      </c>
      <c r="C42" s="193"/>
      <c r="D42" s="202"/>
      <c r="E42" s="203"/>
      <c r="F42" s="193" t="str">
        <f>IF(Tab_Compteur_2[[#This Row],[Fin de période]]&gt;0,IFERROR(B42-A42+1,""),"")</f>
        <v/>
      </c>
      <c r="G42" t="str">
        <f>IF(IFERROR(IF(Str_TypeDonneesCpt2=Cpt_Index,Tab_Compteur_2[[#This Row],[Index]]-E41,Tab_Compteur_2[[#This Row],[Quantité]])/Tab_Compteur_2[[#This Row],[Delta Jour]],"")&lt;0,"",IFERROR(IF(Str_TypeDonneesCpt2=Cpt_Index,Tab_Compteur_2[[#This Row],[Index]]-E41,Tab_Compteur_2[[#This Row],[Quantité]])/Tab_Compteur_2[[#This Row],[Delta Jour]],""))</f>
        <v/>
      </c>
      <c r="H42" s="193" t="str">
        <f>IFERROR(Tab_Compteur_2[[#This Row],[Colonne1]]/Tab_Compteur_2[[#This Row],[Delta Jour]],"")</f>
        <v/>
      </c>
      <c r="I42" s="215" t="str">
        <f t="shared" si="0"/>
        <v/>
      </c>
      <c r="J42" s="203"/>
      <c r="K42" s="73"/>
      <c r="L42" s="73"/>
      <c r="M42" s="73"/>
    </row>
    <row r="43" spans="1:13">
      <c r="A43" s="3">
        <f t="shared" si="1"/>
        <v>1</v>
      </c>
      <c r="C43" s="193"/>
      <c r="D43" s="202"/>
      <c r="E43" s="203"/>
      <c r="F43" s="193" t="str">
        <f>IF(Tab_Compteur_2[[#This Row],[Fin de période]]&gt;0,IFERROR(B43-A43+1,""),"")</f>
        <v/>
      </c>
      <c r="G43" t="str">
        <f>IF(IFERROR(IF(Str_TypeDonneesCpt2=Cpt_Index,Tab_Compteur_2[[#This Row],[Index]]-E42,Tab_Compteur_2[[#This Row],[Quantité]])/Tab_Compteur_2[[#This Row],[Delta Jour]],"")&lt;0,"",IFERROR(IF(Str_TypeDonneesCpt2=Cpt_Index,Tab_Compteur_2[[#This Row],[Index]]-E42,Tab_Compteur_2[[#This Row],[Quantité]])/Tab_Compteur_2[[#This Row],[Delta Jour]],""))</f>
        <v/>
      </c>
      <c r="H43" s="193" t="str">
        <f>IFERROR(Tab_Compteur_2[[#This Row],[Colonne1]]/Tab_Compteur_2[[#This Row],[Delta Jour]],"")</f>
        <v/>
      </c>
      <c r="I43" s="215" t="str">
        <f t="shared" si="0"/>
        <v/>
      </c>
      <c r="J43" s="203"/>
      <c r="K43" s="73"/>
      <c r="L43" s="73"/>
      <c r="M43" s="73"/>
    </row>
    <row r="44" spans="1:13">
      <c r="A44" s="3">
        <f t="shared" si="1"/>
        <v>1</v>
      </c>
      <c r="C44" s="193"/>
      <c r="D44" s="202"/>
      <c r="E44" s="203"/>
      <c r="F44" s="193" t="str">
        <f>IF(Tab_Compteur_2[[#This Row],[Fin de période]]&gt;0,IFERROR(B44-A44+1,""),"")</f>
        <v/>
      </c>
      <c r="G44" t="str">
        <f>IF(IFERROR(IF(Str_TypeDonneesCpt2=Cpt_Index,Tab_Compteur_2[[#This Row],[Index]]-E43,Tab_Compteur_2[[#This Row],[Quantité]])/Tab_Compteur_2[[#This Row],[Delta Jour]],"")&lt;0,"",IFERROR(IF(Str_TypeDonneesCpt2=Cpt_Index,Tab_Compteur_2[[#This Row],[Index]]-E43,Tab_Compteur_2[[#This Row],[Quantité]])/Tab_Compteur_2[[#This Row],[Delta Jour]],""))</f>
        <v/>
      </c>
      <c r="H44" s="193" t="str">
        <f>IFERROR(Tab_Compteur_2[[#This Row],[Colonne1]]/Tab_Compteur_2[[#This Row],[Delta Jour]],"")</f>
        <v/>
      </c>
      <c r="I44" s="215" t="str">
        <f t="shared" si="0"/>
        <v/>
      </c>
      <c r="J44" s="203"/>
      <c r="K44" s="73"/>
      <c r="L44" s="73"/>
      <c r="M44" s="73"/>
    </row>
    <row r="45" spans="1:13">
      <c r="A45" s="3">
        <f t="shared" si="1"/>
        <v>1</v>
      </c>
      <c r="C45" s="193"/>
      <c r="D45" s="202"/>
      <c r="E45" s="203"/>
      <c r="F45" s="193" t="str">
        <f>IF(Tab_Compteur_2[[#This Row],[Fin de période]]&gt;0,IFERROR(B45-A45+1,""),"")</f>
        <v/>
      </c>
      <c r="G45" t="str">
        <f>IF(IFERROR(IF(Str_TypeDonneesCpt2=Cpt_Index,Tab_Compteur_2[[#This Row],[Index]]-E44,Tab_Compteur_2[[#This Row],[Quantité]])/Tab_Compteur_2[[#This Row],[Delta Jour]],"")&lt;0,"",IFERROR(IF(Str_TypeDonneesCpt2=Cpt_Index,Tab_Compteur_2[[#This Row],[Index]]-E44,Tab_Compteur_2[[#This Row],[Quantité]])/Tab_Compteur_2[[#This Row],[Delta Jour]],""))</f>
        <v/>
      </c>
      <c r="H45" s="193" t="str">
        <f>IFERROR(Tab_Compteur_2[[#This Row],[Colonne1]]/Tab_Compteur_2[[#This Row],[Delta Jour]],"")</f>
        <v/>
      </c>
      <c r="I45" s="215" t="str">
        <f t="shared" si="0"/>
        <v/>
      </c>
      <c r="J45" s="203"/>
      <c r="K45" s="73"/>
      <c r="L45" s="73"/>
      <c r="M45" s="73"/>
    </row>
    <row r="46" spans="1:13">
      <c r="A46" s="3">
        <f t="shared" si="1"/>
        <v>1</v>
      </c>
      <c r="C46" s="193"/>
      <c r="D46" s="202"/>
      <c r="E46" s="203"/>
      <c r="F46" s="193" t="str">
        <f>IF(Tab_Compteur_2[[#This Row],[Fin de période]]&gt;0,IFERROR(B46-A46+1,""),"")</f>
        <v/>
      </c>
      <c r="G46" t="str">
        <f>IF(IFERROR(IF(Str_TypeDonneesCpt2=Cpt_Index,Tab_Compteur_2[[#This Row],[Index]]-E45,Tab_Compteur_2[[#This Row],[Quantité]])/Tab_Compteur_2[[#This Row],[Delta Jour]],"")&lt;0,"",IFERROR(IF(Str_TypeDonneesCpt2=Cpt_Index,Tab_Compteur_2[[#This Row],[Index]]-E45,Tab_Compteur_2[[#This Row],[Quantité]])/Tab_Compteur_2[[#This Row],[Delta Jour]],""))</f>
        <v/>
      </c>
      <c r="H46" s="193" t="str">
        <f>IFERROR(Tab_Compteur_2[[#This Row],[Colonne1]]/Tab_Compteur_2[[#This Row],[Delta Jour]],"")</f>
        <v/>
      </c>
      <c r="I46" s="215" t="str">
        <f t="shared" si="0"/>
        <v/>
      </c>
      <c r="J46" s="203"/>
      <c r="K46" s="73"/>
      <c r="L46" s="73"/>
      <c r="M46" s="73"/>
    </row>
    <row r="47" spans="1:13">
      <c r="A47" s="3">
        <f t="shared" si="1"/>
        <v>1</v>
      </c>
      <c r="C47" s="193"/>
      <c r="D47" s="202"/>
      <c r="E47" s="203"/>
      <c r="F47" s="193" t="str">
        <f>IF(Tab_Compteur_2[[#This Row],[Fin de période]]&gt;0,IFERROR(B47-A47+1,""),"")</f>
        <v/>
      </c>
      <c r="G47" t="str">
        <f>IF(IFERROR(IF(Str_TypeDonneesCpt2=Cpt_Index,Tab_Compteur_2[[#This Row],[Index]]-E46,Tab_Compteur_2[[#This Row],[Quantité]])/Tab_Compteur_2[[#This Row],[Delta Jour]],"")&lt;0,"",IFERROR(IF(Str_TypeDonneesCpt2=Cpt_Index,Tab_Compteur_2[[#This Row],[Index]]-E46,Tab_Compteur_2[[#This Row],[Quantité]])/Tab_Compteur_2[[#This Row],[Delta Jour]],""))</f>
        <v/>
      </c>
      <c r="H47" s="193" t="str">
        <f>IFERROR(Tab_Compteur_2[[#This Row],[Colonne1]]/Tab_Compteur_2[[#This Row],[Delta Jour]],"")</f>
        <v/>
      </c>
      <c r="I47" s="215" t="str">
        <f t="shared" si="0"/>
        <v/>
      </c>
      <c r="J47" s="203"/>
      <c r="K47" s="73"/>
      <c r="L47" s="73"/>
      <c r="M47" s="73"/>
    </row>
    <row r="48" spans="1:13">
      <c r="A48" s="3">
        <f t="shared" si="1"/>
        <v>1</v>
      </c>
      <c r="C48" s="193"/>
      <c r="D48" s="202"/>
      <c r="E48" s="203"/>
      <c r="F48" s="193" t="str">
        <f>IF(Tab_Compteur_2[[#This Row],[Fin de période]]&gt;0,IFERROR(B48-A48+1,""),"")</f>
        <v/>
      </c>
      <c r="G48" t="str">
        <f>IF(IFERROR(IF(Str_TypeDonneesCpt2=Cpt_Index,Tab_Compteur_2[[#This Row],[Index]]-E47,Tab_Compteur_2[[#This Row],[Quantité]])/Tab_Compteur_2[[#This Row],[Delta Jour]],"")&lt;0,"",IFERROR(IF(Str_TypeDonneesCpt2=Cpt_Index,Tab_Compteur_2[[#This Row],[Index]]-E47,Tab_Compteur_2[[#This Row],[Quantité]])/Tab_Compteur_2[[#This Row],[Delta Jour]],""))</f>
        <v/>
      </c>
      <c r="H48" s="193" t="str">
        <f>IFERROR(Tab_Compteur_2[[#This Row],[Colonne1]]/Tab_Compteur_2[[#This Row],[Delta Jour]],"")</f>
        <v/>
      </c>
      <c r="I48" s="215" t="str">
        <f t="shared" si="0"/>
        <v/>
      </c>
      <c r="J48" s="203"/>
      <c r="K48" s="73"/>
      <c r="L48" s="73"/>
      <c r="M48" s="73"/>
    </row>
    <row r="49" spans="1:13">
      <c r="A49" s="3">
        <f t="shared" si="1"/>
        <v>1</v>
      </c>
      <c r="C49" s="193"/>
      <c r="D49" s="202"/>
      <c r="E49" s="203"/>
      <c r="F49" s="193" t="str">
        <f>IF(Tab_Compteur_2[[#This Row],[Fin de période]]&gt;0,IFERROR(B49-A49+1,""),"")</f>
        <v/>
      </c>
      <c r="G49" t="str">
        <f>IF(IFERROR(IF(Str_TypeDonneesCpt2=Cpt_Index,Tab_Compteur_2[[#This Row],[Index]]-E48,Tab_Compteur_2[[#This Row],[Quantité]])/Tab_Compteur_2[[#This Row],[Delta Jour]],"")&lt;0,"",IFERROR(IF(Str_TypeDonneesCpt2=Cpt_Index,Tab_Compteur_2[[#This Row],[Index]]-E48,Tab_Compteur_2[[#This Row],[Quantité]])/Tab_Compteur_2[[#This Row],[Delta Jour]],""))</f>
        <v/>
      </c>
      <c r="H49" s="193" t="str">
        <f>IFERROR(Tab_Compteur_2[[#This Row],[Colonne1]]/Tab_Compteur_2[[#This Row],[Delta Jour]],"")</f>
        <v/>
      </c>
      <c r="I49" s="215" t="str">
        <f t="shared" si="0"/>
        <v/>
      </c>
      <c r="J49" s="203"/>
      <c r="K49" s="73"/>
      <c r="L49" s="73"/>
      <c r="M49" s="73"/>
    </row>
    <row r="50" spans="1:13">
      <c r="A50" s="3">
        <f t="shared" si="1"/>
        <v>1</v>
      </c>
      <c r="C50" s="193"/>
      <c r="D50" s="202"/>
      <c r="E50" s="203"/>
      <c r="F50" s="193" t="str">
        <f>IF(Tab_Compteur_2[[#This Row],[Fin de période]]&gt;0,IFERROR(B50-A50+1,""),"")</f>
        <v/>
      </c>
      <c r="G50" t="str">
        <f>IF(IFERROR(IF(Str_TypeDonneesCpt2=Cpt_Index,Tab_Compteur_2[[#This Row],[Index]]-E49,Tab_Compteur_2[[#This Row],[Quantité]])/Tab_Compteur_2[[#This Row],[Delta Jour]],"")&lt;0,"",IFERROR(IF(Str_TypeDonneesCpt2=Cpt_Index,Tab_Compteur_2[[#This Row],[Index]]-E49,Tab_Compteur_2[[#This Row],[Quantité]])/Tab_Compteur_2[[#This Row],[Delta Jour]],""))</f>
        <v/>
      </c>
      <c r="H50" s="193" t="str">
        <f>IFERROR(Tab_Compteur_2[[#This Row],[Colonne1]]/Tab_Compteur_2[[#This Row],[Delta Jour]],"")</f>
        <v/>
      </c>
      <c r="I50" s="215" t="str">
        <f t="shared" si="0"/>
        <v/>
      </c>
      <c r="J50" s="203"/>
      <c r="K50" s="73"/>
      <c r="L50" s="73"/>
      <c r="M50" s="73"/>
    </row>
    <row r="51" spans="1:13">
      <c r="A51" s="3">
        <f t="shared" si="1"/>
        <v>1</v>
      </c>
      <c r="C51" s="193"/>
      <c r="D51" s="202"/>
      <c r="E51" s="203"/>
      <c r="F51" s="193" t="str">
        <f>IF(Tab_Compteur_2[[#This Row],[Fin de période]]&gt;0,IFERROR(B51-A51+1,""),"")</f>
        <v/>
      </c>
      <c r="G51" t="str">
        <f>IF(IFERROR(IF(Str_TypeDonneesCpt2=Cpt_Index,Tab_Compteur_2[[#This Row],[Index]]-E50,Tab_Compteur_2[[#This Row],[Quantité]])/Tab_Compteur_2[[#This Row],[Delta Jour]],"")&lt;0,"",IFERROR(IF(Str_TypeDonneesCpt2=Cpt_Index,Tab_Compteur_2[[#This Row],[Index]]-E50,Tab_Compteur_2[[#This Row],[Quantité]])/Tab_Compteur_2[[#This Row],[Delta Jour]],""))</f>
        <v/>
      </c>
      <c r="H51" s="193" t="str">
        <f>IFERROR(Tab_Compteur_2[[#This Row],[Colonne1]]/Tab_Compteur_2[[#This Row],[Delta Jour]],"")</f>
        <v/>
      </c>
      <c r="I51" s="215" t="str">
        <f t="shared" si="0"/>
        <v/>
      </c>
      <c r="J51" s="203"/>
      <c r="K51" s="73"/>
      <c r="L51" s="73"/>
      <c r="M51" s="73"/>
    </row>
    <row r="52" spans="1:13">
      <c r="A52" s="3">
        <f t="shared" si="1"/>
        <v>1</v>
      </c>
      <c r="C52" s="193"/>
      <c r="D52" s="202"/>
      <c r="E52" s="203"/>
      <c r="F52" s="193" t="str">
        <f>IF(Tab_Compteur_2[[#This Row],[Fin de période]]&gt;0,IFERROR(B52-A52+1,""),"")</f>
        <v/>
      </c>
      <c r="G52" t="str">
        <f>IF(IFERROR(IF(Str_TypeDonneesCpt2=Cpt_Index,Tab_Compteur_2[[#This Row],[Index]]-E51,Tab_Compteur_2[[#This Row],[Quantité]])/Tab_Compteur_2[[#This Row],[Delta Jour]],"")&lt;0,"",IFERROR(IF(Str_TypeDonneesCpt2=Cpt_Index,Tab_Compteur_2[[#This Row],[Index]]-E51,Tab_Compteur_2[[#This Row],[Quantité]])/Tab_Compteur_2[[#This Row],[Delta Jour]],""))</f>
        <v/>
      </c>
      <c r="H52" s="193" t="str">
        <f>IFERROR(Tab_Compteur_2[[#This Row],[Colonne1]]/Tab_Compteur_2[[#This Row],[Delta Jour]],"")</f>
        <v/>
      </c>
      <c r="I52" s="215" t="str">
        <f t="shared" si="0"/>
        <v/>
      </c>
      <c r="J52" s="203"/>
      <c r="K52" s="73"/>
      <c r="L52" s="73"/>
      <c r="M52" s="73"/>
    </row>
    <row r="53" spans="1:13">
      <c r="A53" s="3">
        <f t="shared" si="1"/>
        <v>1</v>
      </c>
      <c r="C53" s="193"/>
      <c r="D53" s="202"/>
      <c r="E53" s="203"/>
      <c r="F53" s="193" t="str">
        <f>IF(Tab_Compteur_2[[#This Row],[Fin de période]]&gt;0,IFERROR(B53-A53+1,""),"")</f>
        <v/>
      </c>
      <c r="G53" t="str">
        <f>IF(IFERROR(IF(Str_TypeDonneesCpt2=Cpt_Index,Tab_Compteur_2[[#This Row],[Index]]-E52,Tab_Compteur_2[[#This Row],[Quantité]])/Tab_Compteur_2[[#This Row],[Delta Jour]],"")&lt;0,"",IFERROR(IF(Str_TypeDonneesCpt2=Cpt_Index,Tab_Compteur_2[[#This Row],[Index]]-E52,Tab_Compteur_2[[#This Row],[Quantité]])/Tab_Compteur_2[[#This Row],[Delta Jour]],""))</f>
        <v/>
      </c>
      <c r="H53" s="193" t="str">
        <f>IFERROR(Tab_Compteur_2[[#This Row],[Colonne1]]/Tab_Compteur_2[[#This Row],[Delta Jour]],"")</f>
        <v/>
      </c>
      <c r="I53" s="215" t="str">
        <f t="shared" si="0"/>
        <v/>
      </c>
      <c r="J53" s="203"/>
      <c r="K53" s="73"/>
      <c r="L53" s="73"/>
      <c r="M53" s="73"/>
    </row>
    <row r="54" spans="1:13">
      <c r="A54" s="3">
        <f t="shared" si="1"/>
        <v>1</v>
      </c>
      <c r="C54" s="193"/>
      <c r="D54" s="202"/>
      <c r="E54" s="203"/>
      <c r="F54" s="193" t="str">
        <f>IF(Tab_Compteur_2[[#This Row],[Fin de période]]&gt;0,IFERROR(B54-A54+1,""),"")</f>
        <v/>
      </c>
      <c r="G54" t="str">
        <f>IF(IFERROR(IF(Str_TypeDonneesCpt2=Cpt_Index,Tab_Compteur_2[[#This Row],[Index]]-E53,Tab_Compteur_2[[#This Row],[Quantité]])/Tab_Compteur_2[[#This Row],[Delta Jour]],"")&lt;0,"",IFERROR(IF(Str_TypeDonneesCpt2=Cpt_Index,Tab_Compteur_2[[#This Row],[Index]]-E53,Tab_Compteur_2[[#This Row],[Quantité]])/Tab_Compteur_2[[#This Row],[Delta Jour]],""))</f>
        <v/>
      </c>
      <c r="H54" s="193" t="str">
        <f>IFERROR(Tab_Compteur_2[[#This Row],[Colonne1]]/Tab_Compteur_2[[#This Row],[Delta Jour]],"")</f>
        <v/>
      </c>
      <c r="I54" s="215" t="str">
        <f t="shared" si="0"/>
        <v/>
      </c>
      <c r="J54" s="203"/>
      <c r="K54" s="73"/>
      <c r="L54" s="73"/>
      <c r="M54" s="73"/>
    </row>
    <row r="55" spans="1:13">
      <c r="A55" s="3">
        <f t="shared" si="1"/>
        <v>1</v>
      </c>
      <c r="C55" s="193"/>
      <c r="D55" s="202"/>
      <c r="E55" s="203"/>
      <c r="F55" s="193" t="str">
        <f>IF(Tab_Compteur_2[[#This Row],[Fin de période]]&gt;0,IFERROR(B55-A55+1,""),"")</f>
        <v/>
      </c>
      <c r="G55" t="str">
        <f>IF(IFERROR(IF(Str_TypeDonneesCpt2=Cpt_Index,Tab_Compteur_2[[#This Row],[Index]]-E54,Tab_Compteur_2[[#This Row],[Quantité]])/Tab_Compteur_2[[#This Row],[Delta Jour]],"")&lt;0,"",IFERROR(IF(Str_TypeDonneesCpt2=Cpt_Index,Tab_Compteur_2[[#This Row],[Index]]-E54,Tab_Compteur_2[[#This Row],[Quantité]])/Tab_Compteur_2[[#This Row],[Delta Jour]],""))</f>
        <v/>
      </c>
      <c r="H55" s="193" t="str">
        <f>IFERROR(Tab_Compteur_2[[#This Row],[Colonne1]]/Tab_Compteur_2[[#This Row],[Delta Jour]],"")</f>
        <v/>
      </c>
      <c r="I55" s="215" t="str">
        <f t="shared" si="0"/>
        <v/>
      </c>
      <c r="J55" s="203"/>
      <c r="K55" s="73"/>
      <c r="L55" s="73"/>
      <c r="M55" s="73"/>
    </row>
    <row r="56" spans="1:13">
      <c r="A56" s="3">
        <f t="shared" si="1"/>
        <v>1</v>
      </c>
      <c r="C56" s="193"/>
      <c r="D56" s="202"/>
      <c r="E56" s="203"/>
      <c r="F56" s="193" t="str">
        <f>IF(Tab_Compteur_2[[#This Row],[Fin de période]]&gt;0,IFERROR(B56-A56+1,""),"")</f>
        <v/>
      </c>
      <c r="G56" t="str">
        <f>IF(IFERROR(IF(Str_TypeDonneesCpt2=Cpt_Index,Tab_Compteur_2[[#This Row],[Index]]-E55,Tab_Compteur_2[[#This Row],[Quantité]])/Tab_Compteur_2[[#This Row],[Delta Jour]],"")&lt;0,"",IFERROR(IF(Str_TypeDonneesCpt2=Cpt_Index,Tab_Compteur_2[[#This Row],[Index]]-E55,Tab_Compteur_2[[#This Row],[Quantité]])/Tab_Compteur_2[[#This Row],[Delta Jour]],""))</f>
        <v/>
      </c>
      <c r="H56" s="193" t="str">
        <f>IFERROR(Tab_Compteur_2[[#This Row],[Colonne1]]/Tab_Compteur_2[[#This Row],[Delta Jour]],"")</f>
        <v/>
      </c>
      <c r="I56" s="215" t="str">
        <f t="shared" si="0"/>
        <v/>
      </c>
      <c r="J56" s="203"/>
      <c r="K56" s="73"/>
      <c r="L56" s="73"/>
      <c r="M56" s="73"/>
    </row>
    <row r="57" spans="1:13">
      <c r="A57" s="3">
        <f t="shared" si="1"/>
        <v>1</v>
      </c>
      <c r="C57" s="193"/>
      <c r="D57" s="202"/>
      <c r="E57" s="203"/>
      <c r="F57" s="193" t="str">
        <f>IF(Tab_Compteur_2[[#This Row],[Fin de période]]&gt;0,IFERROR(B57-A57+1,""),"")</f>
        <v/>
      </c>
      <c r="G57" t="str">
        <f>IF(IFERROR(IF(Str_TypeDonneesCpt2=Cpt_Index,Tab_Compteur_2[[#This Row],[Index]]-E56,Tab_Compteur_2[[#This Row],[Quantité]])/Tab_Compteur_2[[#This Row],[Delta Jour]],"")&lt;0,"",IFERROR(IF(Str_TypeDonneesCpt2=Cpt_Index,Tab_Compteur_2[[#This Row],[Index]]-E56,Tab_Compteur_2[[#This Row],[Quantité]])/Tab_Compteur_2[[#This Row],[Delta Jour]],""))</f>
        <v/>
      </c>
      <c r="H57" s="193" t="str">
        <f>IFERROR(Tab_Compteur_2[[#This Row],[Colonne1]]/Tab_Compteur_2[[#This Row],[Delta Jour]],"")</f>
        <v/>
      </c>
      <c r="I57" s="215" t="str">
        <f t="shared" si="0"/>
        <v/>
      </c>
      <c r="J57" s="203"/>
      <c r="K57" s="73"/>
      <c r="L57" s="73"/>
      <c r="M57" s="73"/>
    </row>
    <row r="58" spans="1:13">
      <c r="A58" s="3">
        <f t="shared" si="1"/>
        <v>1</v>
      </c>
      <c r="C58" s="193"/>
      <c r="D58" s="202"/>
      <c r="E58" s="203"/>
      <c r="F58" s="193" t="str">
        <f>IF(Tab_Compteur_2[[#This Row],[Fin de période]]&gt;0,IFERROR(B58-A58+1,""),"")</f>
        <v/>
      </c>
      <c r="G58" t="str">
        <f>IF(IFERROR(IF(Str_TypeDonneesCpt2=Cpt_Index,Tab_Compteur_2[[#This Row],[Index]]-E57,Tab_Compteur_2[[#This Row],[Quantité]])/Tab_Compteur_2[[#This Row],[Delta Jour]],"")&lt;0,"",IFERROR(IF(Str_TypeDonneesCpt2=Cpt_Index,Tab_Compteur_2[[#This Row],[Index]]-E57,Tab_Compteur_2[[#This Row],[Quantité]])/Tab_Compteur_2[[#This Row],[Delta Jour]],""))</f>
        <v/>
      </c>
      <c r="H58" s="193" t="str">
        <f>IFERROR(Tab_Compteur_2[[#This Row],[Colonne1]]/Tab_Compteur_2[[#This Row],[Delta Jour]],"")</f>
        <v/>
      </c>
      <c r="I58" s="215" t="str">
        <f t="shared" si="0"/>
        <v/>
      </c>
      <c r="J58" s="203"/>
      <c r="K58" s="73"/>
      <c r="L58" s="73"/>
      <c r="M58" s="73"/>
    </row>
    <row r="59" spans="1:13">
      <c r="A59" s="3">
        <f t="shared" si="1"/>
        <v>1</v>
      </c>
      <c r="C59" s="193"/>
      <c r="D59" s="202"/>
      <c r="E59" s="203"/>
      <c r="F59" s="193" t="str">
        <f>IF(Tab_Compteur_2[[#This Row],[Fin de période]]&gt;0,IFERROR(B59-A59+1,""),"")</f>
        <v/>
      </c>
      <c r="G59" t="str">
        <f>IF(IFERROR(IF(Str_TypeDonneesCpt2=Cpt_Index,Tab_Compteur_2[[#This Row],[Index]]-E58,Tab_Compteur_2[[#This Row],[Quantité]])/Tab_Compteur_2[[#This Row],[Delta Jour]],"")&lt;0,"",IFERROR(IF(Str_TypeDonneesCpt2=Cpt_Index,Tab_Compteur_2[[#This Row],[Index]]-E58,Tab_Compteur_2[[#This Row],[Quantité]])/Tab_Compteur_2[[#This Row],[Delta Jour]],""))</f>
        <v/>
      </c>
      <c r="H59" s="193" t="str">
        <f>IFERROR(Tab_Compteur_2[[#This Row],[Colonne1]]/Tab_Compteur_2[[#This Row],[Delta Jour]],"")</f>
        <v/>
      </c>
      <c r="I59" s="215" t="str">
        <f t="shared" si="0"/>
        <v/>
      </c>
      <c r="J59" s="203"/>
      <c r="K59" s="73"/>
      <c r="L59" s="73"/>
      <c r="M59" s="73"/>
    </row>
    <row r="60" spans="1:13">
      <c r="A60" s="3">
        <f t="shared" si="1"/>
        <v>1</v>
      </c>
      <c r="C60" s="193"/>
      <c r="D60" s="202"/>
      <c r="E60" s="203"/>
      <c r="F60" s="193" t="str">
        <f>IF(Tab_Compteur_2[[#This Row],[Fin de période]]&gt;0,IFERROR(B60-A60+1,""),"")</f>
        <v/>
      </c>
      <c r="G60" t="str">
        <f>IF(IFERROR(IF(Str_TypeDonneesCpt2=Cpt_Index,Tab_Compteur_2[[#This Row],[Index]]-E59,Tab_Compteur_2[[#This Row],[Quantité]])/Tab_Compteur_2[[#This Row],[Delta Jour]],"")&lt;0,"",IFERROR(IF(Str_TypeDonneesCpt2=Cpt_Index,Tab_Compteur_2[[#This Row],[Index]]-E59,Tab_Compteur_2[[#This Row],[Quantité]])/Tab_Compteur_2[[#This Row],[Delta Jour]],""))</f>
        <v/>
      </c>
      <c r="H60" s="193" t="str">
        <f>IFERROR(Tab_Compteur_2[[#This Row],[Colonne1]]/Tab_Compteur_2[[#This Row],[Delta Jour]],"")</f>
        <v/>
      </c>
      <c r="I60" s="215" t="str">
        <f t="shared" si="0"/>
        <v/>
      </c>
      <c r="J60" s="203"/>
      <c r="K60" s="73"/>
      <c r="L60" s="73"/>
      <c r="M60" s="73"/>
    </row>
    <row r="61" spans="1:13">
      <c r="A61" s="3">
        <f t="shared" si="1"/>
        <v>1</v>
      </c>
      <c r="C61" s="193"/>
      <c r="D61" s="202"/>
      <c r="E61" s="203"/>
      <c r="F61" s="193" t="str">
        <f>IF(Tab_Compteur_2[[#This Row],[Fin de période]]&gt;0,IFERROR(B61-A61+1,""),"")</f>
        <v/>
      </c>
      <c r="G61" t="str">
        <f>IF(IFERROR(IF(Str_TypeDonneesCpt2=Cpt_Index,Tab_Compteur_2[[#This Row],[Index]]-E60,Tab_Compteur_2[[#This Row],[Quantité]])/Tab_Compteur_2[[#This Row],[Delta Jour]],"")&lt;0,"",IFERROR(IF(Str_TypeDonneesCpt2=Cpt_Index,Tab_Compteur_2[[#This Row],[Index]]-E60,Tab_Compteur_2[[#This Row],[Quantité]])/Tab_Compteur_2[[#This Row],[Delta Jour]],""))</f>
        <v/>
      </c>
      <c r="H61" s="193" t="str">
        <f>IFERROR(Tab_Compteur_2[[#This Row],[Colonne1]]/Tab_Compteur_2[[#This Row],[Delta Jour]],"")</f>
        <v/>
      </c>
      <c r="I61" s="215" t="str">
        <f t="shared" si="0"/>
        <v/>
      </c>
      <c r="J61" s="203"/>
      <c r="K61" s="73"/>
      <c r="L61" s="73"/>
      <c r="M61" s="73"/>
    </row>
    <row r="62" spans="1:13">
      <c r="A62" s="3">
        <f t="shared" si="1"/>
        <v>1</v>
      </c>
      <c r="C62" s="193"/>
      <c r="D62" s="202"/>
      <c r="E62" s="203"/>
      <c r="F62" s="193" t="str">
        <f>IF(Tab_Compteur_2[[#This Row],[Fin de période]]&gt;0,IFERROR(B62-A62+1,""),"")</f>
        <v/>
      </c>
      <c r="G62" t="str">
        <f>IF(IFERROR(IF(Str_TypeDonneesCpt2=Cpt_Index,Tab_Compteur_2[[#This Row],[Index]]-E61,Tab_Compteur_2[[#This Row],[Quantité]])/Tab_Compteur_2[[#This Row],[Delta Jour]],"")&lt;0,"",IFERROR(IF(Str_TypeDonneesCpt2=Cpt_Index,Tab_Compteur_2[[#This Row],[Index]]-E61,Tab_Compteur_2[[#This Row],[Quantité]])/Tab_Compteur_2[[#This Row],[Delta Jour]],""))</f>
        <v/>
      </c>
      <c r="H62" s="193" t="str">
        <f>IFERROR(Tab_Compteur_2[[#This Row],[Colonne1]]/Tab_Compteur_2[[#This Row],[Delta Jour]],"")</f>
        <v/>
      </c>
      <c r="I62" s="215" t="str">
        <f t="shared" si="0"/>
        <v/>
      </c>
      <c r="J62" s="203"/>
      <c r="K62" s="73"/>
      <c r="L62" s="73"/>
      <c r="M62" s="73"/>
    </row>
    <row r="63" spans="1:13">
      <c r="A63" s="3">
        <f t="shared" si="1"/>
        <v>1</v>
      </c>
      <c r="C63" s="193"/>
      <c r="D63" s="202"/>
      <c r="E63" s="203"/>
      <c r="F63" s="193" t="str">
        <f>IF(Tab_Compteur_2[[#This Row],[Fin de période]]&gt;0,IFERROR(B63-A63+1,""),"")</f>
        <v/>
      </c>
      <c r="G63" t="str">
        <f>IF(IFERROR(IF(Str_TypeDonneesCpt2=Cpt_Index,Tab_Compteur_2[[#This Row],[Index]]-E62,Tab_Compteur_2[[#This Row],[Quantité]])/Tab_Compteur_2[[#This Row],[Delta Jour]],"")&lt;0,"",IFERROR(IF(Str_TypeDonneesCpt2=Cpt_Index,Tab_Compteur_2[[#This Row],[Index]]-E62,Tab_Compteur_2[[#This Row],[Quantité]])/Tab_Compteur_2[[#This Row],[Delta Jour]],""))</f>
        <v/>
      </c>
      <c r="H63" s="193" t="str">
        <f>IFERROR(Tab_Compteur_2[[#This Row],[Colonne1]]/Tab_Compteur_2[[#This Row],[Delta Jour]],"")</f>
        <v/>
      </c>
      <c r="I63" s="215" t="str">
        <f t="shared" si="0"/>
        <v/>
      </c>
      <c r="J63" s="203"/>
      <c r="K63" s="73"/>
      <c r="L63" s="73"/>
      <c r="M63" s="73"/>
    </row>
    <row r="64" spans="1:13">
      <c r="A64" s="3">
        <f t="shared" si="1"/>
        <v>1</v>
      </c>
      <c r="C64" s="193"/>
      <c r="D64" s="202"/>
      <c r="E64" s="203"/>
      <c r="F64" s="193" t="str">
        <f>IF(Tab_Compteur_2[[#This Row],[Fin de période]]&gt;0,IFERROR(B64-A64+1,""),"")</f>
        <v/>
      </c>
      <c r="G64" t="str">
        <f>IF(IFERROR(IF(Str_TypeDonneesCpt2=Cpt_Index,Tab_Compteur_2[[#This Row],[Index]]-E63,Tab_Compteur_2[[#This Row],[Quantité]])/Tab_Compteur_2[[#This Row],[Delta Jour]],"")&lt;0,"",IFERROR(IF(Str_TypeDonneesCpt2=Cpt_Index,Tab_Compteur_2[[#This Row],[Index]]-E63,Tab_Compteur_2[[#This Row],[Quantité]])/Tab_Compteur_2[[#This Row],[Delta Jour]],""))</f>
        <v/>
      </c>
      <c r="H64" s="193" t="str">
        <f>IFERROR(Tab_Compteur_2[[#This Row],[Colonne1]]/Tab_Compteur_2[[#This Row],[Delta Jour]],"")</f>
        <v/>
      </c>
      <c r="I64" s="215" t="str">
        <f t="shared" si="0"/>
        <v/>
      </c>
      <c r="J64" s="203"/>
      <c r="K64" s="73"/>
      <c r="L64" s="73"/>
      <c r="M64" s="73"/>
    </row>
    <row r="65" spans="1:13">
      <c r="A65" s="3">
        <f t="shared" si="1"/>
        <v>1</v>
      </c>
      <c r="C65" s="193"/>
      <c r="D65" s="202"/>
      <c r="E65" s="203"/>
      <c r="F65" s="193" t="str">
        <f>IF(Tab_Compteur_2[[#This Row],[Fin de période]]&gt;0,IFERROR(B65-A65+1,""),"")</f>
        <v/>
      </c>
      <c r="G65" t="str">
        <f>IF(IFERROR(IF(Str_TypeDonneesCpt2=Cpt_Index,Tab_Compteur_2[[#This Row],[Index]]-E64,Tab_Compteur_2[[#This Row],[Quantité]])/Tab_Compteur_2[[#This Row],[Delta Jour]],"")&lt;0,"",IFERROR(IF(Str_TypeDonneesCpt2=Cpt_Index,Tab_Compteur_2[[#This Row],[Index]]-E64,Tab_Compteur_2[[#This Row],[Quantité]])/Tab_Compteur_2[[#This Row],[Delta Jour]],""))</f>
        <v/>
      </c>
      <c r="H65" s="193" t="str">
        <f>IFERROR(Tab_Compteur_2[[#This Row],[Colonne1]]/Tab_Compteur_2[[#This Row],[Delta Jour]],"")</f>
        <v/>
      </c>
      <c r="I65" s="215" t="str">
        <f t="shared" si="0"/>
        <v/>
      </c>
      <c r="J65" s="203"/>
      <c r="K65" s="73"/>
      <c r="L65" s="73"/>
      <c r="M65" s="73"/>
    </row>
    <row r="66" spans="1:13">
      <c r="A66" s="3">
        <f t="shared" si="1"/>
        <v>1</v>
      </c>
      <c r="C66" s="199"/>
      <c r="D66" s="202"/>
      <c r="E66" s="203"/>
      <c r="F66" s="193" t="str">
        <f>IF(Tab_Compteur_2[[#This Row],[Fin de période]]&gt;0,IFERROR(B66-A66+1,""),"")</f>
        <v/>
      </c>
      <c r="G66" t="str">
        <f>IF(IFERROR(IF(Str_TypeDonneesCpt2=Cpt_Index,Tab_Compteur_2[[#This Row],[Index]]-E65,Tab_Compteur_2[[#This Row],[Quantité]])/Tab_Compteur_2[[#This Row],[Delta Jour]],"")&lt;0,"",IFERROR(IF(Str_TypeDonneesCpt2=Cpt_Index,Tab_Compteur_2[[#This Row],[Index]]-E65,Tab_Compteur_2[[#This Row],[Quantité]])/Tab_Compteur_2[[#This Row],[Delta Jour]],""))</f>
        <v/>
      </c>
      <c r="H66" s="193" t="str">
        <f>IFERROR(Tab_Compteur_2[[#This Row],[Colonne1]]/Tab_Compteur_2[[#This Row],[Delta Jour]],"")</f>
        <v/>
      </c>
      <c r="I66" s="215" t="str">
        <f t="shared" si="0"/>
        <v/>
      </c>
      <c r="J66" s="203"/>
      <c r="K66" s="73"/>
      <c r="L66" s="73"/>
      <c r="M66" s="73"/>
    </row>
    <row r="67" spans="1:13">
      <c r="A67" s="3">
        <f t="shared" si="1"/>
        <v>1</v>
      </c>
      <c r="C67" s="199"/>
      <c r="D67" s="202"/>
      <c r="E67" s="203"/>
      <c r="F67" s="193" t="str">
        <f>IF(Tab_Compteur_2[[#This Row],[Fin de période]]&gt;0,IFERROR(B67-A67+1,""),"")</f>
        <v/>
      </c>
      <c r="G67" t="str">
        <f>IF(IFERROR(IF(Str_TypeDonneesCpt2=Cpt_Index,Tab_Compteur_2[[#This Row],[Index]]-E66,Tab_Compteur_2[[#This Row],[Quantité]])/Tab_Compteur_2[[#This Row],[Delta Jour]],"")&lt;0,"",IFERROR(IF(Str_TypeDonneesCpt2=Cpt_Index,Tab_Compteur_2[[#This Row],[Index]]-E66,Tab_Compteur_2[[#This Row],[Quantité]])/Tab_Compteur_2[[#This Row],[Delta Jour]],""))</f>
        <v/>
      </c>
      <c r="H67" s="193" t="str">
        <f>IFERROR(Tab_Compteur_2[[#This Row],[Colonne1]]/Tab_Compteur_2[[#This Row],[Delta Jour]],"")</f>
        <v/>
      </c>
      <c r="I67" s="215" t="str">
        <f t="shared" ref="I67:I130" si="2">G67</f>
        <v/>
      </c>
      <c r="J67" s="203"/>
      <c r="K67" s="73"/>
      <c r="L67" s="73"/>
      <c r="M67" s="73"/>
    </row>
    <row r="68" spans="1:13">
      <c r="A68" s="3">
        <f t="shared" si="1"/>
        <v>1</v>
      </c>
      <c r="C68" s="199"/>
      <c r="D68" s="202"/>
      <c r="E68" s="203"/>
      <c r="F68" s="193" t="str">
        <f>IF(Tab_Compteur_2[[#This Row],[Fin de période]]&gt;0,IFERROR(B68-A68+1,""),"")</f>
        <v/>
      </c>
      <c r="G68" t="str">
        <f>IF(IFERROR(IF(Str_TypeDonneesCpt2=Cpt_Index,Tab_Compteur_2[[#This Row],[Index]]-E67,Tab_Compteur_2[[#This Row],[Quantité]])/Tab_Compteur_2[[#This Row],[Delta Jour]],"")&lt;0,"",IFERROR(IF(Str_TypeDonneesCpt2=Cpt_Index,Tab_Compteur_2[[#This Row],[Index]]-E67,Tab_Compteur_2[[#This Row],[Quantité]])/Tab_Compteur_2[[#This Row],[Delta Jour]],""))</f>
        <v/>
      </c>
      <c r="H68" s="193" t="str">
        <f>IFERROR(Tab_Compteur_2[[#This Row],[Colonne1]]/Tab_Compteur_2[[#This Row],[Delta Jour]],"")</f>
        <v/>
      </c>
      <c r="I68" s="215" t="str">
        <f t="shared" si="2"/>
        <v/>
      </c>
      <c r="J68" s="203"/>
      <c r="K68" s="73"/>
      <c r="L68" s="73"/>
      <c r="M68" s="73"/>
    </row>
    <row r="69" spans="1:13">
      <c r="A69" s="3">
        <f t="shared" si="1"/>
        <v>1</v>
      </c>
      <c r="C69" s="199"/>
      <c r="D69" s="202"/>
      <c r="E69" s="203"/>
      <c r="F69" s="193" t="str">
        <f>IF(Tab_Compteur_2[[#This Row],[Fin de période]]&gt;0,IFERROR(B69-A69+1,""),"")</f>
        <v/>
      </c>
      <c r="G69" t="str">
        <f>IF(IFERROR(IF(Str_TypeDonneesCpt2=Cpt_Index,Tab_Compteur_2[[#This Row],[Index]]-E68,Tab_Compteur_2[[#This Row],[Quantité]])/Tab_Compteur_2[[#This Row],[Delta Jour]],"")&lt;0,"",IFERROR(IF(Str_TypeDonneesCpt2=Cpt_Index,Tab_Compteur_2[[#This Row],[Index]]-E68,Tab_Compteur_2[[#This Row],[Quantité]])/Tab_Compteur_2[[#This Row],[Delta Jour]],""))</f>
        <v/>
      </c>
      <c r="H69" s="193" t="str">
        <f>IFERROR(Tab_Compteur_2[[#This Row],[Colonne1]]/Tab_Compteur_2[[#This Row],[Delta Jour]],"")</f>
        <v/>
      </c>
      <c r="I69" s="215" t="str">
        <f t="shared" si="2"/>
        <v/>
      </c>
      <c r="J69" s="203"/>
      <c r="K69" s="73"/>
      <c r="L69" s="73"/>
      <c r="M69" s="73"/>
    </row>
    <row r="70" spans="1:13">
      <c r="A70" s="3">
        <f t="shared" ref="A70:A133" si="3">IFERROR(B69+1,0)</f>
        <v>1</v>
      </c>
      <c r="C70" s="199"/>
      <c r="D70" s="202"/>
      <c r="E70" s="203"/>
      <c r="F70" s="193" t="str">
        <f>IF(Tab_Compteur_2[[#This Row],[Fin de période]]&gt;0,IFERROR(B70-A70+1,""),"")</f>
        <v/>
      </c>
      <c r="G70" t="str">
        <f>IF(IFERROR(IF(Str_TypeDonneesCpt2=Cpt_Index,Tab_Compteur_2[[#This Row],[Index]]-E69,Tab_Compteur_2[[#This Row],[Quantité]])/Tab_Compteur_2[[#This Row],[Delta Jour]],"")&lt;0,"",IFERROR(IF(Str_TypeDonneesCpt2=Cpt_Index,Tab_Compteur_2[[#This Row],[Index]]-E69,Tab_Compteur_2[[#This Row],[Quantité]])/Tab_Compteur_2[[#This Row],[Delta Jour]],""))</f>
        <v/>
      </c>
      <c r="H70" s="193" t="str">
        <f>IFERROR(Tab_Compteur_2[[#This Row],[Colonne1]]/Tab_Compteur_2[[#This Row],[Delta Jour]],"")</f>
        <v/>
      </c>
      <c r="I70" s="215" t="str">
        <f t="shared" si="2"/>
        <v/>
      </c>
      <c r="J70" s="203"/>
      <c r="K70" s="73"/>
      <c r="L70" s="73"/>
      <c r="M70" s="73"/>
    </row>
    <row r="71" spans="1:13">
      <c r="A71" s="3">
        <f t="shared" si="3"/>
        <v>1</v>
      </c>
      <c r="C71" s="199"/>
      <c r="D71" s="202"/>
      <c r="E71" s="203"/>
      <c r="F71" s="193" t="str">
        <f>IF(Tab_Compteur_2[[#This Row],[Fin de période]]&gt;0,IFERROR(B71-A71+1,""),"")</f>
        <v/>
      </c>
      <c r="G71" t="str">
        <f>IF(IFERROR(IF(Str_TypeDonneesCpt2=Cpt_Index,Tab_Compteur_2[[#This Row],[Index]]-E70,Tab_Compteur_2[[#This Row],[Quantité]])/Tab_Compteur_2[[#This Row],[Delta Jour]],"")&lt;0,"",IFERROR(IF(Str_TypeDonneesCpt2=Cpt_Index,Tab_Compteur_2[[#This Row],[Index]]-E70,Tab_Compteur_2[[#This Row],[Quantité]])/Tab_Compteur_2[[#This Row],[Delta Jour]],""))</f>
        <v/>
      </c>
      <c r="H71" s="193" t="str">
        <f>IFERROR(Tab_Compteur_2[[#This Row],[Colonne1]]/Tab_Compteur_2[[#This Row],[Delta Jour]],"")</f>
        <v/>
      </c>
      <c r="I71" s="215" t="str">
        <f t="shared" si="2"/>
        <v/>
      </c>
      <c r="J71" s="203"/>
      <c r="K71" s="73"/>
      <c r="L71" s="73"/>
      <c r="M71" s="73"/>
    </row>
    <row r="72" spans="1:13">
      <c r="A72" s="3">
        <f t="shared" si="3"/>
        <v>1</v>
      </c>
      <c r="C72" s="199"/>
      <c r="D72" s="202"/>
      <c r="E72" s="203"/>
      <c r="F72" s="193" t="str">
        <f>IF(Tab_Compteur_2[[#This Row],[Fin de période]]&gt;0,IFERROR(B72-A72+1,""),"")</f>
        <v/>
      </c>
      <c r="G72" t="str">
        <f>IF(IFERROR(IF(Str_TypeDonneesCpt2=Cpt_Index,Tab_Compteur_2[[#This Row],[Index]]-E71,Tab_Compteur_2[[#This Row],[Quantité]])/Tab_Compteur_2[[#This Row],[Delta Jour]],"")&lt;0,"",IFERROR(IF(Str_TypeDonneesCpt2=Cpt_Index,Tab_Compteur_2[[#This Row],[Index]]-E71,Tab_Compteur_2[[#This Row],[Quantité]])/Tab_Compteur_2[[#This Row],[Delta Jour]],""))</f>
        <v/>
      </c>
      <c r="H72" s="193" t="str">
        <f>IFERROR(Tab_Compteur_2[[#This Row],[Colonne1]]/Tab_Compteur_2[[#This Row],[Delta Jour]],"")</f>
        <v/>
      </c>
      <c r="I72" s="215" t="str">
        <f t="shared" si="2"/>
        <v/>
      </c>
      <c r="J72" s="203"/>
      <c r="K72" s="73"/>
      <c r="L72" s="73"/>
      <c r="M72" s="73"/>
    </row>
    <row r="73" spans="1:13">
      <c r="A73" s="3">
        <f t="shared" si="3"/>
        <v>1</v>
      </c>
      <c r="C73" s="199"/>
      <c r="D73" s="202"/>
      <c r="E73" s="203"/>
      <c r="F73" s="193" t="str">
        <f>IF(Tab_Compteur_2[[#This Row],[Fin de période]]&gt;0,IFERROR(B73-A73+1,""),"")</f>
        <v/>
      </c>
      <c r="G73" t="str">
        <f>IF(IFERROR(IF(Str_TypeDonneesCpt2=Cpt_Index,Tab_Compteur_2[[#This Row],[Index]]-E72,Tab_Compteur_2[[#This Row],[Quantité]])/Tab_Compteur_2[[#This Row],[Delta Jour]],"")&lt;0,"",IFERROR(IF(Str_TypeDonneesCpt2=Cpt_Index,Tab_Compteur_2[[#This Row],[Index]]-E72,Tab_Compteur_2[[#This Row],[Quantité]])/Tab_Compteur_2[[#This Row],[Delta Jour]],""))</f>
        <v/>
      </c>
      <c r="H73" s="193" t="str">
        <f>IFERROR(Tab_Compteur_2[[#This Row],[Colonne1]]/Tab_Compteur_2[[#This Row],[Delta Jour]],"")</f>
        <v/>
      </c>
      <c r="I73" s="215" t="str">
        <f t="shared" si="2"/>
        <v/>
      </c>
      <c r="J73" s="203"/>
      <c r="K73" s="73"/>
      <c r="L73" s="73"/>
      <c r="M73" s="73"/>
    </row>
    <row r="74" spans="1:13">
      <c r="A74" s="3">
        <f t="shared" si="3"/>
        <v>1</v>
      </c>
      <c r="C74" s="199"/>
      <c r="D74" s="202"/>
      <c r="E74" s="203"/>
      <c r="F74" s="193" t="str">
        <f>IF(Tab_Compteur_2[[#This Row],[Fin de période]]&gt;0,IFERROR(B74-A74+1,""),"")</f>
        <v/>
      </c>
      <c r="G74" t="str">
        <f>IF(IFERROR(IF(Str_TypeDonneesCpt2=Cpt_Index,Tab_Compteur_2[[#This Row],[Index]]-E73,Tab_Compteur_2[[#This Row],[Quantité]])/Tab_Compteur_2[[#This Row],[Delta Jour]],"")&lt;0,"",IFERROR(IF(Str_TypeDonneesCpt2=Cpt_Index,Tab_Compteur_2[[#This Row],[Index]]-E73,Tab_Compteur_2[[#This Row],[Quantité]])/Tab_Compteur_2[[#This Row],[Delta Jour]],""))</f>
        <v/>
      </c>
      <c r="H74" s="193" t="str">
        <f>IFERROR(Tab_Compteur_2[[#This Row],[Colonne1]]/Tab_Compteur_2[[#This Row],[Delta Jour]],"")</f>
        <v/>
      </c>
      <c r="I74" s="215" t="str">
        <f t="shared" si="2"/>
        <v/>
      </c>
      <c r="J74" s="203"/>
      <c r="K74" s="73"/>
      <c r="L74" s="73"/>
      <c r="M74" s="73"/>
    </row>
    <row r="75" spans="1:13">
      <c r="A75" s="3">
        <f t="shared" si="3"/>
        <v>1</v>
      </c>
      <c r="C75" s="199"/>
      <c r="D75" s="202"/>
      <c r="E75" s="203"/>
      <c r="F75" s="193" t="str">
        <f>IF(Tab_Compteur_2[[#This Row],[Fin de période]]&gt;0,IFERROR(B75-A75+1,""),"")</f>
        <v/>
      </c>
      <c r="G75" t="str">
        <f>IF(IFERROR(IF(Str_TypeDonneesCpt2=Cpt_Index,Tab_Compteur_2[[#This Row],[Index]]-E74,Tab_Compteur_2[[#This Row],[Quantité]])/Tab_Compteur_2[[#This Row],[Delta Jour]],"")&lt;0,"",IFERROR(IF(Str_TypeDonneesCpt2=Cpt_Index,Tab_Compteur_2[[#This Row],[Index]]-E74,Tab_Compteur_2[[#This Row],[Quantité]])/Tab_Compteur_2[[#This Row],[Delta Jour]],""))</f>
        <v/>
      </c>
      <c r="H75" s="193" t="str">
        <f>IFERROR(Tab_Compteur_2[[#This Row],[Colonne1]]/Tab_Compteur_2[[#This Row],[Delta Jour]],"")</f>
        <v/>
      </c>
      <c r="I75" s="215" t="str">
        <f t="shared" si="2"/>
        <v/>
      </c>
      <c r="J75" s="203"/>
      <c r="K75" s="73"/>
      <c r="L75" s="73"/>
      <c r="M75" s="73"/>
    </row>
    <row r="76" spans="1:13">
      <c r="A76" s="3">
        <f t="shared" si="3"/>
        <v>1</v>
      </c>
      <c r="C76" s="199"/>
      <c r="D76" s="202"/>
      <c r="E76" s="203"/>
      <c r="F76" s="193" t="str">
        <f>IF(Tab_Compteur_2[[#This Row],[Fin de période]]&gt;0,IFERROR(B76-A76+1,""),"")</f>
        <v/>
      </c>
      <c r="G76" t="str">
        <f>IF(IFERROR(IF(Str_TypeDonneesCpt2=Cpt_Index,Tab_Compteur_2[[#This Row],[Index]]-E75,Tab_Compteur_2[[#This Row],[Quantité]])/Tab_Compteur_2[[#This Row],[Delta Jour]],"")&lt;0,"",IFERROR(IF(Str_TypeDonneesCpt2=Cpt_Index,Tab_Compteur_2[[#This Row],[Index]]-E75,Tab_Compteur_2[[#This Row],[Quantité]])/Tab_Compteur_2[[#This Row],[Delta Jour]],""))</f>
        <v/>
      </c>
      <c r="H76" s="193" t="str">
        <f>IFERROR(Tab_Compteur_2[[#This Row],[Colonne1]]/Tab_Compteur_2[[#This Row],[Delta Jour]],"")</f>
        <v/>
      </c>
      <c r="I76" s="215" t="str">
        <f t="shared" si="2"/>
        <v/>
      </c>
      <c r="J76" s="203"/>
      <c r="K76" s="73"/>
      <c r="L76" s="73"/>
      <c r="M76" s="73"/>
    </row>
    <row r="77" spans="1:13">
      <c r="A77" s="3">
        <f t="shared" si="3"/>
        <v>1</v>
      </c>
      <c r="C77" s="199"/>
      <c r="D77" s="202"/>
      <c r="E77" s="203"/>
      <c r="F77" s="193" t="str">
        <f>IF(Tab_Compteur_2[[#This Row],[Fin de période]]&gt;0,IFERROR(B77-A77+1,""),"")</f>
        <v/>
      </c>
      <c r="G77" t="str">
        <f>IF(IFERROR(IF(Str_TypeDonneesCpt2=Cpt_Index,Tab_Compteur_2[[#This Row],[Index]]-E76,Tab_Compteur_2[[#This Row],[Quantité]])/Tab_Compteur_2[[#This Row],[Delta Jour]],"")&lt;0,"",IFERROR(IF(Str_TypeDonneesCpt2=Cpt_Index,Tab_Compteur_2[[#This Row],[Index]]-E76,Tab_Compteur_2[[#This Row],[Quantité]])/Tab_Compteur_2[[#This Row],[Delta Jour]],""))</f>
        <v/>
      </c>
      <c r="H77" s="193" t="str">
        <f>IFERROR(Tab_Compteur_2[[#This Row],[Colonne1]]/Tab_Compteur_2[[#This Row],[Delta Jour]],"")</f>
        <v/>
      </c>
      <c r="I77" s="215" t="str">
        <f t="shared" si="2"/>
        <v/>
      </c>
      <c r="J77" s="203"/>
      <c r="K77" s="73"/>
      <c r="L77" s="73"/>
      <c r="M77" s="73"/>
    </row>
    <row r="78" spans="1:13">
      <c r="A78" s="3">
        <f t="shared" si="3"/>
        <v>1</v>
      </c>
      <c r="C78" s="199"/>
      <c r="D78" s="202"/>
      <c r="E78" s="203"/>
      <c r="F78" s="193" t="str">
        <f>IF(Tab_Compteur_2[[#This Row],[Fin de période]]&gt;0,IFERROR(B78-A78+1,""),"")</f>
        <v/>
      </c>
      <c r="G78" t="str">
        <f>IF(IFERROR(IF(Str_TypeDonneesCpt2=Cpt_Index,Tab_Compteur_2[[#This Row],[Index]]-E77,Tab_Compteur_2[[#This Row],[Quantité]])/Tab_Compteur_2[[#This Row],[Delta Jour]],"")&lt;0,"",IFERROR(IF(Str_TypeDonneesCpt2=Cpt_Index,Tab_Compteur_2[[#This Row],[Index]]-E77,Tab_Compteur_2[[#This Row],[Quantité]])/Tab_Compteur_2[[#This Row],[Delta Jour]],""))</f>
        <v/>
      </c>
      <c r="H78" s="193" t="str">
        <f>IFERROR(Tab_Compteur_2[[#This Row],[Colonne1]]/Tab_Compteur_2[[#This Row],[Delta Jour]],"")</f>
        <v/>
      </c>
      <c r="I78" s="215" t="str">
        <f t="shared" si="2"/>
        <v/>
      </c>
      <c r="J78" s="203"/>
      <c r="K78" s="73"/>
      <c r="L78" s="73"/>
      <c r="M78" s="73"/>
    </row>
    <row r="79" spans="1:13">
      <c r="A79" s="3">
        <f t="shared" si="3"/>
        <v>1</v>
      </c>
      <c r="C79" s="199"/>
      <c r="D79" s="202"/>
      <c r="E79" s="203"/>
      <c r="F79" s="193" t="str">
        <f>IF(Tab_Compteur_2[[#This Row],[Fin de période]]&gt;0,IFERROR(B79-A79+1,""),"")</f>
        <v/>
      </c>
      <c r="G79" t="str">
        <f>IF(IFERROR(IF(Str_TypeDonneesCpt2=Cpt_Index,Tab_Compteur_2[[#This Row],[Index]]-E78,Tab_Compteur_2[[#This Row],[Quantité]])/Tab_Compteur_2[[#This Row],[Delta Jour]],"")&lt;0,"",IFERROR(IF(Str_TypeDonneesCpt2=Cpt_Index,Tab_Compteur_2[[#This Row],[Index]]-E78,Tab_Compteur_2[[#This Row],[Quantité]])/Tab_Compteur_2[[#This Row],[Delta Jour]],""))</f>
        <v/>
      </c>
      <c r="H79" s="193" t="str">
        <f>IFERROR(Tab_Compteur_2[[#This Row],[Colonne1]]/Tab_Compteur_2[[#This Row],[Delta Jour]],"")</f>
        <v/>
      </c>
      <c r="I79" s="215" t="str">
        <f t="shared" si="2"/>
        <v/>
      </c>
      <c r="J79" s="203"/>
      <c r="K79" s="73"/>
      <c r="L79" s="73"/>
      <c r="M79" s="73"/>
    </row>
    <row r="80" spans="1:13">
      <c r="A80" s="3">
        <f t="shared" si="3"/>
        <v>1</v>
      </c>
      <c r="C80" s="199"/>
      <c r="D80" s="202"/>
      <c r="E80" s="203"/>
      <c r="F80" s="193" t="str">
        <f>IF(Tab_Compteur_2[[#This Row],[Fin de période]]&gt;0,IFERROR(B80-A80+1,""),"")</f>
        <v/>
      </c>
      <c r="G80" t="str">
        <f>IF(IFERROR(IF(Str_TypeDonneesCpt2=Cpt_Index,Tab_Compteur_2[[#This Row],[Index]]-E79,Tab_Compteur_2[[#This Row],[Quantité]])/Tab_Compteur_2[[#This Row],[Delta Jour]],"")&lt;0,"",IFERROR(IF(Str_TypeDonneesCpt2=Cpt_Index,Tab_Compteur_2[[#This Row],[Index]]-E79,Tab_Compteur_2[[#This Row],[Quantité]])/Tab_Compteur_2[[#This Row],[Delta Jour]],""))</f>
        <v/>
      </c>
      <c r="H80" s="193" t="str">
        <f>IFERROR(Tab_Compteur_2[[#This Row],[Colonne1]]/Tab_Compteur_2[[#This Row],[Delta Jour]],"")</f>
        <v/>
      </c>
      <c r="I80" s="215" t="str">
        <f t="shared" si="2"/>
        <v/>
      </c>
      <c r="J80" s="203"/>
      <c r="K80" s="73"/>
      <c r="L80" s="73"/>
      <c r="M80" s="73"/>
    </row>
    <row r="81" spans="1:13">
      <c r="A81" s="3">
        <f t="shared" si="3"/>
        <v>1</v>
      </c>
      <c r="C81" s="199"/>
      <c r="D81" s="202"/>
      <c r="E81" s="203"/>
      <c r="F81" s="193" t="str">
        <f>IF(Tab_Compteur_2[[#This Row],[Fin de période]]&gt;0,IFERROR(B81-A81+1,""),"")</f>
        <v/>
      </c>
      <c r="G81" t="str">
        <f>IF(IFERROR(IF(Str_TypeDonneesCpt2=Cpt_Index,Tab_Compteur_2[[#This Row],[Index]]-E80,Tab_Compteur_2[[#This Row],[Quantité]])/Tab_Compteur_2[[#This Row],[Delta Jour]],"")&lt;0,"",IFERROR(IF(Str_TypeDonneesCpt2=Cpt_Index,Tab_Compteur_2[[#This Row],[Index]]-E80,Tab_Compteur_2[[#This Row],[Quantité]])/Tab_Compteur_2[[#This Row],[Delta Jour]],""))</f>
        <v/>
      </c>
      <c r="H81" s="193" t="str">
        <f>IFERROR(Tab_Compteur_2[[#This Row],[Colonne1]]/Tab_Compteur_2[[#This Row],[Delta Jour]],"")</f>
        <v/>
      </c>
      <c r="I81" s="215" t="str">
        <f t="shared" si="2"/>
        <v/>
      </c>
      <c r="J81" s="203"/>
      <c r="K81" s="73"/>
      <c r="L81" s="73"/>
      <c r="M81" s="73"/>
    </row>
    <row r="82" spans="1:13">
      <c r="A82" s="3">
        <f t="shared" si="3"/>
        <v>1</v>
      </c>
      <c r="C82" s="199"/>
      <c r="D82" s="202"/>
      <c r="E82" s="203"/>
      <c r="F82" s="193" t="str">
        <f>IF(Tab_Compteur_2[[#This Row],[Fin de période]]&gt;0,IFERROR(B82-A82+1,""),"")</f>
        <v/>
      </c>
      <c r="G82" t="str">
        <f>IF(IFERROR(IF(Str_TypeDonneesCpt2=Cpt_Index,Tab_Compteur_2[[#This Row],[Index]]-E81,Tab_Compteur_2[[#This Row],[Quantité]])/Tab_Compteur_2[[#This Row],[Delta Jour]],"")&lt;0,"",IFERROR(IF(Str_TypeDonneesCpt2=Cpt_Index,Tab_Compteur_2[[#This Row],[Index]]-E81,Tab_Compteur_2[[#This Row],[Quantité]])/Tab_Compteur_2[[#This Row],[Delta Jour]],""))</f>
        <v/>
      </c>
      <c r="H82" s="193" t="str">
        <f>IFERROR(Tab_Compteur_2[[#This Row],[Colonne1]]/Tab_Compteur_2[[#This Row],[Delta Jour]],"")</f>
        <v/>
      </c>
      <c r="I82" s="215" t="str">
        <f t="shared" si="2"/>
        <v/>
      </c>
      <c r="J82" s="203"/>
      <c r="K82" s="73"/>
      <c r="L82" s="73"/>
      <c r="M82" s="73"/>
    </row>
    <row r="83" spans="1:13">
      <c r="A83" s="3">
        <f t="shared" si="3"/>
        <v>1</v>
      </c>
      <c r="C83" s="199"/>
      <c r="D83" s="202"/>
      <c r="E83" s="203"/>
      <c r="F83" s="193" t="str">
        <f>IF(Tab_Compteur_2[[#This Row],[Fin de période]]&gt;0,IFERROR(B83-A83+1,""),"")</f>
        <v/>
      </c>
      <c r="G83" t="str">
        <f>IF(IFERROR(IF(Str_TypeDonneesCpt2=Cpt_Index,Tab_Compteur_2[[#This Row],[Index]]-E82,Tab_Compteur_2[[#This Row],[Quantité]])/Tab_Compteur_2[[#This Row],[Delta Jour]],"")&lt;0,"",IFERROR(IF(Str_TypeDonneesCpt2=Cpt_Index,Tab_Compteur_2[[#This Row],[Index]]-E82,Tab_Compteur_2[[#This Row],[Quantité]])/Tab_Compteur_2[[#This Row],[Delta Jour]],""))</f>
        <v/>
      </c>
      <c r="H83" s="193" t="str">
        <f>IFERROR(Tab_Compteur_2[[#This Row],[Colonne1]]/Tab_Compteur_2[[#This Row],[Delta Jour]],"")</f>
        <v/>
      </c>
      <c r="I83" s="215" t="str">
        <f t="shared" si="2"/>
        <v/>
      </c>
      <c r="J83" s="203"/>
      <c r="K83" s="73"/>
      <c r="L83" s="73"/>
      <c r="M83" s="73"/>
    </row>
    <row r="84" spans="1:13">
      <c r="A84" s="3">
        <f t="shared" si="3"/>
        <v>1</v>
      </c>
      <c r="C84" s="199"/>
      <c r="D84" s="202"/>
      <c r="E84" s="203"/>
      <c r="F84" s="193" t="str">
        <f>IF(Tab_Compteur_2[[#This Row],[Fin de période]]&gt;0,IFERROR(B84-A84+1,""),"")</f>
        <v/>
      </c>
      <c r="G84" t="str">
        <f>IF(IFERROR(IF(Str_TypeDonneesCpt2=Cpt_Index,Tab_Compteur_2[[#This Row],[Index]]-E83,Tab_Compteur_2[[#This Row],[Quantité]])/Tab_Compteur_2[[#This Row],[Delta Jour]],"")&lt;0,"",IFERROR(IF(Str_TypeDonneesCpt2=Cpt_Index,Tab_Compteur_2[[#This Row],[Index]]-E83,Tab_Compteur_2[[#This Row],[Quantité]])/Tab_Compteur_2[[#This Row],[Delta Jour]],""))</f>
        <v/>
      </c>
      <c r="H84" s="193" t="str">
        <f>IFERROR(Tab_Compteur_2[[#This Row],[Colonne1]]/Tab_Compteur_2[[#This Row],[Delta Jour]],"")</f>
        <v/>
      </c>
      <c r="I84" s="215" t="str">
        <f t="shared" si="2"/>
        <v/>
      </c>
      <c r="J84" s="203"/>
      <c r="K84" s="73"/>
      <c r="L84" s="73"/>
      <c r="M84" s="73"/>
    </row>
    <row r="85" spans="1:13">
      <c r="A85" s="3">
        <f t="shared" si="3"/>
        <v>1</v>
      </c>
      <c r="C85" s="199"/>
      <c r="D85" s="202"/>
      <c r="E85" s="203"/>
      <c r="F85" s="193" t="str">
        <f>IF(Tab_Compteur_2[[#This Row],[Fin de période]]&gt;0,IFERROR(B85-A85+1,""),"")</f>
        <v/>
      </c>
      <c r="G85" t="str">
        <f>IF(IFERROR(IF(Str_TypeDonneesCpt2=Cpt_Index,Tab_Compteur_2[[#This Row],[Index]]-E84,Tab_Compteur_2[[#This Row],[Quantité]])/Tab_Compteur_2[[#This Row],[Delta Jour]],"")&lt;0,"",IFERROR(IF(Str_TypeDonneesCpt2=Cpt_Index,Tab_Compteur_2[[#This Row],[Index]]-E84,Tab_Compteur_2[[#This Row],[Quantité]])/Tab_Compteur_2[[#This Row],[Delta Jour]],""))</f>
        <v/>
      </c>
      <c r="H85" s="193" t="str">
        <f>IFERROR(Tab_Compteur_2[[#This Row],[Colonne1]]/Tab_Compteur_2[[#This Row],[Delta Jour]],"")</f>
        <v/>
      </c>
      <c r="I85" s="215" t="str">
        <f t="shared" si="2"/>
        <v/>
      </c>
      <c r="J85" s="203"/>
      <c r="K85" s="73"/>
      <c r="L85" s="73"/>
      <c r="M85" s="73"/>
    </row>
    <row r="86" spans="1:13">
      <c r="A86" s="3">
        <f t="shared" si="3"/>
        <v>1</v>
      </c>
      <c r="C86" s="199"/>
      <c r="D86" s="202"/>
      <c r="E86" s="203"/>
      <c r="F86" s="193" t="str">
        <f>IF(Tab_Compteur_2[[#This Row],[Fin de période]]&gt;0,IFERROR(B86-A86+1,""),"")</f>
        <v/>
      </c>
      <c r="G86" t="str">
        <f>IF(IFERROR(IF(Str_TypeDonneesCpt2=Cpt_Index,Tab_Compteur_2[[#This Row],[Index]]-E85,Tab_Compteur_2[[#This Row],[Quantité]])/Tab_Compteur_2[[#This Row],[Delta Jour]],"")&lt;0,"",IFERROR(IF(Str_TypeDonneesCpt2=Cpt_Index,Tab_Compteur_2[[#This Row],[Index]]-E85,Tab_Compteur_2[[#This Row],[Quantité]])/Tab_Compteur_2[[#This Row],[Delta Jour]],""))</f>
        <v/>
      </c>
      <c r="H86" s="193" t="str">
        <f>IFERROR(Tab_Compteur_2[[#This Row],[Colonne1]]/Tab_Compteur_2[[#This Row],[Delta Jour]],"")</f>
        <v/>
      </c>
      <c r="I86" s="215" t="str">
        <f t="shared" si="2"/>
        <v/>
      </c>
      <c r="J86" s="203"/>
      <c r="K86" s="73"/>
      <c r="L86" s="73"/>
      <c r="M86" s="73"/>
    </row>
    <row r="87" spans="1:13">
      <c r="A87" s="3">
        <f t="shared" si="3"/>
        <v>1</v>
      </c>
      <c r="C87" s="199"/>
      <c r="D87" s="202"/>
      <c r="E87" s="203"/>
      <c r="F87" s="193" t="str">
        <f>IF(Tab_Compteur_2[[#This Row],[Fin de période]]&gt;0,IFERROR(B87-A87+1,""),"")</f>
        <v/>
      </c>
      <c r="G87" t="str">
        <f>IF(IFERROR(IF(Str_TypeDonneesCpt2=Cpt_Index,Tab_Compteur_2[[#This Row],[Index]]-E86,Tab_Compteur_2[[#This Row],[Quantité]])/Tab_Compteur_2[[#This Row],[Delta Jour]],"")&lt;0,"",IFERROR(IF(Str_TypeDonneesCpt2=Cpt_Index,Tab_Compteur_2[[#This Row],[Index]]-E86,Tab_Compteur_2[[#This Row],[Quantité]])/Tab_Compteur_2[[#This Row],[Delta Jour]],""))</f>
        <v/>
      </c>
      <c r="H87" s="193" t="str">
        <f>IFERROR(Tab_Compteur_2[[#This Row],[Colonne1]]/Tab_Compteur_2[[#This Row],[Delta Jour]],"")</f>
        <v/>
      </c>
      <c r="I87" s="215" t="str">
        <f t="shared" si="2"/>
        <v/>
      </c>
      <c r="J87" s="203"/>
      <c r="K87" s="73"/>
      <c r="L87" s="73"/>
      <c r="M87" s="73"/>
    </row>
    <row r="88" spans="1:13">
      <c r="A88" s="3">
        <f t="shared" si="3"/>
        <v>1</v>
      </c>
      <c r="C88" s="199"/>
      <c r="D88" s="202"/>
      <c r="E88" s="203"/>
      <c r="F88" s="193" t="str">
        <f>IF(Tab_Compteur_2[[#This Row],[Fin de période]]&gt;0,IFERROR(B88-A88+1,""),"")</f>
        <v/>
      </c>
      <c r="G88" t="str">
        <f>IF(IFERROR(IF(Str_TypeDonneesCpt2=Cpt_Index,Tab_Compteur_2[[#This Row],[Index]]-E87,Tab_Compteur_2[[#This Row],[Quantité]])/Tab_Compteur_2[[#This Row],[Delta Jour]],"")&lt;0,"",IFERROR(IF(Str_TypeDonneesCpt2=Cpt_Index,Tab_Compteur_2[[#This Row],[Index]]-E87,Tab_Compteur_2[[#This Row],[Quantité]])/Tab_Compteur_2[[#This Row],[Delta Jour]],""))</f>
        <v/>
      </c>
      <c r="H88" s="193" t="str">
        <f>IFERROR(Tab_Compteur_2[[#This Row],[Colonne1]]/Tab_Compteur_2[[#This Row],[Delta Jour]],"")</f>
        <v/>
      </c>
      <c r="I88" s="215" t="str">
        <f t="shared" si="2"/>
        <v/>
      </c>
      <c r="J88" s="203"/>
      <c r="K88" s="73"/>
      <c r="L88" s="73"/>
      <c r="M88" s="73"/>
    </row>
    <row r="89" spans="1:13">
      <c r="A89" s="3">
        <f t="shared" si="3"/>
        <v>1</v>
      </c>
      <c r="C89" s="199"/>
      <c r="D89" s="202"/>
      <c r="E89" s="203"/>
      <c r="F89" s="193" t="str">
        <f>IF(Tab_Compteur_2[[#This Row],[Fin de période]]&gt;0,IFERROR(B89-A89+1,""),"")</f>
        <v/>
      </c>
      <c r="G89" t="str">
        <f>IF(IFERROR(IF(Str_TypeDonneesCpt2=Cpt_Index,Tab_Compteur_2[[#This Row],[Index]]-E88,Tab_Compteur_2[[#This Row],[Quantité]])/Tab_Compteur_2[[#This Row],[Delta Jour]],"")&lt;0,"",IFERROR(IF(Str_TypeDonneesCpt2=Cpt_Index,Tab_Compteur_2[[#This Row],[Index]]-E88,Tab_Compteur_2[[#This Row],[Quantité]])/Tab_Compteur_2[[#This Row],[Delta Jour]],""))</f>
        <v/>
      </c>
      <c r="H89" s="193" t="str">
        <f>IFERROR(Tab_Compteur_2[[#This Row],[Colonne1]]/Tab_Compteur_2[[#This Row],[Delta Jour]],"")</f>
        <v/>
      </c>
      <c r="I89" s="215" t="str">
        <f t="shared" si="2"/>
        <v/>
      </c>
      <c r="J89" s="203"/>
      <c r="K89" s="73"/>
      <c r="L89" s="73"/>
      <c r="M89" s="73"/>
    </row>
    <row r="90" spans="1:13">
      <c r="A90" s="3">
        <f t="shared" si="3"/>
        <v>1</v>
      </c>
      <c r="C90" s="199"/>
      <c r="D90" s="202"/>
      <c r="E90" s="203"/>
      <c r="F90" s="193" t="str">
        <f>IF(Tab_Compteur_2[[#This Row],[Fin de période]]&gt;0,IFERROR(B90-A90+1,""),"")</f>
        <v/>
      </c>
      <c r="G90" t="str">
        <f>IF(IFERROR(IF(Str_TypeDonneesCpt2=Cpt_Index,Tab_Compteur_2[[#This Row],[Index]]-E89,Tab_Compteur_2[[#This Row],[Quantité]])/Tab_Compteur_2[[#This Row],[Delta Jour]],"")&lt;0,"",IFERROR(IF(Str_TypeDonneesCpt2=Cpt_Index,Tab_Compteur_2[[#This Row],[Index]]-E89,Tab_Compteur_2[[#This Row],[Quantité]])/Tab_Compteur_2[[#This Row],[Delta Jour]],""))</f>
        <v/>
      </c>
      <c r="H90" s="193" t="str">
        <f>IFERROR(Tab_Compteur_2[[#This Row],[Colonne1]]/Tab_Compteur_2[[#This Row],[Delta Jour]],"")</f>
        <v/>
      </c>
      <c r="I90" s="215" t="str">
        <f t="shared" si="2"/>
        <v/>
      </c>
      <c r="J90" s="203"/>
      <c r="K90" s="73"/>
      <c r="L90" s="73"/>
      <c r="M90" s="73"/>
    </row>
    <row r="91" spans="1:13">
      <c r="A91" s="3">
        <f t="shared" si="3"/>
        <v>1</v>
      </c>
      <c r="C91" s="199"/>
      <c r="D91" s="202"/>
      <c r="E91" s="203"/>
      <c r="F91" s="193" t="str">
        <f>IF(Tab_Compteur_2[[#This Row],[Fin de période]]&gt;0,IFERROR(B91-A91+1,""),"")</f>
        <v/>
      </c>
      <c r="G91" t="str">
        <f>IF(IFERROR(IF(Str_TypeDonneesCpt2=Cpt_Index,Tab_Compteur_2[[#This Row],[Index]]-E90,Tab_Compteur_2[[#This Row],[Quantité]])/Tab_Compteur_2[[#This Row],[Delta Jour]],"")&lt;0,"",IFERROR(IF(Str_TypeDonneesCpt2=Cpt_Index,Tab_Compteur_2[[#This Row],[Index]]-E90,Tab_Compteur_2[[#This Row],[Quantité]])/Tab_Compteur_2[[#This Row],[Delta Jour]],""))</f>
        <v/>
      </c>
      <c r="H91" s="193" t="str">
        <f>IFERROR(Tab_Compteur_2[[#This Row],[Colonne1]]/Tab_Compteur_2[[#This Row],[Delta Jour]],"")</f>
        <v/>
      </c>
      <c r="I91" s="215" t="str">
        <f t="shared" si="2"/>
        <v/>
      </c>
      <c r="J91" s="203"/>
      <c r="K91" s="73"/>
      <c r="L91" s="73"/>
      <c r="M91" s="73"/>
    </row>
    <row r="92" spans="1:13">
      <c r="A92" s="3">
        <f t="shared" si="3"/>
        <v>1</v>
      </c>
      <c r="C92" s="199"/>
      <c r="D92" s="202"/>
      <c r="E92" s="203"/>
      <c r="F92" s="193" t="str">
        <f>IF(Tab_Compteur_2[[#This Row],[Fin de période]]&gt;0,IFERROR(B92-A92+1,""),"")</f>
        <v/>
      </c>
      <c r="G92" t="str">
        <f>IF(IFERROR(IF(Str_TypeDonneesCpt2=Cpt_Index,Tab_Compteur_2[[#This Row],[Index]]-E91,Tab_Compteur_2[[#This Row],[Quantité]])/Tab_Compteur_2[[#This Row],[Delta Jour]],"")&lt;0,"",IFERROR(IF(Str_TypeDonneesCpt2=Cpt_Index,Tab_Compteur_2[[#This Row],[Index]]-E91,Tab_Compteur_2[[#This Row],[Quantité]])/Tab_Compteur_2[[#This Row],[Delta Jour]],""))</f>
        <v/>
      </c>
      <c r="H92" s="193" t="str">
        <f>IFERROR(Tab_Compteur_2[[#This Row],[Colonne1]]/Tab_Compteur_2[[#This Row],[Delta Jour]],"")</f>
        <v/>
      </c>
      <c r="I92" s="215" t="str">
        <f t="shared" si="2"/>
        <v/>
      </c>
      <c r="J92" s="203"/>
      <c r="K92" s="73"/>
      <c r="L92" s="73"/>
      <c r="M92" s="73"/>
    </row>
    <row r="93" spans="1:13">
      <c r="A93" s="3">
        <f t="shared" si="3"/>
        <v>1</v>
      </c>
      <c r="C93" s="199"/>
      <c r="D93" s="202"/>
      <c r="E93" s="203"/>
      <c r="F93" s="193" t="str">
        <f>IF(Tab_Compteur_2[[#This Row],[Fin de période]]&gt;0,IFERROR(B93-A93+1,""),"")</f>
        <v/>
      </c>
      <c r="G93" t="str">
        <f>IF(IFERROR(IF(Str_TypeDonneesCpt2=Cpt_Index,Tab_Compteur_2[[#This Row],[Index]]-E92,Tab_Compteur_2[[#This Row],[Quantité]])/Tab_Compteur_2[[#This Row],[Delta Jour]],"")&lt;0,"",IFERROR(IF(Str_TypeDonneesCpt2=Cpt_Index,Tab_Compteur_2[[#This Row],[Index]]-E92,Tab_Compteur_2[[#This Row],[Quantité]])/Tab_Compteur_2[[#This Row],[Delta Jour]],""))</f>
        <v/>
      </c>
      <c r="H93" s="193" t="str">
        <f>IFERROR(Tab_Compteur_2[[#This Row],[Colonne1]]/Tab_Compteur_2[[#This Row],[Delta Jour]],"")</f>
        <v/>
      </c>
      <c r="I93" s="215" t="str">
        <f t="shared" si="2"/>
        <v/>
      </c>
      <c r="J93" s="203"/>
      <c r="K93" s="73"/>
      <c r="L93" s="73"/>
      <c r="M93" s="73"/>
    </row>
    <row r="94" spans="1:13">
      <c r="A94" s="3">
        <f t="shared" si="3"/>
        <v>1</v>
      </c>
      <c r="C94" s="199"/>
      <c r="D94" s="202"/>
      <c r="E94" s="203"/>
      <c r="F94" s="193" t="str">
        <f>IF(Tab_Compteur_2[[#This Row],[Fin de période]]&gt;0,IFERROR(B94-A94+1,""),"")</f>
        <v/>
      </c>
      <c r="G94" t="str">
        <f>IF(IFERROR(IF(Str_TypeDonneesCpt2=Cpt_Index,Tab_Compteur_2[[#This Row],[Index]]-E93,Tab_Compteur_2[[#This Row],[Quantité]])/Tab_Compteur_2[[#This Row],[Delta Jour]],"")&lt;0,"",IFERROR(IF(Str_TypeDonneesCpt2=Cpt_Index,Tab_Compteur_2[[#This Row],[Index]]-E93,Tab_Compteur_2[[#This Row],[Quantité]])/Tab_Compteur_2[[#This Row],[Delta Jour]],""))</f>
        <v/>
      </c>
      <c r="H94" s="193" t="str">
        <f>IFERROR(Tab_Compteur_2[[#This Row],[Colonne1]]/Tab_Compteur_2[[#This Row],[Delta Jour]],"")</f>
        <v/>
      </c>
      <c r="I94" s="215" t="str">
        <f t="shared" si="2"/>
        <v/>
      </c>
      <c r="J94" s="203"/>
      <c r="K94" s="73"/>
      <c r="L94" s="73"/>
      <c r="M94" s="73"/>
    </row>
    <row r="95" spans="1:13">
      <c r="A95" s="3">
        <f t="shared" si="3"/>
        <v>1</v>
      </c>
      <c r="C95" s="199"/>
      <c r="D95" s="202"/>
      <c r="E95" s="203"/>
      <c r="F95" s="193" t="str">
        <f>IF(Tab_Compteur_2[[#This Row],[Fin de période]]&gt;0,IFERROR(B95-A95+1,""),"")</f>
        <v/>
      </c>
      <c r="G95" t="str">
        <f>IF(IFERROR(IF(Str_TypeDonneesCpt2=Cpt_Index,Tab_Compteur_2[[#This Row],[Index]]-E94,Tab_Compteur_2[[#This Row],[Quantité]])/Tab_Compteur_2[[#This Row],[Delta Jour]],"")&lt;0,"",IFERROR(IF(Str_TypeDonneesCpt2=Cpt_Index,Tab_Compteur_2[[#This Row],[Index]]-E94,Tab_Compteur_2[[#This Row],[Quantité]])/Tab_Compteur_2[[#This Row],[Delta Jour]],""))</f>
        <v/>
      </c>
      <c r="H95" s="193" t="str">
        <f>IFERROR(Tab_Compteur_2[[#This Row],[Colonne1]]/Tab_Compteur_2[[#This Row],[Delta Jour]],"")</f>
        <v/>
      </c>
      <c r="I95" s="215" t="str">
        <f t="shared" si="2"/>
        <v/>
      </c>
      <c r="J95" s="203"/>
      <c r="K95" s="73"/>
      <c r="L95" s="73"/>
      <c r="M95" s="73"/>
    </row>
    <row r="96" spans="1:13">
      <c r="A96" s="3">
        <f t="shared" si="3"/>
        <v>1</v>
      </c>
      <c r="C96" s="199"/>
      <c r="D96" s="202"/>
      <c r="E96" s="203"/>
      <c r="F96" s="193" t="str">
        <f>IF(Tab_Compteur_2[[#This Row],[Fin de période]]&gt;0,IFERROR(B96-A96+1,""),"")</f>
        <v/>
      </c>
      <c r="G96" t="str">
        <f>IF(IFERROR(IF(Str_TypeDonneesCpt2=Cpt_Index,Tab_Compteur_2[[#This Row],[Index]]-E95,Tab_Compteur_2[[#This Row],[Quantité]])/Tab_Compteur_2[[#This Row],[Delta Jour]],"")&lt;0,"",IFERROR(IF(Str_TypeDonneesCpt2=Cpt_Index,Tab_Compteur_2[[#This Row],[Index]]-E95,Tab_Compteur_2[[#This Row],[Quantité]])/Tab_Compteur_2[[#This Row],[Delta Jour]],""))</f>
        <v/>
      </c>
      <c r="H96" s="193" t="str">
        <f>IFERROR(Tab_Compteur_2[[#This Row],[Colonne1]]/Tab_Compteur_2[[#This Row],[Delta Jour]],"")</f>
        <v/>
      </c>
      <c r="I96" s="215" t="str">
        <f t="shared" si="2"/>
        <v/>
      </c>
      <c r="J96" s="203"/>
      <c r="K96" s="73"/>
      <c r="L96" s="73"/>
      <c r="M96" s="73"/>
    </row>
    <row r="97" spans="1:13">
      <c r="A97" s="3">
        <f t="shared" si="3"/>
        <v>1</v>
      </c>
      <c r="C97" s="199"/>
      <c r="D97" s="202"/>
      <c r="E97" s="203"/>
      <c r="F97" s="193" t="str">
        <f>IF(Tab_Compteur_2[[#This Row],[Fin de période]]&gt;0,IFERROR(B97-A97+1,""),"")</f>
        <v/>
      </c>
      <c r="G97" t="str">
        <f>IF(IFERROR(IF(Str_TypeDonneesCpt2=Cpt_Index,Tab_Compteur_2[[#This Row],[Index]]-E96,Tab_Compteur_2[[#This Row],[Quantité]])/Tab_Compteur_2[[#This Row],[Delta Jour]],"")&lt;0,"",IFERROR(IF(Str_TypeDonneesCpt2=Cpt_Index,Tab_Compteur_2[[#This Row],[Index]]-E96,Tab_Compteur_2[[#This Row],[Quantité]])/Tab_Compteur_2[[#This Row],[Delta Jour]],""))</f>
        <v/>
      </c>
      <c r="H97" s="193" t="str">
        <f>IFERROR(Tab_Compteur_2[[#This Row],[Colonne1]]/Tab_Compteur_2[[#This Row],[Delta Jour]],"")</f>
        <v/>
      </c>
      <c r="I97" s="215" t="str">
        <f t="shared" si="2"/>
        <v/>
      </c>
      <c r="J97" s="203"/>
      <c r="K97" s="73"/>
      <c r="L97" s="73"/>
      <c r="M97" s="73"/>
    </row>
    <row r="98" spans="1:13">
      <c r="A98" s="3">
        <f t="shared" si="3"/>
        <v>1</v>
      </c>
      <c r="C98" s="199"/>
      <c r="D98" s="202"/>
      <c r="E98" s="203"/>
      <c r="F98" s="193" t="str">
        <f>IF(Tab_Compteur_2[[#This Row],[Fin de période]]&gt;0,IFERROR(B98-A98+1,""),"")</f>
        <v/>
      </c>
      <c r="G98" t="str">
        <f>IF(IFERROR(IF(Str_TypeDonneesCpt2=Cpt_Index,Tab_Compteur_2[[#This Row],[Index]]-E97,Tab_Compteur_2[[#This Row],[Quantité]])/Tab_Compteur_2[[#This Row],[Delta Jour]],"")&lt;0,"",IFERROR(IF(Str_TypeDonneesCpt2=Cpt_Index,Tab_Compteur_2[[#This Row],[Index]]-E97,Tab_Compteur_2[[#This Row],[Quantité]])/Tab_Compteur_2[[#This Row],[Delta Jour]],""))</f>
        <v/>
      </c>
      <c r="H98" s="193" t="str">
        <f>IFERROR(Tab_Compteur_2[[#This Row],[Colonne1]]/Tab_Compteur_2[[#This Row],[Delta Jour]],"")</f>
        <v/>
      </c>
      <c r="I98" s="215" t="str">
        <f t="shared" si="2"/>
        <v/>
      </c>
      <c r="J98" s="203"/>
      <c r="K98" s="73"/>
      <c r="L98" s="73"/>
      <c r="M98" s="73"/>
    </row>
    <row r="99" spans="1:13">
      <c r="A99" s="3">
        <f t="shared" si="3"/>
        <v>1</v>
      </c>
      <c r="C99" s="199"/>
      <c r="D99" s="202"/>
      <c r="E99" s="203"/>
      <c r="F99" s="193" t="str">
        <f>IF(Tab_Compteur_2[[#This Row],[Fin de période]]&gt;0,IFERROR(B99-A99+1,""),"")</f>
        <v/>
      </c>
      <c r="G99" t="str">
        <f>IF(IFERROR(IF(Str_TypeDonneesCpt2=Cpt_Index,Tab_Compteur_2[[#This Row],[Index]]-E98,Tab_Compteur_2[[#This Row],[Quantité]])/Tab_Compteur_2[[#This Row],[Delta Jour]],"")&lt;0,"",IFERROR(IF(Str_TypeDonneesCpt2=Cpt_Index,Tab_Compteur_2[[#This Row],[Index]]-E98,Tab_Compteur_2[[#This Row],[Quantité]])/Tab_Compteur_2[[#This Row],[Delta Jour]],""))</f>
        <v/>
      </c>
      <c r="H99" s="193" t="str">
        <f>IFERROR(Tab_Compteur_2[[#This Row],[Colonne1]]/Tab_Compteur_2[[#This Row],[Delta Jour]],"")</f>
        <v/>
      </c>
      <c r="I99" s="215" t="str">
        <f t="shared" si="2"/>
        <v/>
      </c>
      <c r="J99" s="203"/>
      <c r="K99" s="73"/>
      <c r="L99" s="73"/>
      <c r="M99" s="73"/>
    </row>
    <row r="100" spans="1:13">
      <c r="A100" s="3">
        <f t="shared" si="3"/>
        <v>1</v>
      </c>
      <c r="C100" s="199"/>
      <c r="D100" s="202"/>
      <c r="E100" s="203"/>
      <c r="F100" s="193" t="str">
        <f>IF(Tab_Compteur_2[[#This Row],[Fin de période]]&gt;0,IFERROR(B100-A100+1,""),"")</f>
        <v/>
      </c>
      <c r="G100" t="str">
        <f>IF(IFERROR(IF(Str_TypeDonneesCpt2=Cpt_Index,Tab_Compteur_2[[#This Row],[Index]]-E99,Tab_Compteur_2[[#This Row],[Quantité]])/Tab_Compteur_2[[#This Row],[Delta Jour]],"")&lt;0,"",IFERROR(IF(Str_TypeDonneesCpt2=Cpt_Index,Tab_Compteur_2[[#This Row],[Index]]-E99,Tab_Compteur_2[[#This Row],[Quantité]])/Tab_Compteur_2[[#This Row],[Delta Jour]],""))</f>
        <v/>
      </c>
      <c r="H100" s="193" t="str">
        <f>IFERROR(Tab_Compteur_2[[#This Row],[Colonne1]]/Tab_Compteur_2[[#This Row],[Delta Jour]],"")</f>
        <v/>
      </c>
      <c r="I100" s="215" t="str">
        <f t="shared" si="2"/>
        <v/>
      </c>
      <c r="J100" s="203"/>
      <c r="K100" s="73"/>
      <c r="L100" s="73"/>
      <c r="M100" s="73"/>
    </row>
    <row r="101" spans="1:13">
      <c r="A101" s="3">
        <f t="shared" si="3"/>
        <v>1</v>
      </c>
      <c r="C101" s="199"/>
      <c r="D101" s="202"/>
      <c r="E101" s="203"/>
      <c r="F101" s="193" t="str">
        <f>IF(Tab_Compteur_2[[#This Row],[Fin de période]]&gt;0,IFERROR(B101-A101+1,""),"")</f>
        <v/>
      </c>
      <c r="G101" t="str">
        <f>IF(IFERROR(IF(Str_TypeDonneesCpt2=Cpt_Index,Tab_Compteur_2[[#This Row],[Index]]-E100,Tab_Compteur_2[[#This Row],[Quantité]])/Tab_Compteur_2[[#This Row],[Delta Jour]],"")&lt;0,"",IFERROR(IF(Str_TypeDonneesCpt2=Cpt_Index,Tab_Compteur_2[[#This Row],[Index]]-E100,Tab_Compteur_2[[#This Row],[Quantité]])/Tab_Compteur_2[[#This Row],[Delta Jour]],""))</f>
        <v/>
      </c>
      <c r="H101" s="193" t="str">
        <f>IFERROR(Tab_Compteur_2[[#This Row],[Colonne1]]/Tab_Compteur_2[[#This Row],[Delta Jour]],"")</f>
        <v/>
      </c>
      <c r="I101" s="215" t="str">
        <f t="shared" si="2"/>
        <v/>
      </c>
      <c r="J101" s="203"/>
      <c r="K101" s="73"/>
      <c r="L101" s="73"/>
      <c r="M101" s="73"/>
    </row>
    <row r="102" spans="1:13">
      <c r="A102" s="3">
        <f t="shared" si="3"/>
        <v>1</v>
      </c>
      <c r="C102" s="199"/>
      <c r="D102" s="202"/>
      <c r="E102" s="203"/>
      <c r="F102" s="193" t="str">
        <f>IF(Tab_Compteur_2[[#This Row],[Fin de période]]&gt;0,IFERROR(B102-A102+1,""),"")</f>
        <v/>
      </c>
      <c r="G102" t="str">
        <f>IF(IFERROR(IF(Str_TypeDonneesCpt2=Cpt_Index,Tab_Compteur_2[[#This Row],[Index]]-E101,Tab_Compteur_2[[#This Row],[Quantité]])/Tab_Compteur_2[[#This Row],[Delta Jour]],"")&lt;0,"",IFERROR(IF(Str_TypeDonneesCpt2=Cpt_Index,Tab_Compteur_2[[#This Row],[Index]]-E101,Tab_Compteur_2[[#This Row],[Quantité]])/Tab_Compteur_2[[#This Row],[Delta Jour]],""))</f>
        <v/>
      </c>
      <c r="H102" s="193" t="str">
        <f>IFERROR(Tab_Compteur_2[[#This Row],[Colonne1]]/Tab_Compteur_2[[#This Row],[Delta Jour]],"")</f>
        <v/>
      </c>
      <c r="I102" s="215" t="str">
        <f t="shared" si="2"/>
        <v/>
      </c>
      <c r="J102" s="203"/>
      <c r="K102" s="73"/>
      <c r="L102" s="73"/>
      <c r="M102" s="73"/>
    </row>
    <row r="103" spans="1:13">
      <c r="A103" s="3">
        <f t="shared" si="3"/>
        <v>1</v>
      </c>
      <c r="C103" s="199"/>
      <c r="D103" s="202"/>
      <c r="E103" s="203"/>
      <c r="F103" s="193" t="str">
        <f>IF(Tab_Compteur_2[[#This Row],[Fin de période]]&gt;0,IFERROR(B103-A103+1,""),"")</f>
        <v/>
      </c>
      <c r="G103" t="str">
        <f>IF(IFERROR(IF(Str_TypeDonneesCpt2=Cpt_Index,Tab_Compteur_2[[#This Row],[Index]]-E102,Tab_Compteur_2[[#This Row],[Quantité]])/Tab_Compteur_2[[#This Row],[Delta Jour]],"")&lt;0,"",IFERROR(IF(Str_TypeDonneesCpt2=Cpt_Index,Tab_Compteur_2[[#This Row],[Index]]-E102,Tab_Compteur_2[[#This Row],[Quantité]])/Tab_Compteur_2[[#This Row],[Delta Jour]],""))</f>
        <v/>
      </c>
      <c r="H103" s="193" t="str">
        <f>IFERROR(Tab_Compteur_2[[#This Row],[Colonne1]]/Tab_Compteur_2[[#This Row],[Delta Jour]],"")</f>
        <v/>
      </c>
      <c r="I103" s="215" t="str">
        <f t="shared" si="2"/>
        <v/>
      </c>
      <c r="J103" s="203"/>
      <c r="K103" s="73"/>
      <c r="L103" s="73"/>
      <c r="M103" s="73"/>
    </row>
    <row r="104" spans="1:13">
      <c r="A104" s="3">
        <f t="shared" si="3"/>
        <v>1</v>
      </c>
      <c r="C104" s="199"/>
      <c r="D104" s="202"/>
      <c r="E104" s="203"/>
      <c r="F104" s="193" t="str">
        <f>IF(Tab_Compteur_2[[#This Row],[Fin de période]]&gt;0,IFERROR(B104-A104+1,""),"")</f>
        <v/>
      </c>
      <c r="G104" t="str">
        <f>IF(IFERROR(IF(Str_TypeDonneesCpt2=Cpt_Index,Tab_Compteur_2[[#This Row],[Index]]-E103,Tab_Compteur_2[[#This Row],[Quantité]])/Tab_Compteur_2[[#This Row],[Delta Jour]],"")&lt;0,"",IFERROR(IF(Str_TypeDonneesCpt2=Cpt_Index,Tab_Compteur_2[[#This Row],[Index]]-E103,Tab_Compteur_2[[#This Row],[Quantité]])/Tab_Compteur_2[[#This Row],[Delta Jour]],""))</f>
        <v/>
      </c>
      <c r="H104" s="193" t="str">
        <f>IFERROR(Tab_Compteur_2[[#This Row],[Colonne1]]/Tab_Compteur_2[[#This Row],[Delta Jour]],"")</f>
        <v/>
      </c>
      <c r="I104" s="215" t="str">
        <f t="shared" si="2"/>
        <v/>
      </c>
      <c r="J104" s="203"/>
      <c r="K104" s="73"/>
      <c r="L104" s="73"/>
      <c r="M104" s="73"/>
    </row>
    <row r="105" spans="1:13">
      <c r="A105" s="3">
        <f t="shared" si="3"/>
        <v>1</v>
      </c>
      <c r="C105" s="199"/>
      <c r="D105" s="202"/>
      <c r="E105" s="203"/>
      <c r="F105" s="193" t="str">
        <f>IF(Tab_Compteur_2[[#This Row],[Fin de période]]&gt;0,IFERROR(B105-A105+1,""),"")</f>
        <v/>
      </c>
      <c r="G105" t="str">
        <f>IF(IFERROR(IF(Str_TypeDonneesCpt2=Cpt_Index,Tab_Compteur_2[[#This Row],[Index]]-E104,Tab_Compteur_2[[#This Row],[Quantité]])/Tab_Compteur_2[[#This Row],[Delta Jour]],"")&lt;0,"",IFERROR(IF(Str_TypeDonneesCpt2=Cpt_Index,Tab_Compteur_2[[#This Row],[Index]]-E104,Tab_Compteur_2[[#This Row],[Quantité]])/Tab_Compteur_2[[#This Row],[Delta Jour]],""))</f>
        <v/>
      </c>
      <c r="H105" s="193" t="str">
        <f>IFERROR(Tab_Compteur_2[[#This Row],[Colonne1]]/Tab_Compteur_2[[#This Row],[Delta Jour]],"")</f>
        <v/>
      </c>
      <c r="I105" s="215" t="str">
        <f t="shared" si="2"/>
        <v/>
      </c>
      <c r="J105" s="203"/>
      <c r="K105" s="73"/>
      <c r="L105" s="73"/>
      <c r="M105" s="73"/>
    </row>
    <row r="106" spans="1:13">
      <c r="A106" s="3">
        <f t="shared" si="3"/>
        <v>1</v>
      </c>
      <c r="C106" s="199"/>
      <c r="D106" s="202"/>
      <c r="E106" s="203"/>
      <c r="F106" s="193" t="str">
        <f>IF(Tab_Compteur_2[[#This Row],[Fin de période]]&gt;0,IFERROR(B106-A106+1,""),"")</f>
        <v/>
      </c>
      <c r="G106" t="str">
        <f>IF(IFERROR(IF(Str_TypeDonneesCpt2=Cpt_Index,Tab_Compteur_2[[#This Row],[Index]]-E105,Tab_Compteur_2[[#This Row],[Quantité]])/Tab_Compteur_2[[#This Row],[Delta Jour]],"")&lt;0,"",IFERROR(IF(Str_TypeDonneesCpt2=Cpt_Index,Tab_Compteur_2[[#This Row],[Index]]-E105,Tab_Compteur_2[[#This Row],[Quantité]])/Tab_Compteur_2[[#This Row],[Delta Jour]],""))</f>
        <v/>
      </c>
      <c r="H106" s="193" t="str">
        <f>IFERROR(Tab_Compteur_2[[#This Row],[Colonne1]]/Tab_Compteur_2[[#This Row],[Delta Jour]],"")</f>
        <v/>
      </c>
      <c r="I106" s="215" t="str">
        <f t="shared" si="2"/>
        <v/>
      </c>
      <c r="J106" s="203"/>
      <c r="K106" s="73"/>
      <c r="L106" s="73"/>
      <c r="M106" s="73"/>
    </row>
    <row r="107" spans="1:13">
      <c r="A107" s="3">
        <f t="shared" si="3"/>
        <v>1</v>
      </c>
      <c r="C107" s="199"/>
      <c r="D107" s="202"/>
      <c r="E107" s="203"/>
      <c r="F107" s="193" t="str">
        <f>IF(Tab_Compteur_2[[#This Row],[Fin de période]]&gt;0,IFERROR(B107-A107+1,""),"")</f>
        <v/>
      </c>
      <c r="G107" t="str">
        <f>IF(IFERROR(IF(Str_TypeDonneesCpt2=Cpt_Index,Tab_Compteur_2[[#This Row],[Index]]-E106,Tab_Compteur_2[[#This Row],[Quantité]])/Tab_Compteur_2[[#This Row],[Delta Jour]],"")&lt;0,"",IFERROR(IF(Str_TypeDonneesCpt2=Cpt_Index,Tab_Compteur_2[[#This Row],[Index]]-E106,Tab_Compteur_2[[#This Row],[Quantité]])/Tab_Compteur_2[[#This Row],[Delta Jour]],""))</f>
        <v/>
      </c>
      <c r="H107" s="193" t="str">
        <f>IFERROR(Tab_Compteur_2[[#This Row],[Colonne1]]/Tab_Compteur_2[[#This Row],[Delta Jour]],"")</f>
        <v/>
      </c>
      <c r="I107" s="215" t="str">
        <f t="shared" si="2"/>
        <v/>
      </c>
      <c r="J107" s="203"/>
      <c r="K107" s="73"/>
      <c r="L107" s="73"/>
      <c r="M107" s="73"/>
    </row>
    <row r="108" spans="1:13">
      <c r="A108" s="3">
        <f t="shared" si="3"/>
        <v>1</v>
      </c>
      <c r="C108" s="199"/>
      <c r="D108" s="202"/>
      <c r="E108" s="203"/>
      <c r="F108" s="193" t="str">
        <f>IF(Tab_Compteur_2[[#This Row],[Fin de période]]&gt;0,IFERROR(B108-A108+1,""),"")</f>
        <v/>
      </c>
      <c r="G108" t="str">
        <f>IF(IFERROR(IF(Str_TypeDonneesCpt2=Cpt_Index,Tab_Compteur_2[[#This Row],[Index]]-E107,Tab_Compteur_2[[#This Row],[Quantité]])/Tab_Compteur_2[[#This Row],[Delta Jour]],"")&lt;0,"",IFERROR(IF(Str_TypeDonneesCpt2=Cpt_Index,Tab_Compteur_2[[#This Row],[Index]]-E107,Tab_Compteur_2[[#This Row],[Quantité]])/Tab_Compteur_2[[#This Row],[Delta Jour]],""))</f>
        <v/>
      </c>
      <c r="H108" s="193" t="str">
        <f>IFERROR(Tab_Compteur_2[[#This Row],[Colonne1]]/Tab_Compteur_2[[#This Row],[Delta Jour]],"")</f>
        <v/>
      </c>
      <c r="I108" s="215" t="str">
        <f t="shared" si="2"/>
        <v/>
      </c>
      <c r="J108" s="203"/>
      <c r="K108" s="73"/>
      <c r="L108" s="73"/>
      <c r="M108" s="73"/>
    </row>
    <row r="109" spans="1:13">
      <c r="A109" s="3">
        <f t="shared" si="3"/>
        <v>1</v>
      </c>
      <c r="C109" s="199"/>
      <c r="D109" s="202"/>
      <c r="E109" s="203"/>
      <c r="F109" s="193" t="str">
        <f>IF(Tab_Compteur_2[[#This Row],[Fin de période]]&gt;0,IFERROR(B109-A109+1,""),"")</f>
        <v/>
      </c>
      <c r="G109" t="str">
        <f>IF(IFERROR(IF(Str_TypeDonneesCpt2=Cpt_Index,Tab_Compteur_2[[#This Row],[Index]]-E108,Tab_Compteur_2[[#This Row],[Quantité]])/Tab_Compteur_2[[#This Row],[Delta Jour]],"")&lt;0,"",IFERROR(IF(Str_TypeDonneesCpt2=Cpt_Index,Tab_Compteur_2[[#This Row],[Index]]-E108,Tab_Compteur_2[[#This Row],[Quantité]])/Tab_Compteur_2[[#This Row],[Delta Jour]],""))</f>
        <v/>
      </c>
      <c r="H109" s="193" t="str">
        <f>IFERROR(Tab_Compteur_2[[#This Row],[Colonne1]]/Tab_Compteur_2[[#This Row],[Delta Jour]],"")</f>
        <v/>
      </c>
      <c r="I109" s="215" t="str">
        <f t="shared" si="2"/>
        <v/>
      </c>
      <c r="J109" s="203"/>
      <c r="K109" s="73"/>
      <c r="L109" s="73"/>
      <c r="M109" s="73"/>
    </row>
    <row r="110" spans="1:13">
      <c r="A110" s="3">
        <f t="shared" si="3"/>
        <v>1</v>
      </c>
      <c r="C110" s="199"/>
      <c r="D110" s="202"/>
      <c r="E110" s="203"/>
      <c r="F110" s="193" t="str">
        <f>IF(Tab_Compteur_2[[#This Row],[Fin de période]]&gt;0,IFERROR(B110-A110+1,""),"")</f>
        <v/>
      </c>
      <c r="G110" t="str">
        <f>IF(IFERROR(IF(Str_TypeDonneesCpt2=Cpt_Index,Tab_Compteur_2[[#This Row],[Index]]-E109,Tab_Compteur_2[[#This Row],[Quantité]])/Tab_Compteur_2[[#This Row],[Delta Jour]],"")&lt;0,"",IFERROR(IF(Str_TypeDonneesCpt2=Cpt_Index,Tab_Compteur_2[[#This Row],[Index]]-E109,Tab_Compteur_2[[#This Row],[Quantité]])/Tab_Compteur_2[[#This Row],[Delta Jour]],""))</f>
        <v/>
      </c>
      <c r="H110" s="193" t="str">
        <f>IFERROR(Tab_Compteur_2[[#This Row],[Colonne1]]/Tab_Compteur_2[[#This Row],[Delta Jour]],"")</f>
        <v/>
      </c>
      <c r="I110" s="215" t="str">
        <f t="shared" si="2"/>
        <v/>
      </c>
      <c r="J110" s="203"/>
      <c r="K110" s="73"/>
      <c r="L110" s="73"/>
      <c r="M110" s="73"/>
    </row>
    <row r="111" spans="1:13">
      <c r="A111" s="3">
        <f t="shared" si="3"/>
        <v>1</v>
      </c>
      <c r="C111" s="199"/>
      <c r="D111" s="202"/>
      <c r="E111" s="203"/>
      <c r="F111" s="193" t="str">
        <f>IF(Tab_Compteur_2[[#This Row],[Fin de période]]&gt;0,IFERROR(B111-A111+1,""),"")</f>
        <v/>
      </c>
      <c r="G111" t="str">
        <f>IF(IFERROR(IF(Str_TypeDonneesCpt2=Cpt_Index,Tab_Compteur_2[[#This Row],[Index]]-E110,Tab_Compteur_2[[#This Row],[Quantité]])/Tab_Compteur_2[[#This Row],[Delta Jour]],"")&lt;0,"",IFERROR(IF(Str_TypeDonneesCpt2=Cpt_Index,Tab_Compteur_2[[#This Row],[Index]]-E110,Tab_Compteur_2[[#This Row],[Quantité]])/Tab_Compteur_2[[#This Row],[Delta Jour]],""))</f>
        <v/>
      </c>
      <c r="H111" s="193" t="str">
        <f>IFERROR(Tab_Compteur_2[[#This Row],[Colonne1]]/Tab_Compteur_2[[#This Row],[Delta Jour]],"")</f>
        <v/>
      </c>
      <c r="I111" s="215" t="str">
        <f t="shared" si="2"/>
        <v/>
      </c>
      <c r="J111" s="203"/>
      <c r="K111" s="73"/>
      <c r="L111" s="73"/>
      <c r="M111" s="73"/>
    </row>
    <row r="112" spans="1:13">
      <c r="A112" s="3">
        <f t="shared" si="3"/>
        <v>1</v>
      </c>
      <c r="C112" s="199"/>
      <c r="D112" s="202"/>
      <c r="E112" s="203"/>
      <c r="F112" s="193" t="str">
        <f>IF(Tab_Compteur_2[[#This Row],[Fin de période]]&gt;0,IFERROR(B112-A112+1,""),"")</f>
        <v/>
      </c>
      <c r="G112" t="str">
        <f>IF(IFERROR(IF(Str_TypeDonneesCpt2=Cpt_Index,Tab_Compteur_2[[#This Row],[Index]]-E111,Tab_Compteur_2[[#This Row],[Quantité]])/Tab_Compteur_2[[#This Row],[Delta Jour]],"")&lt;0,"",IFERROR(IF(Str_TypeDonneesCpt2=Cpt_Index,Tab_Compteur_2[[#This Row],[Index]]-E111,Tab_Compteur_2[[#This Row],[Quantité]])/Tab_Compteur_2[[#This Row],[Delta Jour]],""))</f>
        <v/>
      </c>
      <c r="H112" s="193" t="str">
        <f>IFERROR(Tab_Compteur_2[[#This Row],[Colonne1]]/Tab_Compteur_2[[#This Row],[Delta Jour]],"")</f>
        <v/>
      </c>
      <c r="I112" s="215" t="str">
        <f t="shared" si="2"/>
        <v/>
      </c>
      <c r="J112" s="203"/>
      <c r="K112" s="73"/>
      <c r="L112" s="73"/>
      <c r="M112" s="73"/>
    </row>
    <row r="113" spans="1:13">
      <c r="A113" s="3">
        <f t="shared" si="3"/>
        <v>1</v>
      </c>
      <c r="C113" s="199"/>
      <c r="D113" s="202"/>
      <c r="E113" s="203"/>
      <c r="F113" s="193" t="str">
        <f>IF(Tab_Compteur_2[[#This Row],[Fin de période]]&gt;0,IFERROR(B113-A113+1,""),"")</f>
        <v/>
      </c>
      <c r="G113" t="str">
        <f>IF(IFERROR(IF(Str_TypeDonneesCpt2=Cpt_Index,Tab_Compteur_2[[#This Row],[Index]]-E112,Tab_Compteur_2[[#This Row],[Quantité]])/Tab_Compteur_2[[#This Row],[Delta Jour]],"")&lt;0,"",IFERROR(IF(Str_TypeDonneesCpt2=Cpt_Index,Tab_Compteur_2[[#This Row],[Index]]-E112,Tab_Compteur_2[[#This Row],[Quantité]])/Tab_Compteur_2[[#This Row],[Delta Jour]],""))</f>
        <v/>
      </c>
      <c r="H113" s="193" t="str">
        <f>IFERROR(Tab_Compteur_2[[#This Row],[Colonne1]]/Tab_Compteur_2[[#This Row],[Delta Jour]],"")</f>
        <v/>
      </c>
      <c r="I113" s="215" t="str">
        <f t="shared" si="2"/>
        <v/>
      </c>
      <c r="J113" s="203"/>
      <c r="K113" s="73"/>
      <c r="L113" s="73"/>
      <c r="M113" s="73"/>
    </row>
    <row r="114" spans="1:13">
      <c r="A114" s="3">
        <f t="shared" si="3"/>
        <v>1</v>
      </c>
      <c r="C114" s="199"/>
      <c r="D114" s="202"/>
      <c r="E114" s="203"/>
      <c r="F114" s="193" t="str">
        <f>IF(Tab_Compteur_2[[#This Row],[Fin de période]]&gt;0,IFERROR(B114-A114+1,""),"")</f>
        <v/>
      </c>
      <c r="G114" t="str">
        <f>IF(IFERROR(IF(Str_TypeDonneesCpt2=Cpt_Index,Tab_Compteur_2[[#This Row],[Index]]-E113,Tab_Compteur_2[[#This Row],[Quantité]])/Tab_Compteur_2[[#This Row],[Delta Jour]],"")&lt;0,"",IFERROR(IF(Str_TypeDonneesCpt2=Cpt_Index,Tab_Compteur_2[[#This Row],[Index]]-E113,Tab_Compteur_2[[#This Row],[Quantité]])/Tab_Compteur_2[[#This Row],[Delta Jour]],""))</f>
        <v/>
      </c>
      <c r="H114" s="193" t="str">
        <f>IFERROR(Tab_Compteur_2[[#This Row],[Colonne1]]/Tab_Compteur_2[[#This Row],[Delta Jour]],"")</f>
        <v/>
      </c>
      <c r="I114" s="215" t="str">
        <f t="shared" si="2"/>
        <v/>
      </c>
      <c r="J114" s="203"/>
      <c r="K114" s="73"/>
      <c r="L114" s="73"/>
      <c r="M114" s="73"/>
    </row>
    <row r="115" spans="1:13">
      <c r="A115" s="3">
        <f t="shared" si="3"/>
        <v>1</v>
      </c>
      <c r="C115" s="199"/>
      <c r="D115" s="202"/>
      <c r="E115" s="203"/>
      <c r="F115" s="193" t="str">
        <f>IF(Tab_Compteur_2[[#This Row],[Fin de période]]&gt;0,IFERROR(B115-A115+1,""),"")</f>
        <v/>
      </c>
      <c r="G115" t="str">
        <f>IF(IFERROR(IF(Str_TypeDonneesCpt2=Cpt_Index,Tab_Compteur_2[[#This Row],[Index]]-E114,Tab_Compteur_2[[#This Row],[Quantité]])/Tab_Compteur_2[[#This Row],[Delta Jour]],"")&lt;0,"",IFERROR(IF(Str_TypeDonneesCpt2=Cpt_Index,Tab_Compteur_2[[#This Row],[Index]]-E114,Tab_Compteur_2[[#This Row],[Quantité]])/Tab_Compteur_2[[#This Row],[Delta Jour]],""))</f>
        <v/>
      </c>
      <c r="H115" s="193" t="str">
        <f>IFERROR(Tab_Compteur_2[[#This Row],[Colonne1]]/Tab_Compteur_2[[#This Row],[Delta Jour]],"")</f>
        <v/>
      </c>
      <c r="I115" s="215" t="str">
        <f t="shared" si="2"/>
        <v/>
      </c>
      <c r="J115" s="203"/>
      <c r="K115" s="73"/>
      <c r="L115" s="73"/>
      <c r="M115" s="73"/>
    </row>
    <row r="116" spans="1:13">
      <c r="A116" s="3">
        <f t="shared" si="3"/>
        <v>1</v>
      </c>
      <c r="C116" s="199"/>
      <c r="D116" s="202"/>
      <c r="E116" s="203"/>
      <c r="F116" s="193" t="str">
        <f>IF(Tab_Compteur_2[[#This Row],[Fin de période]]&gt;0,IFERROR(B116-A116+1,""),"")</f>
        <v/>
      </c>
      <c r="G116" t="str">
        <f>IF(IFERROR(IF(Str_TypeDonneesCpt2=Cpt_Index,Tab_Compteur_2[[#This Row],[Index]]-E115,Tab_Compteur_2[[#This Row],[Quantité]])/Tab_Compteur_2[[#This Row],[Delta Jour]],"")&lt;0,"",IFERROR(IF(Str_TypeDonneesCpt2=Cpt_Index,Tab_Compteur_2[[#This Row],[Index]]-E115,Tab_Compteur_2[[#This Row],[Quantité]])/Tab_Compteur_2[[#This Row],[Delta Jour]],""))</f>
        <v/>
      </c>
      <c r="H116" s="193" t="str">
        <f>IFERROR(Tab_Compteur_2[[#This Row],[Colonne1]]/Tab_Compteur_2[[#This Row],[Delta Jour]],"")</f>
        <v/>
      </c>
      <c r="I116" s="215" t="str">
        <f t="shared" si="2"/>
        <v/>
      </c>
      <c r="J116" s="203"/>
      <c r="K116" s="73"/>
      <c r="L116" s="73"/>
      <c r="M116" s="73"/>
    </row>
    <row r="117" spans="1:13">
      <c r="A117" s="3">
        <f t="shared" si="3"/>
        <v>1</v>
      </c>
      <c r="C117" s="199"/>
      <c r="D117" s="202"/>
      <c r="E117" s="203"/>
      <c r="F117" s="193" t="str">
        <f>IF(Tab_Compteur_2[[#This Row],[Fin de période]]&gt;0,IFERROR(B117-A117+1,""),"")</f>
        <v/>
      </c>
      <c r="G117" t="str">
        <f>IF(IFERROR(IF(Str_TypeDonneesCpt2=Cpt_Index,Tab_Compteur_2[[#This Row],[Index]]-E116,Tab_Compteur_2[[#This Row],[Quantité]])/Tab_Compteur_2[[#This Row],[Delta Jour]],"")&lt;0,"",IFERROR(IF(Str_TypeDonneesCpt2=Cpt_Index,Tab_Compteur_2[[#This Row],[Index]]-E116,Tab_Compteur_2[[#This Row],[Quantité]])/Tab_Compteur_2[[#This Row],[Delta Jour]],""))</f>
        <v/>
      </c>
      <c r="H117" s="193" t="str">
        <f>IFERROR(Tab_Compteur_2[[#This Row],[Colonne1]]/Tab_Compteur_2[[#This Row],[Delta Jour]],"")</f>
        <v/>
      </c>
      <c r="I117" s="215" t="str">
        <f t="shared" si="2"/>
        <v/>
      </c>
      <c r="J117" s="203"/>
      <c r="K117" s="73"/>
      <c r="L117" s="73"/>
      <c r="M117" s="73"/>
    </row>
    <row r="118" spans="1:13">
      <c r="A118" s="3">
        <f t="shared" si="3"/>
        <v>1</v>
      </c>
      <c r="C118" s="199"/>
      <c r="D118" s="202"/>
      <c r="E118" s="203"/>
      <c r="F118" s="193" t="str">
        <f>IF(Tab_Compteur_2[[#This Row],[Fin de période]]&gt;0,IFERROR(B118-A118+1,""),"")</f>
        <v/>
      </c>
      <c r="G118" t="str">
        <f>IF(IFERROR(IF(Str_TypeDonneesCpt2=Cpt_Index,Tab_Compteur_2[[#This Row],[Index]]-E117,Tab_Compteur_2[[#This Row],[Quantité]])/Tab_Compteur_2[[#This Row],[Delta Jour]],"")&lt;0,"",IFERROR(IF(Str_TypeDonneesCpt2=Cpt_Index,Tab_Compteur_2[[#This Row],[Index]]-E117,Tab_Compteur_2[[#This Row],[Quantité]])/Tab_Compteur_2[[#This Row],[Delta Jour]],""))</f>
        <v/>
      </c>
      <c r="H118" s="193" t="str">
        <f>IFERROR(Tab_Compteur_2[[#This Row],[Colonne1]]/Tab_Compteur_2[[#This Row],[Delta Jour]],"")</f>
        <v/>
      </c>
      <c r="I118" s="215" t="str">
        <f t="shared" si="2"/>
        <v/>
      </c>
      <c r="J118" s="203"/>
      <c r="K118" s="73"/>
      <c r="L118" s="73"/>
      <c r="M118" s="73"/>
    </row>
    <row r="119" spans="1:13">
      <c r="A119" s="3">
        <f t="shared" si="3"/>
        <v>1</v>
      </c>
      <c r="C119" s="199"/>
      <c r="D119" s="202"/>
      <c r="E119" s="203"/>
      <c r="F119" s="193" t="str">
        <f>IF(Tab_Compteur_2[[#This Row],[Fin de période]]&gt;0,IFERROR(B119-A119+1,""),"")</f>
        <v/>
      </c>
      <c r="G119" t="str">
        <f>IF(IFERROR(IF(Str_TypeDonneesCpt2=Cpt_Index,Tab_Compteur_2[[#This Row],[Index]]-E118,Tab_Compteur_2[[#This Row],[Quantité]])/Tab_Compteur_2[[#This Row],[Delta Jour]],"")&lt;0,"",IFERROR(IF(Str_TypeDonneesCpt2=Cpt_Index,Tab_Compteur_2[[#This Row],[Index]]-E118,Tab_Compteur_2[[#This Row],[Quantité]])/Tab_Compteur_2[[#This Row],[Delta Jour]],""))</f>
        <v/>
      </c>
      <c r="H119" s="193" t="str">
        <f>IFERROR(Tab_Compteur_2[[#This Row],[Colonne1]]/Tab_Compteur_2[[#This Row],[Delta Jour]],"")</f>
        <v/>
      </c>
      <c r="I119" s="215" t="str">
        <f t="shared" si="2"/>
        <v/>
      </c>
      <c r="J119" s="203"/>
      <c r="K119" s="73"/>
      <c r="L119" s="73"/>
      <c r="M119" s="73"/>
    </row>
    <row r="120" spans="1:13">
      <c r="A120" s="3">
        <f t="shared" si="3"/>
        <v>1</v>
      </c>
      <c r="C120" s="199"/>
      <c r="D120" s="202"/>
      <c r="E120" s="203"/>
      <c r="F120" s="193" t="str">
        <f>IF(Tab_Compteur_2[[#This Row],[Fin de période]]&gt;0,IFERROR(B120-A120+1,""),"")</f>
        <v/>
      </c>
      <c r="G120" t="str">
        <f>IF(IFERROR(IF(Str_TypeDonneesCpt2=Cpt_Index,Tab_Compteur_2[[#This Row],[Index]]-E119,Tab_Compteur_2[[#This Row],[Quantité]])/Tab_Compteur_2[[#This Row],[Delta Jour]],"")&lt;0,"",IFERROR(IF(Str_TypeDonneesCpt2=Cpt_Index,Tab_Compteur_2[[#This Row],[Index]]-E119,Tab_Compteur_2[[#This Row],[Quantité]])/Tab_Compteur_2[[#This Row],[Delta Jour]],""))</f>
        <v/>
      </c>
      <c r="H120" s="193" t="str">
        <f>IFERROR(Tab_Compteur_2[[#This Row],[Colonne1]]/Tab_Compteur_2[[#This Row],[Delta Jour]],"")</f>
        <v/>
      </c>
      <c r="I120" s="215" t="str">
        <f t="shared" si="2"/>
        <v/>
      </c>
      <c r="J120" s="203"/>
      <c r="K120" s="73"/>
      <c r="L120" s="73"/>
      <c r="M120" s="73"/>
    </row>
    <row r="121" spans="1:13">
      <c r="A121" s="3">
        <f t="shared" si="3"/>
        <v>1</v>
      </c>
      <c r="C121" s="199"/>
      <c r="D121" s="202"/>
      <c r="E121" s="203"/>
      <c r="F121" s="193" t="str">
        <f>IF(Tab_Compteur_2[[#This Row],[Fin de période]]&gt;0,IFERROR(B121-A121+1,""),"")</f>
        <v/>
      </c>
      <c r="G121" t="str">
        <f>IF(IFERROR(IF(Str_TypeDonneesCpt2=Cpt_Index,Tab_Compteur_2[[#This Row],[Index]]-E120,Tab_Compteur_2[[#This Row],[Quantité]])/Tab_Compteur_2[[#This Row],[Delta Jour]],"")&lt;0,"",IFERROR(IF(Str_TypeDonneesCpt2=Cpt_Index,Tab_Compteur_2[[#This Row],[Index]]-E120,Tab_Compteur_2[[#This Row],[Quantité]])/Tab_Compteur_2[[#This Row],[Delta Jour]],""))</f>
        <v/>
      </c>
      <c r="H121" s="193" t="str">
        <f>IFERROR(Tab_Compteur_2[[#This Row],[Colonne1]]/Tab_Compteur_2[[#This Row],[Delta Jour]],"")</f>
        <v/>
      </c>
      <c r="I121" s="215" t="str">
        <f t="shared" si="2"/>
        <v/>
      </c>
      <c r="J121" s="203"/>
      <c r="K121" s="73"/>
      <c r="L121" s="73"/>
      <c r="M121" s="73"/>
    </row>
    <row r="122" spans="1:13">
      <c r="A122" s="3">
        <f t="shared" si="3"/>
        <v>1</v>
      </c>
      <c r="C122" s="199"/>
      <c r="D122" s="202"/>
      <c r="E122" s="203"/>
      <c r="F122" s="193" t="str">
        <f>IF(Tab_Compteur_2[[#This Row],[Fin de période]]&gt;0,IFERROR(B122-A122+1,""),"")</f>
        <v/>
      </c>
      <c r="G122" t="str">
        <f>IF(IFERROR(IF(Str_TypeDonneesCpt2=Cpt_Index,Tab_Compteur_2[[#This Row],[Index]]-E121,Tab_Compteur_2[[#This Row],[Quantité]])/Tab_Compteur_2[[#This Row],[Delta Jour]],"")&lt;0,"",IFERROR(IF(Str_TypeDonneesCpt2=Cpt_Index,Tab_Compteur_2[[#This Row],[Index]]-E121,Tab_Compteur_2[[#This Row],[Quantité]])/Tab_Compteur_2[[#This Row],[Delta Jour]],""))</f>
        <v/>
      </c>
      <c r="H122" s="193" t="str">
        <f>IFERROR(Tab_Compteur_2[[#This Row],[Colonne1]]/Tab_Compteur_2[[#This Row],[Delta Jour]],"")</f>
        <v/>
      </c>
      <c r="I122" s="215" t="str">
        <f t="shared" si="2"/>
        <v/>
      </c>
      <c r="J122" s="203"/>
      <c r="K122" s="73"/>
      <c r="L122" s="73"/>
      <c r="M122" s="73"/>
    </row>
    <row r="123" spans="1:13">
      <c r="A123" s="3">
        <f t="shared" si="3"/>
        <v>1</v>
      </c>
      <c r="C123" s="199"/>
      <c r="D123" s="202"/>
      <c r="E123" s="203"/>
      <c r="F123" s="193" t="str">
        <f>IF(Tab_Compteur_2[[#This Row],[Fin de période]]&gt;0,IFERROR(B123-A123+1,""),"")</f>
        <v/>
      </c>
      <c r="G123" t="str">
        <f>IF(IFERROR(IF(Str_TypeDonneesCpt2=Cpt_Index,Tab_Compteur_2[[#This Row],[Index]]-E122,Tab_Compteur_2[[#This Row],[Quantité]])/Tab_Compteur_2[[#This Row],[Delta Jour]],"")&lt;0,"",IFERROR(IF(Str_TypeDonneesCpt2=Cpt_Index,Tab_Compteur_2[[#This Row],[Index]]-E122,Tab_Compteur_2[[#This Row],[Quantité]])/Tab_Compteur_2[[#This Row],[Delta Jour]],""))</f>
        <v/>
      </c>
      <c r="H123" s="193" t="str">
        <f>IFERROR(Tab_Compteur_2[[#This Row],[Colonne1]]/Tab_Compteur_2[[#This Row],[Delta Jour]],"")</f>
        <v/>
      </c>
      <c r="I123" s="215" t="str">
        <f t="shared" si="2"/>
        <v/>
      </c>
      <c r="J123" s="203"/>
      <c r="K123" s="73"/>
      <c r="L123" s="73"/>
      <c r="M123" s="73"/>
    </row>
    <row r="124" spans="1:13">
      <c r="A124" s="3">
        <f t="shared" si="3"/>
        <v>1</v>
      </c>
      <c r="C124" s="199"/>
      <c r="D124" s="202"/>
      <c r="E124" s="203"/>
      <c r="F124" s="193" t="str">
        <f>IF(Tab_Compteur_2[[#This Row],[Fin de période]]&gt;0,IFERROR(B124-A124+1,""),"")</f>
        <v/>
      </c>
      <c r="G124" t="str">
        <f>IF(IFERROR(IF(Str_TypeDonneesCpt2=Cpt_Index,Tab_Compteur_2[[#This Row],[Index]]-E123,Tab_Compteur_2[[#This Row],[Quantité]])/Tab_Compteur_2[[#This Row],[Delta Jour]],"")&lt;0,"",IFERROR(IF(Str_TypeDonneesCpt2=Cpt_Index,Tab_Compteur_2[[#This Row],[Index]]-E123,Tab_Compteur_2[[#This Row],[Quantité]])/Tab_Compteur_2[[#This Row],[Delta Jour]],""))</f>
        <v/>
      </c>
      <c r="H124" s="193" t="str">
        <f>IFERROR(Tab_Compteur_2[[#This Row],[Colonne1]]/Tab_Compteur_2[[#This Row],[Delta Jour]],"")</f>
        <v/>
      </c>
      <c r="I124" s="215" t="str">
        <f t="shared" si="2"/>
        <v/>
      </c>
      <c r="J124" s="203"/>
      <c r="K124" s="73"/>
      <c r="L124" s="73"/>
      <c r="M124" s="73"/>
    </row>
    <row r="125" spans="1:13">
      <c r="A125" s="3">
        <f t="shared" si="3"/>
        <v>1</v>
      </c>
      <c r="C125" s="199"/>
      <c r="D125" s="202"/>
      <c r="E125" s="203"/>
      <c r="F125" s="193" t="str">
        <f>IF(Tab_Compteur_2[[#This Row],[Fin de période]]&gt;0,IFERROR(B125-A125+1,""),"")</f>
        <v/>
      </c>
      <c r="G125" t="str">
        <f>IF(IFERROR(IF(Str_TypeDonneesCpt2=Cpt_Index,Tab_Compteur_2[[#This Row],[Index]]-E124,Tab_Compteur_2[[#This Row],[Quantité]])/Tab_Compteur_2[[#This Row],[Delta Jour]],"")&lt;0,"",IFERROR(IF(Str_TypeDonneesCpt2=Cpt_Index,Tab_Compteur_2[[#This Row],[Index]]-E124,Tab_Compteur_2[[#This Row],[Quantité]])/Tab_Compteur_2[[#This Row],[Delta Jour]],""))</f>
        <v/>
      </c>
      <c r="H125" s="193" t="str">
        <f>IFERROR(Tab_Compteur_2[[#This Row],[Colonne1]]/Tab_Compteur_2[[#This Row],[Delta Jour]],"")</f>
        <v/>
      </c>
      <c r="I125" s="215" t="str">
        <f t="shared" si="2"/>
        <v/>
      </c>
      <c r="J125" s="203"/>
      <c r="K125" s="73"/>
      <c r="L125" s="73"/>
      <c r="M125" s="73"/>
    </row>
    <row r="126" spans="1:13">
      <c r="A126" s="3">
        <f t="shared" si="3"/>
        <v>1</v>
      </c>
      <c r="C126" s="199"/>
      <c r="D126" s="202"/>
      <c r="E126" s="203"/>
      <c r="F126" s="193" t="str">
        <f>IF(Tab_Compteur_2[[#This Row],[Fin de période]]&gt;0,IFERROR(B126-A126+1,""),"")</f>
        <v/>
      </c>
      <c r="G126" t="str">
        <f>IF(IFERROR(IF(Str_TypeDonneesCpt2=Cpt_Index,Tab_Compteur_2[[#This Row],[Index]]-E125,Tab_Compteur_2[[#This Row],[Quantité]])/Tab_Compteur_2[[#This Row],[Delta Jour]],"")&lt;0,"",IFERROR(IF(Str_TypeDonneesCpt2=Cpt_Index,Tab_Compteur_2[[#This Row],[Index]]-E125,Tab_Compteur_2[[#This Row],[Quantité]])/Tab_Compteur_2[[#This Row],[Delta Jour]],""))</f>
        <v/>
      </c>
      <c r="H126" s="193" t="str">
        <f>IFERROR(Tab_Compteur_2[[#This Row],[Colonne1]]/Tab_Compteur_2[[#This Row],[Delta Jour]],"")</f>
        <v/>
      </c>
      <c r="I126" s="215" t="str">
        <f t="shared" si="2"/>
        <v/>
      </c>
      <c r="J126" s="203"/>
      <c r="K126" s="73"/>
      <c r="L126" s="73"/>
      <c r="M126" s="73"/>
    </row>
    <row r="127" spans="1:13">
      <c r="A127" s="3">
        <f t="shared" si="3"/>
        <v>1</v>
      </c>
      <c r="C127" s="199"/>
      <c r="D127" s="202"/>
      <c r="E127" s="203"/>
      <c r="F127" s="193" t="str">
        <f>IF(Tab_Compteur_2[[#This Row],[Fin de période]]&gt;0,IFERROR(B127-A127+1,""),"")</f>
        <v/>
      </c>
      <c r="G127" t="str">
        <f>IF(IFERROR(IF(Str_TypeDonneesCpt2=Cpt_Index,Tab_Compteur_2[[#This Row],[Index]]-E126,Tab_Compteur_2[[#This Row],[Quantité]])/Tab_Compteur_2[[#This Row],[Delta Jour]],"")&lt;0,"",IFERROR(IF(Str_TypeDonneesCpt2=Cpt_Index,Tab_Compteur_2[[#This Row],[Index]]-E126,Tab_Compteur_2[[#This Row],[Quantité]])/Tab_Compteur_2[[#This Row],[Delta Jour]],""))</f>
        <v/>
      </c>
      <c r="H127" s="193" t="str">
        <f>IFERROR(Tab_Compteur_2[[#This Row],[Colonne1]]/Tab_Compteur_2[[#This Row],[Delta Jour]],"")</f>
        <v/>
      </c>
      <c r="I127" s="215" t="str">
        <f t="shared" si="2"/>
        <v/>
      </c>
      <c r="J127" s="203"/>
      <c r="K127" s="73"/>
      <c r="L127" s="73"/>
      <c r="M127" s="73"/>
    </row>
    <row r="128" spans="1:13">
      <c r="A128" s="3">
        <f t="shared" si="3"/>
        <v>1</v>
      </c>
      <c r="C128" s="199"/>
      <c r="D128" s="202"/>
      <c r="E128" s="203"/>
      <c r="F128" s="193" t="str">
        <f>IF(Tab_Compteur_2[[#This Row],[Fin de période]]&gt;0,IFERROR(B128-A128+1,""),"")</f>
        <v/>
      </c>
      <c r="G128" t="str">
        <f>IF(IFERROR(IF(Str_TypeDonneesCpt2=Cpt_Index,Tab_Compteur_2[[#This Row],[Index]]-E127,Tab_Compteur_2[[#This Row],[Quantité]])/Tab_Compteur_2[[#This Row],[Delta Jour]],"")&lt;0,"",IFERROR(IF(Str_TypeDonneesCpt2=Cpt_Index,Tab_Compteur_2[[#This Row],[Index]]-E127,Tab_Compteur_2[[#This Row],[Quantité]])/Tab_Compteur_2[[#This Row],[Delta Jour]],""))</f>
        <v/>
      </c>
      <c r="H128" s="193" t="str">
        <f>IFERROR(Tab_Compteur_2[[#This Row],[Colonne1]]/Tab_Compteur_2[[#This Row],[Delta Jour]],"")</f>
        <v/>
      </c>
      <c r="I128" s="215" t="str">
        <f t="shared" si="2"/>
        <v/>
      </c>
      <c r="J128" s="203"/>
      <c r="K128" s="73"/>
      <c r="L128" s="73"/>
      <c r="M128" s="73"/>
    </row>
    <row r="129" spans="1:13">
      <c r="A129" s="3">
        <f t="shared" si="3"/>
        <v>1</v>
      </c>
      <c r="C129" s="199"/>
      <c r="D129" s="202"/>
      <c r="E129" s="203"/>
      <c r="F129" s="193" t="str">
        <f>IF(Tab_Compteur_2[[#This Row],[Fin de période]]&gt;0,IFERROR(B129-A129+1,""),"")</f>
        <v/>
      </c>
      <c r="G129" t="str">
        <f>IF(IFERROR(IF(Str_TypeDonneesCpt2=Cpt_Index,Tab_Compteur_2[[#This Row],[Index]]-E128,Tab_Compteur_2[[#This Row],[Quantité]])/Tab_Compteur_2[[#This Row],[Delta Jour]],"")&lt;0,"",IFERROR(IF(Str_TypeDonneesCpt2=Cpt_Index,Tab_Compteur_2[[#This Row],[Index]]-E128,Tab_Compteur_2[[#This Row],[Quantité]])/Tab_Compteur_2[[#This Row],[Delta Jour]],""))</f>
        <v/>
      </c>
      <c r="H129" s="193" t="str">
        <f>IFERROR(Tab_Compteur_2[[#This Row],[Colonne1]]/Tab_Compteur_2[[#This Row],[Delta Jour]],"")</f>
        <v/>
      </c>
      <c r="I129" s="215" t="str">
        <f t="shared" si="2"/>
        <v/>
      </c>
      <c r="J129" s="203"/>
      <c r="K129" s="73"/>
      <c r="L129" s="73"/>
      <c r="M129" s="73"/>
    </row>
    <row r="130" spans="1:13">
      <c r="A130" s="3">
        <f t="shared" si="3"/>
        <v>1</v>
      </c>
      <c r="C130" s="199"/>
      <c r="D130" s="202"/>
      <c r="E130" s="203"/>
      <c r="F130" s="193" t="str">
        <f>IF(Tab_Compteur_2[[#This Row],[Fin de période]]&gt;0,IFERROR(B130-A130+1,""),"")</f>
        <v/>
      </c>
      <c r="G130" t="str">
        <f>IF(IFERROR(IF(Str_TypeDonneesCpt2=Cpt_Index,Tab_Compteur_2[[#This Row],[Index]]-E129,Tab_Compteur_2[[#This Row],[Quantité]])/Tab_Compteur_2[[#This Row],[Delta Jour]],"")&lt;0,"",IFERROR(IF(Str_TypeDonneesCpt2=Cpt_Index,Tab_Compteur_2[[#This Row],[Index]]-E129,Tab_Compteur_2[[#This Row],[Quantité]])/Tab_Compteur_2[[#This Row],[Delta Jour]],""))</f>
        <v/>
      </c>
      <c r="H130" s="193" t="str">
        <f>IFERROR(Tab_Compteur_2[[#This Row],[Colonne1]]/Tab_Compteur_2[[#This Row],[Delta Jour]],"")</f>
        <v/>
      </c>
      <c r="I130" s="215" t="str">
        <f t="shared" si="2"/>
        <v/>
      </c>
      <c r="J130" s="203"/>
      <c r="K130" s="73"/>
      <c r="L130" s="73"/>
      <c r="M130" s="73"/>
    </row>
    <row r="131" spans="1:13">
      <c r="A131" s="3">
        <f t="shared" si="3"/>
        <v>1</v>
      </c>
      <c r="C131" s="199"/>
      <c r="D131" s="202"/>
      <c r="E131" s="203"/>
      <c r="F131" s="193" t="str">
        <f>IF(Tab_Compteur_2[[#This Row],[Fin de période]]&gt;0,IFERROR(B131-A131+1,""),"")</f>
        <v/>
      </c>
      <c r="G131" t="str">
        <f>IF(IFERROR(IF(Str_TypeDonneesCpt2=Cpt_Index,Tab_Compteur_2[[#This Row],[Index]]-E130,Tab_Compteur_2[[#This Row],[Quantité]])/Tab_Compteur_2[[#This Row],[Delta Jour]],"")&lt;0,"",IFERROR(IF(Str_TypeDonneesCpt2=Cpt_Index,Tab_Compteur_2[[#This Row],[Index]]-E130,Tab_Compteur_2[[#This Row],[Quantité]])/Tab_Compteur_2[[#This Row],[Delta Jour]],""))</f>
        <v/>
      </c>
      <c r="H131" s="193" t="str">
        <f>IFERROR(Tab_Compteur_2[[#This Row],[Colonne1]]/Tab_Compteur_2[[#This Row],[Delta Jour]],"")</f>
        <v/>
      </c>
      <c r="I131" s="215" t="str">
        <f t="shared" ref="I131:I194" si="4">G131</f>
        <v/>
      </c>
      <c r="J131" s="203"/>
      <c r="K131" s="73"/>
      <c r="L131" s="73"/>
      <c r="M131" s="73"/>
    </row>
    <row r="132" spans="1:13">
      <c r="A132" s="3">
        <f t="shared" si="3"/>
        <v>1</v>
      </c>
      <c r="C132" s="199"/>
      <c r="D132" s="202"/>
      <c r="E132" s="203"/>
      <c r="F132" s="193" t="str">
        <f>IF(Tab_Compteur_2[[#This Row],[Fin de période]]&gt;0,IFERROR(B132-A132+1,""),"")</f>
        <v/>
      </c>
      <c r="G132" t="str">
        <f>IF(IFERROR(IF(Str_TypeDonneesCpt2=Cpt_Index,Tab_Compteur_2[[#This Row],[Index]]-E131,Tab_Compteur_2[[#This Row],[Quantité]])/Tab_Compteur_2[[#This Row],[Delta Jour]],"")&lt;0,"",IFERROR(IF(Str_TypeDonneesCpt2=Cpt_Index,Tab_Compteur_2[[#This Row],[Index]]-E131,Tab_Compteur_2[[#This Row],[Quantité]])/Tab_Compteur_2[[#This Row],[Delta Jour]],""))</f>
        <v/>
      </c>
      <c r="H132" s="193" t="str">
        <f>IFERROR(Tab_Compteur_2[[#This Row],[Colonne1]]/Tab_Compteur_2[[#This Row],[Delta Jour]],"")</f>
        <v/>
      </c>
      <c r="I132" s="215" t="str">
        <f t="shared" si="4"/>
        <v/>
      </c>
      <c r="J132" s="203"/>
      <c r="K132" s="73"/>
      <c r="L132" s="73"/>
      <c r="M132" s="73"/>
    </row>
    <row r="133" spans="1:13">
      <c r="A133" s="3">
        <f t="shared" si="3"/>
        <v>1</v>
      </c>
      <c r="C133" s="199"/>
      <c r="D133" s="202"/>
      <c r="E133" s="203"/>
      <c r="F133" s="193" t="str">
        <f>IF(Tab_Compteur_2[[#This Row],[Fin de période]]&gt;0,IFERROR(B133-A133+1,""),"")</f>
        <v/>
      </c>
      <c r="G133" t="str">
        <f>IF(IFERROR(IF(Str_TypeDonneesCpt2=Cpt_Index,Tab_Compteur_2[[#This Row],[Index]]-E132,Tab_Compteur_2[[#This Row],[Quantité]])/Tab_Compteur_2[[#This Row],[Delta Jour]],"")&lt;0,"",IFERROR(IF(Str_TypeDonneesCpt2=Cpt_Index,Tab_Compteur_2[[#This Row],[Index]]-E132,Tab_Compteur_2[[#This Row],[Quantité]])/Tab_Compteur_2[[#This Row],[Delta Jour]],""))</f>
        <v/>
      </c>
      <c r="H133" s="193" t="str">
        <f>IFERROR(Tab_Compteur_2[[#This Row],[Colonne1]]/Tab_Compteur_2[[#This Row],[Delta Jour]],"")</f>
        <v/>
      </c>
      <c r="I133" s="215" t="str">
        <f t="shared" si="4"/>
        <v/>
      </c>
      <c r="J133" s="203"/>
      <c r="K133" s="73"/>
      <c r="L133" s="73"/>
      <c r="M133" s="73"/>
    </row>
    <row r="134" spans="1:13">
      <c r="A134" s="3">
        <f t="shared" ref="A134:A197" si="5">IFERROR(B133+1,0)</f>
        <v>1</v>
      </c>
      <c r="C134" s="199"/>
      <c r="D134" s="202"/>
      <c r="E134" s="203"/>
      <c r="F134" s="193" t="str">
        <f>IF(Tab_Compteur_2[[#This Row],[Fin de période]]&gt;0,IFERROR(B134-A134+1,""),"")</f>
        <v/>
      </c>
      <c r="G134" t="str">
        <f>IF(IFERROR(IF(Str_TypeDonneesCpt2=Cpt_Index,Tab_Compteur_2[[#This Row],[Index]]-E133,Tab_Compteur_2[[#This Row],[Quantité]])/Tab_Compteur_2[[#This Row],[Delta Jour]],"")&lt;0,"",IFERROR(IF(Str_TypeDonneesCpt2=Cpt_Index,Tab_Compteur_2[[#This Row],[Index]]-E133,Tab_Compteur_2[[#This Row],[Quantité]])/Tab_Compteur_2[[#This Row],[Delta Jour]],""))</f>
        <v/>
      </c>
      <c r="H134" s="193" t="str">
        <f>IFERROR(Tab_Compteur_2[[#This Row],[Colonne1]]/Tab_Compteur_2[[#This Row],[Delta Jour]],"")</f>
        <v/>
      </c>
      <c r="I134" s="215" t="str">
        <f t="shared" si="4"/>
        <v/>
      </c>
      <c r="J134" s="203"/>
      <c r="K134" s="73"/>
      <c r="L134" s="73"/>
      <c r="M134" s="73"/>
    </row>
    <row r="135" spans="1:13">
      <c r="A135" s="3">
        <f t="shared" si="5"/>
        <v>1</v>
      </c>
      <c r="C135" s="199"/>
      <c r="D135" s="202"/>
      <c r="E135" s="203"/>
      <c r="F135" s="193" t="str">
        <f>IF(Tab_Compteur_2[[#This Row],[Fin de période]]&gt;0,IFERROR(B135-A135+1,""),"")</f>
        <v/>
      </c>
      <c r="G135" t="str">
        <f>IF(IFERROR(IF(Str_TypeDonneesCpt2=Cpt_Index,Tab_Compteur_2[[#This Row],[Index]]-E134,Tab_Compteur_2[[#This Row],[Quantité]])/Tab_Compteur_2[[#This Row],[Delta Jour]],"")&lt;0,"",IFERROR(IF(Str_TypeDonneesCpt2=Cpt_Index,Tab_Compteur_2[[#This Row],[Index]]-E134,Tab_Compteur_2[[#This Row],[Quantité]])/Tab_Compteur_2[[#This Row],[Delta Jour]],""))</f>
        <v/>
      </c>
      <c r="H135" s="193" t="str">
        <f>IFERROR(Tab_Compteur_2[[#This Row],[Colonne1]]/Tab_Compteur_2[[#This Row],[Delta Jour]],"")</f>
        <v/>
      </c>
      <c r="I135" s="215" t="str">
        <f t="shared" si="4"/>
        <v/>
      </c>
      <c r="J135" s="203"/>
      <c r="K135" s="73"/>
      <c r="L135" s="73"/>
      <c r="M135" s="73"/>
    </row>
    <row r="136" spans="1:13">
      <c r="A136" s="3">
        <f t="shared" si="5"/>
        <v>1</v>
      </c>
      <c r="C136" s="199"/>
      <c r="D136" s="202"/>
      <c r="E136" s="203"/>
      <c r="F136" s="193" t="str">
        <f>IF(Tab_Compteur_2[[#This Row],[Fin de période]]&gt;0,IFERROR(B136-A136+1,""),"")</f>
        <v/>
      </c>
      <c r="G136" t="str">
        <f>IF(IFERROR(IF(Str_TypeDonneesCpt2=Cpt_Index,Tab_Compteur_2[[#This Row],[Index]]-E135,Tab_Compteur_2[[#This Row],[Quantité]])/Tab_Compteur_2[[#This Row],[Delta Jour]],"")&lt;0,"",IFERROR(IF(Str_TypeDonneesCpt2=Cpt_Index,Tab_Compteur_2[[#This Row],[Index]]-E135,Tab_Compteur_2[[#This Row],[Quantité]])/Tab_Compteur_2[[#This Row],[Delta Jour]],""))</f>
        <v/>
      </c>
      <c r="H136" s="193" t="str">
        <f>IFERROR(Tab_Compteur_2[[#This Row],[Colonne1]]/Tab_Compteur_2[[#This Row],[Delta Jour]],"")</f>
        <v/>
      </c>
      <c r="I136" s="215" t="str">
        <f t="shared" si="4"/>
        <v/>
      </c>
      <c r="J136" s="203"/>
      <c r="K136" s="73"/>
      <c r="L136" s="73"/>
      <c r="M136" s="73"/>
    </row>
    <row r="137" spans="1:13">
      <c r="A137" s="3">
        <f t="shared" si="5"/>
        <v>1</v>
      </c>
      <c r="C137" s="199"/>
      <c r="D137" s="202"/>
      <c r="E137" s="203"/>
      <c r="F137" s="193" t="str">
        <f>IF(Tab_Compteur_2[[#This Row],[Fin de période]]&gt;0,IFERROR(B137-A137+1,""),"")</f>
        <v/>
      </c>
      <c r="G137" t="str">
        <f>IF(IFERROR(IF(Str_TypeDonneesCpt2=Cpt_Index,Tab_Compteur_2[[#This Row],[Index]]-E136,Tab_Compteur_2[[#This Row],[Quantité]])/Tab_Compteur_2[[#This Row],[Delta Jour]],"")&lt;0,"",IFERROR(IF(Str_TypeDonneesCpt2=Cpt_Index,Tab_Compteur_2[[#This Row],[Index]]-E136,Tab_Compteur_2[[#This Row],[Quantité]])/Tab_Compteur_2[[#This Row],[Delta Jour]],""))</f>
        <v/>
      </c>
      <c r="H137" s="193" t="str">
        <f>IFERROR(Tab_Compteur_2[[#This Row],[Colonne1]]/Tab_Compteur_2[[#This Row],[Delta Jour]],"")</f>
        <v/>
      </c>
      <c r="I137" s="215" t="str">
        <f t="shared" si="4"/>
        <v/>
      </c>
      <c r="J137" s="203"/>
      <c r="K137" s="73"/>
      <c r="L137" s="73"/>
      <c r="M137" s="73"/>
    </row>
    <row r="138" spans="1:13">
      <c r="A138" s="3">
        <f t="shared" si="5"/>
        <v>1</v>
      </c>
      <c r="C138" s="199"/>
      <c r="D138" s="202"/>
      <c r="E138" s="203"/>
      <c r="F138" s="193" t="str">
        <f>IF(Tab_Compteur_2[[#This Row],[Fin de période]]&gt;0,IFERROR(B138-A138+1,""),"")</f>
        <v/>
      </c>
      <c r="G138" t="str">
        <f>IF(IFERROR(IF(Str_TypeDonneesCpt2=Cpt_Index,Tab_Compteur_2[[#This Row],[Index]]-E137,Tab_Compteur_2[[#This Row],[Quantité]])/Tab_Compteur_2[[#This Row],[Delta Jour]],"")&lt;0,"",IFERROR(IF(Str_TypeDonneesCpt2=Cpt_Index,Tab_Compteur_2[[#This Row],[Index]]-E137,Tab_Compteur_2[[#This Row],[Quantité]])/Tab_Compteur_2[[#This Row],[Delta Jour]],""))</f>
        <v/>
      </c>
      <c r="H138" s="193" t="str">
        <f>IFERROR(Tab_Compteur_2[[#This Row],[Colonne1]]/Tab_Compteur_2[[#This Row],[Delta Jour]],"")</f>
        <v/>
      </c>
      <c r="I138" s="215" t="str">
        <f t="shared" si="4"/>
        <v/>
      </c>
      <c r="J138" s="203"/>
      <c r="K138" s="73"/>
      <c r="L138" s="73"/>
      <c r="M138" s="73"/>
    </row>
    <row r="139" spans="1:13">
      <c r="A139" s="3">
        <f t="shared" si="5"/>
        <v>1</v>
      </c>
      <c r="C139" s="199"/>
      <c r="D139" s="202"/>
      <c r="E139" s="203"/>
      <c r="F139" s="193" t="str">
        <f>IF(Tab_Compteur_2[[#This Row],[Fin de période]]&gt;0,IFERROR(B139-A139+1,""),"")</f>
        <v/>
      </c>
      <c r="G139" t="str">
        <f>IF(IFERROR(IF(Str_TypeDonneesCpt2=Cpt_Index,Tab_Compteur_2[[#This Row],[Index]]-E138,Tab_Compteur_2[[#This Row],[Quantité]])/Tab_Compteur_2[[#This Row],[Delta Jour]],"")&lt;0,"",IFERROR(IF(Str_TypeDonneesCpt2=Cpt_Index,Tab_Compteur_2[[#This Row],[Index]]-E138,Tab_Compteur_2[[#This Row],[Quantité]])/Tab_Compteur_2[[#This Row],[Delta Jour]],""))</f>
        <v/>
      </c>
      <c r="H139" s="193" t="str">
        <f>IFERROR(Tab_Compteur_2[[#This Row],[Colonne1]]/Tab_Compteur_2[[#This Row],[Delta Jour]],"")</f>
        <v/>
      </c>
      <c r="I139" s="215" t="str">
        <f t="shared" si="4"/>
        <v/>
      </c>
      <c r="J139" s="203"/>
      <c r="K139" s="73"/>
      <c r="L139" s="73"/>
      <c r="M139" s="73"/>
    </row>
    <row r="140" spans="1:13">
      <c r="A140" s="3">
        <f t="shared" si="5"/>
        <v>1</v>
      </c>
      <c r="C140" s="199"/>
      <c r="D140" s="202"/>
      <c r="E140" s="203"/>
      <c r="F140" s="193" t="str">
        <f>IF(Tab_Compteur_2[[#This Row],[Fin de période]]&gt;0,IFERROR(B140-A140+1,""),"")</f>
        <v/>
      </c>
      <c r="G140" t="str">
        <f>IF(IFERROR(IF(Str_TypeDonneesCpt2=Cpt_Index,Tab_Compteur_2[[#This Row],[Index]]-E139,Tab_Compteur_2[[#This Row],[Quantité]])/Tab_Compteur_2[[#This Row],[Delta Jour]],"")&lt;0,"",IFERROR(IF(Str_TypeDonneesCpt2=Cpt_Index,Tab_Compteur_2[[#This Row],[Index]]-E139,Tab_Compteur_2[[#This Row],[Quantité]])/Tab_Compteur_2[[#This Row],[Delta Jour]],""))</f>
        <v/>
      </c>
      <c r="H140" s="193" t="str">
        <f>IFERROR(Tab_Compteur_2[[#This Row],[Colonne1]]/Tab_Compteur_2[[#This Row],[Delta Jour]],"")</f>
        <v/>
      </c>
      <c r="I140" s="215" t="str">
        <f t="shared" si="4"/>
        <v/>
      </c>
      <c r="J140" s="203"/>
      <c r="K140" s="73"/>
      <c r="L140" s="73"/>
      <c r="M140" s="73"/>
    </row>
    <row r="141" spans="1:13">
      <c r="A141" s="3">
        <f t="shared" si="5"/>
        <v>1</v>
      </c>
      <c r="C141" s="199"/>
      <c r="D141" s="202"/>
      <c r="E141" s="203"/>
      <c r="F141" s="193" t="str">
        <f>IF(Tab_Compteur_2[[#This Row],[Fin de période]]&gt;0,IFERROR(B141-A141+1,""),"")</f>
        <v/>
      </c>
      <c r="G141" t="str">
        <f>IF(IFERROR(IF(Str_TypeDonneesCpt2=Cpt_Index,Tab_Compteur_2[[#This Row],[Index]]-E140,Tab_Compteur_2[[#This Row],[Quantité]])/Tab_Compteur_2[[#This Row],[Delta Jour]],"")&lt;0,"",IFERROR(IF(Str_TypeDonneesCpt2=Cpt_Index,Tab_Compteur_2[[#This Row],[Index]]-E140,Tab_Compteur_2[[#This Row],[Quantité]])/Tab_Compteur_2[[#This Row],[Delta Jour]],""))</f>
        <v/>
      </c>
      <c r="H141" s="193" t="str">
        <f>IFERROR(Tab_Compteur_2[[#This Row],[Colonne1]]/Tab_Compteur_2[[#This Row],[Delta Jour]],"")</f>
        <v/>
      </c>
      <c r="I141" s="215" t="str">
        <f t="shared" si="4"/>
        <v/>
      </c>
      <c r="J141" s="203"/>
      <c r="K141" s="73"/>
      <c r="L141" s="73"/>
      <c r="M141" s="73"/>
    </row>
    <row r="142" spans="1:13">
      <c r="A142" s="3">
        <f t="shared" si="5"/>
        <v>1</v>
      </c>
      <c r="C142" s="199"/>
      <c r="D142" s="202"/>
      <c r="E142" s="203"/>
      <c r="F142" s="193" t="str">
        <f>IF(Tab_Compteur_2[[#This Row],[Fin de période]]&gt;0,IFERROR(B142-A142+1,""),"")</f>
        <v/>
      </c>
      <c r="G142" t="str">
        <f>IF(IFERROR(IF(Str_TypeDonneesCpt2=Cpt_Index,Tab_Compteur_2[[#This Row],[Index]]-E141,Tab_Compteur_2[[#This Row],[Quantité]])/Tab_Compteur_2[[#This Row],[Delta Jour]],"")&lt;0,"",IFERROR(IF(Str_TypeDonneesCpt2=Cpt_Index,Tab_Compteur_2[[#This Row],[Index]]-E141,Tab_Compteur_2[[#This Row],[Quantité]])/Tab_Compteur_2[[#This Row],[Delta Jour]],""))</f>
        <v/>
      </c>
      <c r="H142" s="193" t="str">
        <f>IFERROR(Tab_Compteur_2[[#This Row],[Colonne1]]/Tab_Compteur_2[[#This Row],[Delta Jour]],"")</f>
        <v/>
      </c>
      <c r="I142" s="215" t="str">
        <f t="shared" si="4"/>
        <v/>
      </c>
      <c r="J142" s="203"/>
      <c r="K142" s="73"/>
      <c r="L142" s="73"/>
      <c r="M142" s="73"/>
    </row>
    <row r="143" spans="1:13">
      <c r="A143" s="3">
        <f t="shared" si="5"/>
        <v>1</v>
      </c>
      <c r="C143" s="199"/>
      <c r="D143" s="202"/>
      <c r="E143" s="203"/>
      <c r="F143" s="193" t="str">
        <f>IF(Tab_Compteur_2[[#This Row],[Fin de période]]&gt;0,IFERROR(B143-A143+1,""),"")</f>
        <v/>
      </c>
      <c r="G143" t="str">
        <f>IF(IFERROR(IF(Str_TypeDonneesCpt2=Cpt_Index,Tab_Compteur_2[[#This Row],[Index]]-E142,Tab_Compteur_2[[#This Row],[Quantité]])/Tab_Compteur_2[[#This Row],[Delta Jour]],"")&lt;0,"",IFERROR(IF(Str_TypeDonneesCpt2=Cpt_Index,Tab_Compteur_2[[#This Row],[Index]]-E142,Tab_Compteur_2[[#This Row],[Quantité]])/Tab_Compteur_2[[#This Row],[Delta Jour]],""))</f>
        <v/>
      </c>
      <c r="H143" s="193" t="str">
        <f>IFERROR(Tab_Compteur_2[[#This Row],[Colonne1]]/Tab_Compteur_2[[#This Row],[Delta Jour]],"")</f>
        <v/>
      </c>
      <c r="I143" s="215" t="str">
        <f t="shared" si="4"/>
        <v/>
      </c>
      <c r="J143" s="203"/>
      <c r="K143" s="73"/>
      <c r="L143" s="73"/>
      <c r="M143" s="73"/>
    </row>
    <row r="144" spans="1:13">
      <c r="A144" s="3">
        <f t="shared" si="5"/>
        <v>1</v>
      </c>
      <c r="C144" s="199"/>
      <c r="D144" s="202"/>
      <c r="E144" s="203"/>
      <c r="F144" s="193" t="str">
        <f>IF(Tab_Compteur_2[[#This Row],[Fin de période]]&gt;0,IFERROR(B144-A144+1,""),"")</f>
        <v/>
      </c>
      <c r="G144" t="str">
        <f>IF(IFERROR(IF(Str_TypeDonneesCpt2=Cpt_Index,Tab_Compteur_2[[#This Row],[Index]]-E143,Tab_Compteur_2[[#This Row],[Quantité]])/Tab_Compteur_2[[#This Row],[Delta Jour]],"")&lt;0,"",IFERROR(IF(Str_TypeDonneesCpt2=Cpt_Index,Tab_Compteur_2[[#This Row],[Index]]-E143,Tab_Compteur_2[[#This Row],[Quantité]])/Tab_Compteur_2[[#This Row],[Delta Jour]],""))</f>
        <v/>
      </c>
      <c r="H144" s="193" t="str">
        <f>IFERROR(Tab_Compteur_2[[#This Row],[Colonne1]]/Tab_Compteur_2[[#This Row],[Delta Jour]],"")</f>
        <v/>
      </c>
      <c r="I144" s="215" t="str">
        <f t="shared" si="4"/>
        <v/>
      </c>
      <c r="J144" s="203"/>
      <c r="K144" s="73"/>
      <c r="L144" s="73"/>
      <c r="M144" s="73"/>
    </row>
    <row r="145" spans="1:13">
      <c r="A145" s="3">
        <f t="shared" si="5"/>
        <v>1</v>
      </c>
      <c r="C145" s="199"/>
      <c r="D145" s="202"/>
      <c r="E145" s="203"/>
      <c r="F145" s="193" t="str">
        <f>IF(Tab_Compteur_2[[#This Row],[Fin de période]]&gt;0,IFERROR(B145-A145+1,""),"")</f>
        <v/>
      </c>
      <c r="G145" t="str">
        <f>IF(IFERROR(IF(Str_TypeDonneesCpt2=Cpt_Index,Tab_Compteur_2[[#This Row],[Index]]-E144,Tab_Compteur_2[[#This Row],[Quantité]])/Tab_Compteur_2[[#This Row],[Delta Jour]],"")&lt;0,"",IFERROR(IF(Str_TypeDonneesCpt2=Cpt_Index,Tab_Compteur_2[[#This Row],[Index]]-E144,Tab_Compteur_2[[#This Row],[Quantité]])/Tab_Compteur_2[[#This Row],[Delta Jour]],""))</f>
        <v/>
      </c>
      <c r="H145" s="193" t="str">
        <f>IFERROR(Tab_Compteur_2[[#This Row],[Colonne1]]/Tab_Compteur_2[[#This Row],[Delta Jour]],"")</f>
        <v/>
      </c>
      <c r="I145" s="215" t="str">
        <f t="shared" si="4"/>
        <v/>
      </c>
      <c r="J145" s="203"/>
      <c r="K145" s="73"/>
      <c r="L145" s="73"/>
      <c r="M145" s="73"/>
    </row>
    <row r="146" spans="1:13">
      <c r="A146" s="3">
        <f t="shared" si="5"/>
        <v>1</v>
      </c>
      <c r="C146" s="199"/>
      <c r="D146" s="202"/>
      <c r="E146" s="203"/>
      <c r="F146" s="193" t="str">
        <f>IF(Tab_Compteur_2[[#This Row],[Fin de période]]&gt;0,IFERROR(B146-A146+1,""),"")</f>
        <v/>
      </c>
      <c r="G146" t="str">
        <f>IF(IFERROR(IF(Str_TypeDonneesCpt2=Cpt_Index,Tab_Compteur_2[[#This Row],[Index]]-E145,Tab_Compteur_2[[#This Row],[Quantité]])/Tab_Compteur_2[[#This Row],[Delta Jour]],"")&lt;0,"",IFERROR(IF(Str_TypeDonneesCpt2=Cpt_Index,Tab_Compteur_2[[#This Row],[Index]]-E145,Tab_Compteur_2[[#This Row],[Quantité]])/Tab_Compteur_2[[#This Row],[Delta Jour]],""))</f>
        <v/>
      </c>
      <c r="H146" s="193" t="str">
        <f>IFERROR(Tab_Compteur_2[[#This Row],[Colonne1]]/Tab_Compteur_2[[#This Row],[Delta Jour]],"")</f>
        <v/>
      </c>
      <c r="I146" s="215" t="str">
        <f t="shared" si="4"/>
        <v/>
      </c>
      <c r="J146" s="203"/>
      <c r="K146" s="73"/>
      <c r="L146" s="73"/>
      <c r="M146" s="73"/>
    </row>
    <row r="147" spans="1:13">
      <c r="A147" s="3">
        <f t="shared" si="5"/>
        <v>1</v>
      </c>
      <c r="C147" s="199"/>
      <c r="D147" s="202"/>
      <c r="E147" s="203"/>
      <c r="F147" s="193" t="str">
        <f>IF(Tab_Compteur_2[[#This Row],[Fin de période]]&gt;0,IFERROR(B147-A147+1,""),"")</f>
        <v/>
      </c>
      <c r="G147" t="str">
        <f>IF(IFERROR(IF(Str_TypeDonneesCpt2=Cpt_Index,Tab_Compteur_2[[#This Row],[Index]]-E146,Tab_Compteur_2[[#This Row],[Quantité]])/Tab_Compteur_2[[#This Row],[Delta Jour]],"")&lt;0,"",IFERROR(IF(Str_TypeDonneesCpt2=Cpt_Index,Tab_Compteur_2[[#This Row],[Index]]-E146,Tab_Compteur_2[[#This Row],[Quantité]])/Tab_Compteur_2[[#This Row],[Delta Jour]],""))</f>
        <v/>
      </c>
      <c r="H147" s="193" t="str">
        <f>IFERROR(Tab_Compteur_2[[#This Row],[Colonne1]]/Tab_Compteur_2[[#This Row],[Delta Jour]],"")</f>
        <v/>
      </c>
      <c r="I147" s="215" t="str">
        <f t="shared" si="4"/>
        <v/>
      </c>
      <c r="J147" s="203"/>
      <c r="K147" s="73"/>
      <c r="L147" s="73"/>
      <c r="M147" s="73"/>
    </row>
    <row r="148" spans="1:13">
      <c r="A148" s="3">
        <f t="shared" si="5"/>
        <v>1</v>
      </c>
      <c r="C148" s="196"/>
      <c r="D148" s="202"/>
      <c r="E148" s="203"/>
      <c r="F148" s="193" t="str">
        <f>IF(Tab_Compteur_2[[#This Row],[Fin de période]]&gt;0,IFERROR(B148-A148+1,""),"")</f>
        <v/>
      </c>
      <c r="G148" t="str">
        <f>IF(IFERROR(IF(Str_TypeDonneesCpt2=Cpt_Index,Tab_Compteur_2[[#This Row],[Index]]-E147,Tab_Compteur_2[[#This Row],[Quantité]])/Tab_Compteur_2[[#This Row],[Delta Jour]],"")&lt;0,"",IFERROR(IF(Str_TypeDonneesCpt2=Cpt_Index,Tab_Compteur_2[[#This Row],[Index]]-E147,Tab_Compteur_2[[#This Row],[Quantité]])/Tab_Compteur_2[[#This Row],[Delta Jour]],""))</f>
        <v/>
      </c>
      <c r="H148" s="193" t="str">
        <f>IFERROR(Tab_Compteur_2[[#This Row],[Colonne1]]/Tab_Compteur_2[[#This Row],[Delta Jour]],"")</f>
        <v/>
      </c>
      <c r="I148" s="215" t="str">
        <f t="shared" si="4"/>
        <v/>
      </c>
      <c r="J148" s="203"/>
      <c r="K148" s="73"/>
      <c r="L148" s="73"/>
      <c r="M148" s="73"/>
    </row>
    <row r="149" spans="1:13">
      <c r="A149" s="3">
        <f t="shared" si="5"/>
        <v>1</v>
      </c>
      <c r="C149" s="196"/>
      <c r="D149" s="202"/>
      <c r="E149" s="203"/>
      <c r="F149" s="193" t="str">
        <f>IF(Tab_Compteur_2[[#This Row],[Fin de période]]&gt;0,IFERROR(B149-A149+1,""),"")</f>
        <v/>
      </c>
      <c r="G149" t="str">
        <f>IF(IFERROR(IF(Str_TypeDonneesCpt2=Cpt_Index,Tab_Compteur_2[[#This Row],[Index]]-E148,Tab_Compteur_2[[#This Row],[Quantité]])/Tab_Compteur_2[[#This Row],[Delta Jour]],"")&lt;0,"",IFERROR(IF(Str_TypeDonneesCpt2=Cpt_Index,Tab_Compteur_2[[#This Row],[Index]]-E148,Tab_Compteur_2[[#This Row],[Quantité]])/Tab_Compteur_2[[#This Row],[Delta Jour]],""))</f>
        <v/>
      </c>
      <c r="H149" s="193" t="str">
        <f>IFERROR(Tab_Compteur_2[[#This Row],[Colonne1]]/Tab_Compteur_2[[#This Row],[Delta Jour]],"")</f>
        <v/>
      </c>
      <c r="I149" s="215" t="str">
        <f t="shared" si="4"/>
        <v/>
      </c>
      <c r="J149" s="203"/>
      <c r="K149" s="73"/>
      <c r="L149" s="73"/>
      <c r="M149" s="73"/>
    </row>
    <row r="150" spans="1:13">
      <c r="A150" s="3">
        <f t="shared" si="5"/>
        <v>1</v>
      </c>
      <c r="C150" s="196"/>
      <c r="D150" s="202"/>
      <c r="E150" s="203"/>
      <c r="F150" s="193" t="str">
        <f>IF(Tab_Compteur_2[[#This Row],[Fin de période]]&gt;0,IFERROR(B150-A150+1,""),"")</f>
        <v/>
      </c>
      <c r="G150" t="str">
        <f>IF(IFERROR(IF(Str_TypeDonneesCpt2=Cpt_Index,Tab_Compteur_2[[#This Row],[Index]]-E149,Tab_Compteur_2[[#This Row],[Quantité]])/Tab_Compteur_2[[#This Row],[Delta Jour]],"")&lt;0,"",IFERROR(IF(Str_TypeDonneesCpt2=Cpt_Index,Tab_Compteur_2[[#This Row],[Index]]-E149,Tab_Compteur_2[[#This Row],[Quantité]])/Tab_Compteur_2[[#This Row],[Delta Jour]],""))</f>
        <v/>
      </c>
      <c r="H150" s="193" t="str">
        <f>IFERROR(Tab_Compteur_2[[#This Row],[Colonne1]]/Tab_Compteur_2[[#This Row],[Delta Jour]],"")</f>
        <v/>
      </c>
      <c r="I150" s="215" t="str">
        <f t="shared" si="4"/>
        <v/>
      </c>
      <c r="J150" s="203"/>
      <c r="K150" s="73"/>
      <c r="L150" s="73"/>
      <c r="M150" s="73"/>
    </row>
    <row r="151" spans="1:13">
      <c r="A151" s="3">
        <f t="shared" si="5"/>
        <v>1</v>
      </c>
      <c r="C151" s="196"/>
      <c r="D151" s="202"/>
      <c r="E151" s="203"/>
      <c r="F151" s="193" t="str">
        <f>IF(Tab_Compteur_2[[#This Row],[Fin de période]]&gt;0,IFERROR(B151-A151+1,""),"")</f>
        <v/>
      </c>
      <c r="G151" t="str">
        <f>IF(IFERROR(IF(Str_TypeDonneesCpt2=Cpt_Index,Tab_Compteur_2[[#This Row],[Index]]-E150,Tab_Compteur_2[[#This Row],[Quantité]])/Tab_Compteur_2[[#This Row],[Delta Jour]],"")&lt;0,"",IFERROR(IF(Str_TypeDonneesCpt2=Cpt_Index,Tab_Compteur_2[[#This Row],[Index]]-E150,Tab_Compteur_2[[#This Row],[Quantité]])/Tab_Compteur_2[[#This Row],[Delta Jour]],""))</f>
        <v/>
      </c>
      <c r="H151" s="193" t="str">
        <f>IFERROR(Tab_Compteur_2[[#This Row],[Colonne1]]/Tab_Compteur_2[[#This Row],[Delta Jour]],"")</f>
        <v/>
      </c>
      <c r="I151" s="215" t="str">
        <f t="shared" si="4"/>
        <v/>
      </c>
      <c r="J151" s="203"/>
      <c r="K151" s="73"/>
      <c r="L151" s="73"/>
      <c r="M151" s="73"/>
    </row>
    <row r="152" spans="1:13">
      <c r="A152" s="3">
        <f t="shared" si="5"/>
        <v>1</v>
      </c>
      <c r="C152" s="196"/>
      <c r="D152" s="202"/>
      <c r="E152" s="203"/>
      <c r="F152" s="193" t="str">
        <f>IF(Tab_Compteur_2[[#This Row],[Fin de période]]&gt;0,IFERROR(B152-A152+1,""),"")</f>
        <v/>
      </c>
      <c r="G152" t="str">
        <f>IF(IFERROR(IF(Str_TypeDonneesCpt2=Cpt_Index,Tab_Compteur_2[[#This Row],[Index]]-E151,Tab_Compteur_2[[#This Row],[Quantité]])/Tab_Compteur_2[[#This Row],[Delta Jour]],"")&lt;0,"",IFERROR(IF(Str_TypeDonneesCpt2=Cpt_Index,Tab_Compteur_2[[#This Row],[Index]]-E151,Tab_Compteur_2[[#This Row],[Quantité]])/Tab_Compteur_2[[#This Row],[Delta Jour]],""))</f>
        <v/>
      </c>
      <c r="H152" s="193" t="str">
        <f>IFERROR(Tab_Compteur_2[[#This Row],[Colonne1]]/Tab_Compteur_2[[#This Row],[Delta Jour]],"")</f>
        <v/>
      </c>
      <c r="I152" s="215" t="str">
        <f t="shared" si="4"/>
        <v/>
      </c>
      <c r="J152" s="203"/>
      <c r="K152" s="73"/>
      <c r="L152" s="73"/>
      <c r="M152" s="73"/>
    </row>
    <row r="153" spans="1:13">
      <c r="A153" s="3">
        <f t="shared" si="5"/>
        <v>1</v>
      </c>
      <c r="C153" s="196"/>
      <c r="D153" s="202"/>
      <c r="E153" s="203"/>
      <c r="F153" s="193" t="str">
        <f>IF(Tab_Compteur_2[[#This Row],[Fin de période]]&gt;0,IFERROR(B153-A153+1,""),"")</f>
        <v/>
      </c>
      <c r="G153" t="str">
        <f>IF(IFERROR(IF(Str_TypeDonneesCpt2=Cpt_Index,Tab_Compteur_2[[#This Row],[Index]]-E152,Tab_Compteur_2[[#This Row],[Quantité]])/Tab_Compteur_2[[#This Row],[Delta Jour]],"")&lt;0,"",IFERROR(IF(Str_TypeDonneesCpt2=Cpt_Index,Tab_Compteur_2[[#This Row],[Index]]-E152,Tab_Compteur_2[[#This Row],[Quantité]])/Tab_Compteur_2[[#This Row],[Delta Jour]],""))</f>
        <v/>
      </c>
      <c r="H153" s="193" t="str">
        <f>IFERROR(Tab_Compteur_2[[#This Row],[Colonne1]]/Tab_Compteur_2[[#This Row],[Delta Jour]],"")</f>
        <v/>
      </c>
      <c r="I153" s="215" t="str">
        <f t="shared" si="4"/>
        <v/>
      </c>
      <c r="J153" s="203"/>
      <c r="K153" s="73"/>
      <c r="L153" s="73"/>
      <c r="M153" s="73"/>
    </row>
    <row r="154" spans="1:13">
      <c r="A154" s="3">
        <f t="shared" si="5"/>
        <v>1</v>
      </c>
      <c r="C154" s="196"/>
      <c r="D154" s="202"/>
      <c r="E154" s="203"/>
      <c r="F154" s="193" t="str">
        <f>IF(Tab_Compteur_2[[#This Row],[Fin de période]]&gt;0,IFERROR(B154-A154+1,""),"")</f>
        <v/>
      </c>
      <c r="G154" t="str">
        <f>IF(IFERROR(IF(Str_TypeDonneesCpt2=Cpt_Index,Tab_Compteur_2[[#This Row],[Index]]-E153,Tab_Compteur_2[[#This Row],[Quantité]])/Tab_Compteur_2[[#This Row],[Delta Jour]],"")&lt;0,"",IFERROR(IF(Str_TypeDonneesCpt2=Cpt_Index,Tab_Compteur_2[[#This Row],[Index]]-E153,Tab_Compteur_2[[#This Row],[Quantité]])/Tab_Compteur_2[[#This Row],[Delta Jour]],""))</f>
        <v/>
      </c>
      <c r="H154" s="193" t="str">
        <f>IFERROR(Tab_Compteur_2[[#This Row],[Colonne1]]/Tab_Compteur_2[[#This Row],[Delta Jour]],"")</f>
        <v/>
      </c>
      <c r="I154" s="215" t="str">
        <f t="shared" si="4"/>
        <v/>
      </c>
      <c r="J154" s="203"/>
      <c r="K154" s="73"/>
      <c r="L154" s="73"/>
      <c r="M154" s="73"/>
    </row>
    <row r="155" spans="1:13">
      <c r="A155" s="3">
        <f t="shared" si="5"/>
        <v>1</v>
      </c>
      <c r="C155" s="196"/>
      <c r="D155" s="202"/>
      <c r="E155" s="203"/>
      <c r="F155" s="193" t="str">
        <f>IF(Tab_Compteur_2[[#This Row],[Fin de période]]&gt;0,IFERROR(B155-A155+1,""),"")</f>
        <v/>
      </c>
      <c r="G155" t="str">
        <f>IF(IFERROR(IF(Str_TypeDonneesCpt2=Cpt_Index,Tab_Compteur_2[[#This Row],[Index]]-E154,Tab_Compteur_2[[#This Row],[Quantité]])/Tab_Compteur_2[[#This Row],[Delta Jour]],"")&lt;0,"",IFERROR(IF(Str_TypeDonneesCpt2=Cpt_Index,Tab_Compteur_2[[#This Row],[Index]]-E154,Tab_Compteur_2[[#This Row],[Quantité]])/Tab_Compteur_2[[#This Row],[Delta Jour]],""))</f>
        <v/>
      </c>
      <c r="H155" s="193" t="str">
        <f>IFERROR(Tab_Compteur_2[[#This Row],[Colonne1]]/Tab_Compteur_2[[#This Row],[Delta Jour]],"")</f>
        <v/>
      </c>
      <c r="I155" s="215" t="str">
        <f t="shared" si="4"/>
        <v/>
      </c>
      <c r="J155" s="203"/>
      <c r="K155" s="73"/>
      <c r="L155" s="73"/>
      <c r="M155" s="73"/>
    </row>
    <row r="156" spans="1:13">
      <c r="A156" s="3">
        <f t="shared" si="5"/>
        <v>1</v>
      </c>
      <c r="C156" s="196"/>
      <c r="D156" s="202"/>
      <c r="E156" s="203"/>
      <c r="F156" s="193" t="str">
        <f>IF(Tab_Compteur_2[[#This Row],[Fin de période]]&gt;0,IFERROR(B156-A156+1,""),"")</f>
        <v/>
      </c>
      <c r="G156" t="str">
        <f>IF(IFERROR(IF(Str_TypeDonneesCpt2=Cpt_Index,Tab_Compteur_2[[#This Row],[Index]]-E155,Tab_Compteur_2[[#This Row],[Quantité]])/Tab_Compteur_2[[#This Row],[Delta Jour]],"")&lt;0,"",IFERROR(IF(Str_TypeDonneesCpt2=Cpt_Index,Tab_Compteur_2[[#This Row],[Index]]-E155,Tab_Compteur_2[[#This Row],[Quantité]])/Tab_Compteur_2[[#This Row],[Delta Jour]],""))</f>
        <v/>
      </c>
      <c r="H156" s="193" t="str">
        <f>IFERROR(Tab_Compteur_2[[#This Row],[Colonne1]]/Tab_Compteur_2[[#This Row],[Delta Jour]],"")</f>
        <v/>
      </c>
      <c r="I156" s="215" t="str">
        <f t="shared" si="4"/>
        <v/>
      </c>
      <c r="J156" s="203"/>
      <c r="K156" s="73"/>
      <c r="L156" s="73"/>
      <c r="M156" s="73"/>
    </row>
    <row r="157" spans="1:13">
      <c r="A157" s="3">
        <f t="shared" si="5"/>
        <v>1</v>
      </c>
      <c r="C157" s="196"/>
      <c r="D157" s="202"/>
      <c r="E157" s="203"/>
      <c r="F157" s="193" t="str">
        <f>IF(Tab_Compteur_2[[#This Row],[Fin de période]]&gt;0,IFERROR(B157-A157+1,""),"")</f>
        <v/>
      </c>
      <c r="G157" t="str">
        <f>IF(IFERROR(IF(Str_TypeDonneesCpt2=Cpt_Index,Tab_Compteur_2[[#This Row],[Index]]-E156,Tab_Compteur_2[[#This Row],[Quantité]])/Tab_Compteur_2[[#This Row],[Delta Jour]],"")&lt;0,"",IFERROR(IF(Str_TypeDonneesCpt2=Cpt_Index,Tab_Compteur_2[[#This Row],[Index]]-E156,Tab_Compteur_2[[#This Row],[Quantité]])/Tab_Compteur_2[[#This Row],[Delta Jour]],""))</f>
        <v/>
      </c>
      <c r="H157" s="193" t="str">
        <f>IFERROR(Tab_Compteur_2[[#This Row],[Colonne1]]/Tab_Compteur_2[[#This Row],[Delta Jour]],"")</f>
        <v/>
      </c>
      <c r="I157" s="215" t="str">
        <f t="shared" si="4"/>
        <v/>
      </c>
      <c r="J157" s="203"/>
      <c r="K157" s="73"/>
      <c r="L157" s="73"/>
      <c r="M157" s="73"/>
    </row>
    <row r="158" spans="1:13">
      <c r="A158" s="3">
        <f t="shared" si="5"/>
        <v>1</v>
      </c>
      <c r="C158" s="196"/>
      <c r="D158" s="202"/>
      <c r="E158" s="203"/>
      <c r="F158" s="193" t="str">
        <f>IF(Tab_Compteur_2[[#This Row],[Fin de période]]&gt;0,IFERROR(B158-A158+1,""),"")</f>
        <v/>
      </c>
      <c r="G158" t="str">
        <f>IF(IFERROR(IF(Str_TypeDonneesCpt2=Cpt_Index,Tab_Compteur_2[[#This Row],[Index]]-E157,Tab_Compteur_2[[#This Row],[Quantité]])/Tab_Compteur_2[[#This Row],[Delta Jour]],"")&lt;0,"",IFERROR(IF(Str_TypeDonneesCpt2=Cpt_Index,Tab_Compteur_2[[#This Row],[Index]]-E157,Tab_Compteur_2[[#This Row],[Quantité]])/Tab_Compteur_2[[#This Row],[Delta Jour]],""))</f>
        <v/>
      </c>
      <c r="H158" s="193" t="str">
        <f>IFERROR(Tab_Compteur_2[[#This Row],[Colonne1]]/Tab_Compteur_2[[#This Row],[Delta Jour]],"")</f>
        <v/>
      </c>
      <c r="I158" s="215" t="str">
        <f t="shared" si="4"/>
        <v/>
      </c>
      <c r="J158" s="203"/>
      <c r="K158" s="73"/>
      <c r="L158" s="73"/>
      <c r="M158" s="73"/>
    </row>
    <row r="159" spans="1:13">
      <c r="A159" s="3">
        <f t="shared" si="5"/>
        <v>1</v>
      </c>
      <c r="C159" s="199"/>
      <c r="D159" s="202"/>
      <c r="E159" s="203"/>
      <c r="F159" s="193" t="str">
        <f>IF(Tab_Compteur_2[[#This Row],[Fin de période]]&gt;0,IFERROR(B159-A159+1,""),"")</f>
        <v/>
      </c>
      <c r="G159" t="str">
        <f>IF(IFERROR(IF(Str_TypeDonneesCpt2=Cpt_Index,Tab_Compteur_2[[#This Row],[Index]]-E158,Tab_Compteur_2[[#This Row],[Quantité]])/Tab_Compteur_2[[#This Row],[Delta Jour]],"")&lt;0,"",IFERROR(IF(Str_TypeDonneesCpt2=Cpt_Index,Tab_Compteur_2[[#This Row],[Index]]-E158,Tab_Compteur_2[[#This Row],[Quantité]])/Tab_Compteur_2[[#This Row],[Delta Jour]],""))</f>
        <v/>
      </c>
      <c r="H159" s="193" t="str">
        <f>IFERROR(Tab_Compteur_2[[#This Row],[Colonne1]]/Tab_Compteur_2[[#This Row],[Delta Jour]],"")</f>
        <v/>
      </c>
      <c r="I159" s="215" t="str">
        <f t="shared" si="4"/>
        <v/>
      </c>
      <c r="J159" s="203"/>
      <c r="K159" s="73"/>
      <c r="L159" s="73"/>
      <c r="M159" s="73"/>
    </row>
    <row r="160" spans="1:13">
      <c r="A160" s="3">
        <f t="shared" si="5"/>
        <v>1</v>
      </c>
      <c r="C160" s="199"/>
      <c r="D160" s="202"/>
      <c r="E160" s="203"/>
      <c r="F160" s="193" t="str">
        <f>IF(Tab_Compteur_2[[#This Row],[Fin de période]]&gt;0,IFERROR(B160-A160+1,""),"")</f>
        <v/>
      </c>
      <c r="G160" t="str">
        <f>IF(IFERROR(IF(Str_TypeDonneesCpt2=Cpt_Index,Tab_Compteur_2[[#This Row],[Index]]-E159,Tab_Compteur_2[[#This Row],[Quantité]])/Tab_Compteur_2[[#This Row],[Delta Jour]],"")&lt;0,"",IFERROR(IF(Str_TypeDonneesCpt2=Cpt_Index,Tab_Compteur_2[[#This Row],[Index]]-E159,Tab_Compteur_2[[#This Row],[Quantité]])/Tab_Compteur_2[[#This Row],[Delta Jour]],""))</f>
        <v/>
      </c>
      <c r="H160" s="193" t="str">
        <f>IFERROR(Tab_Compteur_2[[#This Row],[Colonne1]]/Tab_Compteur_2[[#This Row],[Delta Jour]],"")</f>
        <v/>
      </c>
      <c r="I160" s="215" t="str">
        <f t="shared" si="4"/>
        <v/>
      </c>
      <c r="J160" s="203"/>
      <c r="K160" s="73"/>
      <c r="L160" s="73"/>
      <c r="M160" s="73"/>
    </row>
    <row r="161" spans="1:13">
      <c r="A161" s="3">
        <f t="shared" si="5"/>
        <v>1</v>
      </c>
      <c r="C161" s="199"/>
      <c r="D161" s="202"/>
      <c r="E161" s="203"/>
      <c r="F161" s="193" t="str">
        <f>IF(Tab_Compteur_2[[#This Row],[Fin de période]]&gt;0,IFERROR(B161-A161+1,""),"")</f>
        <v/>
      </c>
      <c r="G161" t="str">
        <f>IF(IFERROR(IF(Str_TypeDonneesCpt2=Cpt_Index,Tab_Compteur_2[[#This Row],[Index]]-E160,Tab_Compteur_2[[#This Row],[Quantité]])/Tab_Compteur_2[[#This Row],[Delta Jour]],"")&lt;0,"",IFERROR(IF(Str_TypeDonneesCpt2=Cpt_Index,Tab_Compteur_2[[#This Row],[Index]]-E160,Tab_Compteur_2[[#This Row],[Quantité]])/Tab_Compteur_2[[#This Row],[Delta Jour]],""))</f>
        <v/>
      </c>
      <c r="H161" s="193" t="str">
        <f>IFERROR(Tab_Compteur_2[[#This Row],[Colonne1]]/Tab_Compteur_2[[#This Row],[Delta Jour]],"")</f>
        <v/>
      </c>
      <c r="I161" s="215" t="str">
        <f t="shared" si="4"/>
        <v/>
      </c>
      <c r="J161" s="203"/>
      <c r="K161" s="73"/>
      <c r="L161" s="73"/>
      <c r="M161" s="73"/>
    </row>
    <row r="162" spans="1:13">
      <c r="A162" s="3">
        <f t="shared" si="5"/>
        <v>1</v>
      </c>
      <c r="C162" s="199"/>
      <c r="D162" s="202"/>
      <c r="E162" s="203"/>
      <c r="F162" s="193" t="str">
        <f>IF(Tab_Compteur_2[[#This Row],[Fin de période]]&gt;0,IFERROR(B162-A162+1,""),"")</f>
        <v/>
      </c>
      <c r="G162" t="str">
        <f>IF(IFERROR(IF(Str_TypeDonneesCpt2=Cpt_Index,Tab_Compteur_2[[#This Row],[Index]]-E161,Tab_Compteur_2[[#This Row],[Quantité]])/Tab_Compteur_2[[#This Row],[Delta Jour]],"")&lt;0,"",IFERROR(IF(Str_TypeDonneesCpt2=Cpt_Index,Tab_Compteur_2[[#This Row],[Index]]-E161,Tab_Compteur_2[[#This Row],[Quantité]])/Tab_Compteur_2[[#This Row],[Delta Jour]],""))</f>
        <v/>
      </c>
      <c r="H162" s="193" t="str">
        <f>IFERROR(Tab_Compteur_2[[#This Row],[Colonne1]]/Tab_Compteur_2[[#This Row],[Delta Jour]],"")</f>
        <v/>
      </c>
      <c r="I162" s="215" t="str">
        <f t="shared" si="4"/>
        <v/>
      </c>
      <c r="J162" s="203"/>
      <c r="K162" s="73"/>
      <c r="L162" s="73"/>
      <c r="M162" s="73"/>
    </row>
    <row r="163" spans="1:13">
      <c r="A163" s="3">
        <f t="shared" si="5"/>
        <v>1</v>
      </c>
      <c r="C163" s="199"/>
      <c r="D163" s="202"/>
      <c r="E163" s="203"/>
      <c r="F163" s="193" t="str">
        <f>IF(Tab_Compteur_2[[#This Row],[Fin de période]]&gt;0,IFERROR(B163-A163+1,""),"")</f>
        <v/>
      </c>
      <c r="G163" t="str">
        <f>IF(IFERROR(IF(Str_TypeDonneesCpt2=Cpt_Index,Tab_Compteur_2[[#This Row],[Index]]-E162,Tab_Compteur_2[[#This Row],[Quantité]])/Tab_Compteur_2[[#This Row],[Delta Jour]],"")&lt;0,"",IFERROR(IF(Str_TypeDonneesCpt2=Cpt_Index,Tab_Compteur_2[[#This Row],[Index]]-E162,Tab_Compteur_2[[#This Row],[Quantité]])/Tab_Compteur_2[[#This Row],[Delta Jour]],""))</f>
        <v/>
      </c>
      <c r="H163" s="193" t="str">
        <f>IFERROR(Tab_Compteur_2[[#This Row],[Colonne1]]/Tab_Compteur_2[[#This Row],[Delta Jour]],"")</f>
        <v/>
      </c>
      <c r="I163" s="215" t="str">
        <f t="shared" si="4"/>
        <v/>
      </c>
      <c r="J163" s="203"/>
      <c r="K163" s="73"/>
      <c r="L163" s="73"/>
      <c r="M163" s="73"/>
    </row>
    <row r="164" spans="1:13">
      <c r="A164" s="3">
        <f t="shared" si="5"/>
        <v>1</v>
      </c>
      <c r="C164" s="199"/>
      <c r="D164" s="202"/>
      <c r="E164" s="203"/>
      <c r="F164" s="193" t="str">
        <f>IF(Tab_Compteur_2[[#This Row],[Fin de période]]&gt;0,IFERROR(B164-A164+1,""),"")</f>
        <v/>
      </c>
      <c r="G164" t="str">
        <f>IF(IFERROR(IF(Str_TypeDonneesCpt2=Cpt_Index,Tab_Compteur_2[[#This Row],[Index]]-E163,Tab_Compteur_2[[#This Row],[Quantité]])/Tab_Compteur_2[[#This Row],[Delta Jour]],"")&lt;0,"",IFERROR(IF(Str_TypeDonneesCpt2=Cpt_Index,Tab_Compteur_2[[#This Row],[Index]]-E163,Tab_Compteur_2[[#This Row],[Quantité]])/Tab_Compteur_2[[#This Row],[Delta Jour]],""))</f>
        <v/>
      </c>
      <c r="H164" s="193" t="str">
        <f>IFERROR(Tab_Compteur_2[[#This Row],[Colonne1]]/Tab_Compteur_2[[#This Row],[Delta Jour]],"")</f>
        <v/>
      </c>
      <c r="I164" s="215" t="str">
        <f t="shared" si="4"/>
        <v/>
      </c>
      <c r="J164" s="203"/>
      <c r="K164" s="73"/>
      <c r="L164" s="73"/>
      <c r="M164" s="73"/>
    </row>
    <row r="165" spans="1:13">
      <c r="A165" s="3">
        <f t="shared" si="5"/>
        <v>1</v>
      </c>
      <c r="C165" s="199"/>
      <c r="D165" s="202"/>
      <c r="E165" s="203"/>
      <c r="F165" s="193" t="str">
        <f>IF(Tab_Compteur_2[[#This Row],[Fin de période]]&gt;0,IFERROR(B165-A165+1,""),"")</f>
        <v/>
      </c>
      <c r="G165" t="str">
        <f>IF(IFERROR(IF(Str_TypeDonneesCpt2=Cpt_Index,Tab_Compteur_2[[#This Row],[Index]]-E164,Tab_Compteur_2[[#This Row],[Quantité]])/Tab_Compteur_2[[#This Row],[Delta Jour]],"")&lt;0,"",IFERROR(IF(Str_TypeDonneesCpt2=Cpt_Index,Tab_Compteur_2[[#This Row],[Index]]-E164,Tab_Compteur_2[[#This Row],[Quantité]])/Tab_Compteur_2[[#This Row],[Delta Jour]],""))</f>
        <v/>
      </c>
      <c r="H165" s="193" t="str">
        <f>IFERROR(Tab_Compteur_2[[#This Row],[Colonne1]]/Tab_Compteur_2[[#This Row],[Delta Jour]],"")</f>
        <v/>
      </c>
      <c r="I165" s="215" t="str">
        <f t="shared" si="4"/>
        <v/>
      </c>
      <c r="J165" s="218"/>
      <c r="K165" s="73"/>
      <c r="L165" s="73"/>
      <c r="M165" s="73"/>
    </row>
    <row r="166" spans="1:13">
      <c r="A166" s="3">
        <f t="shared" si="5"/>
        <v>1</v>
      </c>
      <c r="C166" s="199"/>
      <c r="D166" s="202"/>
      <c r="E166" s="203"/>
      <c r="F166" s="193" t="str">
        <f>IF(Tab_Compteur_2[[#This Row],[Fin de période]]&gt;0,IFERROR(B166-A166+1,""),"")</f>
        <v/>
      </c>
      <c r="G166" t="str">
        <f>IF(IFERROR(IF(Str_TypeDonneesCpt2=Cpt_Index,Tab_Compteur_2[[#This Row],[Index]]-E165,Tab_Compteur_2[[#This Row],[Quantité]])/Tab_Compteur_2[[#This Row],[Delta Jour]],"")&lt;0,"",IFERROR(IF(Str_TypeDonneesCpt2=Cpt_Index,Tab_Compteur_2[[#This Row],[Index]]-E165,Tab_Compteur_2[[#This Row],[Quantité]])/Tab_Compteur_2[[#This Row],[Delta Jour]],""))</f>
        <v/>
      </c>
      <c r="H166" s="193" t="str">
        <f>IFERROR(Tab_Compteur_2[[#This Row],[Colonne1]]/Tab_Compteur_2[[#This Row],[Delta Jour]],"")</f>
        <v/>
      </c>
      <c r="I166" s="215" t="str">
        <f t="shared" si="4"/>
        <v/>
      </c>
      <c r="J166" s="203"/>
      <c r="K166" s="73"/>
      <c r="L166" s="73"/>
      <c r="M166" s="73"/>
    </row>
    <row r="167" spans="1:13">
      <c r="A167" s="3">
        <f t="shared" si="5"/>
        <v>1</v>
      </c>
      <c r="C167" s="199"/>
      <c r="D167" s="202"/>
      <c r="E167" s="203"/>
      <c r="F167" s="193" t="str">
        <f>IF(Tab_Compteur_2[[#This Row],[Fin de période]]&gt;0,IFERROR(B167-A167+1,""),"")</f>
        <v/>
      </c>
      <c r="G167" t="str">
        <f>IF(IFERROR(IF(Str_TypeDonneesCpt2=Cpt_Index,Tab_Compteur_2[[#This Row],[Index]]-E166,Tab_Compteur_2[[#This Row],[Quantité]])/Tab_Compteur_2[[#This Row],[Delta Jour]],"")&lt;0,"",IFERROR(IF(Str_TypeDonneesCpt2=Cpt_Index,Tab_Compteur_2[[#This Row],[Index]]-E166,Tab_Compteur_2[[#This Row],[Quantité]])/Tab_Compteur_2[[#This Row],[Delta Jour]],""))</f>
        <v/>
      </c>
      <c r="H167" s="193" t="str">
        <f>IFERROR(Tab_Compteur_2[[#This Row],[Colonne1]]/Tab_Compteur_2[[#This Row],[Delta Jour]],"")</f>
        <v/>
      </c>
      <c r="I167" s="215" t="str">
        <f t="shared" si="4"/>
        <v/>
      </c>
      <c r="J167" s="203"/>
      <c r="K167" s="73"/>
      <c r="L167" s="73"/>
      <c r="M167" s="73"/>
    </row>
    <row r="168" spans="1:13">
      <c r="A168" s="3">
        <f t="shared" si="5"/>
        <v>1</v>
      </c>
      <c r="C168" s="199"/>
      <c r="D168" s="202"/>
      <c r="E168" s="203"/>
      <c r="F168" s="193" t="str">
        <f>IF(Tab_Compteur_2[[#This Row],[Fin de période]]&gt;0,IFERROR(B168-A168+1,""),"")</f>
        <v/>
      </c>
      <c r="G168" t="str">
        <f>IF(IFERROR(IF(Str_TypeDonneesCpt2=Cpt_Index,Tab_Compteur_2[[#This Row],[Index]]-E167,Tab_Compteur_2[[#This Row],[Quantité]])/Tab_Compteur_2[[#This Row],[Delta Jour]],"")&lt;0,"",IFERROR(IF(Str_TypeDonneesCpt2=Cpt_Index,Tab_Compteur_2[[#This Row],[Index]]-E167,Tab_Compteur_2[[#This Row],[Quantité]])/Tab_Compteur_2[[#This Row],[Delta Jour]],""))</f>
        <v/>
      </c>
      <c r="H168" s="193" t="str">
        <f>IFERROR(Tab_Compteur_2[[#This Row],[Colonne1]]/Tab_Compteur_2[[#This Row],[Delta Jour]],"")</f>
        <v/>
      </c>
      <c r="I168" s="215" t="str">
        <f t="shared" si="4"/>
        <v/>
      </c>
      <c r="J168" s="203"/>
      <c r="K168" s="73"/>
      <c r="L168" s="73"/>
      <c r="M168" s="73"/>
    </row>
    <row r="169" spans="1:13">
      <c r="A169" s="3">
        <f t="shared" si="5"/>
        <v>1</v>
      </c>
      <c r="C169" s="199"/>
      <c r="D169" s="202"/>
      <c r="E169" s="203"/>
      <c r="F169" s="193" t="str">
        <f>IF(Tab_Compteur_2[[#This Row],[Fin de période]]&gt;0,IFERROR(B169-A169+1,""),"")</f>
        <v/>
      </c>
      <c r="G169" t="str">
        <f>IF(IFERROR(IF(Str_TypeDonneesCpt2=Cpt_Index,Tab_Compteur_2[[#This Row],[Index]]-E168,Tab_Compteur_2[[#This Row],[Quantité]])/Tab_Compteur_2[[#This Row],[Delta Jour]],"")&lt;0,"",IFERROR(IF(Str_TypeDonneesCpt2=Cpt_Index,Tab_Compteur_2[[#This Row],[Index]]-E168,Tab_Compteur_2[[#This Row],[Quantité]])/Tab_Compteur_2[[#This Row],[Delta Jour]],""))</f>
        <v/>
      </c>
      <c r="H169" s="193" t="str">
        <f>IFERROR(Tab_Compteur_2[[#This Row],[Colonne1]]/Tab_Compteur_2[[#This Row],[Delta Jour]],"")</f>
        <v/>
      </c>
      <c r="I169" s="215" t="str">
        <f t="shared" si="4"/>
        <v/>
      </c>
      <c r="J169" s="203"/>
      <c r="K169" s="73"/>
      <c r="L169" s="73"/>
      <c r="M169" s="73"/>
    </row>
    <row r="170" spans="1:13">
      <c r="A170" s="3">
        <f t="shared" si="5"/>
        <v>1</v>
      </c>
      <c r="C170" s="199"/>
      <c r="D170" s="202"/>
      <c r="E170" s="203"/>
      <c r="F170" s="193" t="str">
        <f>IF(Tab_Compteur_2[[#This Row],[Fin de période]]&gt;0,IFERROR(B170-A170+1,""),"")</f>
        <v/>
      </c>
      <c r="G170" t="str">
        <f>IF(IFERROR(IF(Str_TypeDonneesCpt2=Cpt_Index,Tab_Compteur_2[[#This Row],[Index]]-E169,Tab_Compteur_2[[#This Row],[Quantité]])/Tab_Compteur_2[[#This Row],[Delta Jour]],"")&lt;0,"",IFERROR(IF(Str_TypeDonneesCpt2=Cpt_Index,Tab_Compteur_2[[#This Row],[Index]]-E169,Tab_Compteur_2[[#This Row],[Quantité]])/Tab_Compteur_2[[#This Row],[Delta Jour]],""))</f>
        <v/>
      </c>
      <c r="H170" s="193" t="str">
        <f>IFERROR(Tab_Compteur_2[[#This Row],[Colonne1]]/Tab_Compteur_2[[#This Row],[Delta Jour]],"")</f>
        <v/>
      </c>
      <c r="I170" s="215" t="str">
        <f t="shared" si="4"/>
        <v/>
      </c>
      <c r="J170" s="203"/>
      <c r="K170" s="73"/>
      <c r="L170" s="73"/>
      <c r="M170" s="73"/>
    </row>
    <row r="171" spans="1:13">
      <c r="A171" s="3">
        <f t="shared" si="5"/>
        <v>1</v>
      </c>
      <c r="C171" s="199"/>
      <c r="D171" s="202"/>
      <c r="E171" s="203"/>
      <c r="F171" s="193" t="str">
        <f>IF(Tab_Compteur_2[[#This Row],[Fin de période]]&gt;0,IFERROR(B171-A171+1,""),"")</f>
        <v/>
      </c>
      <c r="G171" t="str">
        <f>IF(IFERROR(IF(Str_TypeDonneesCpt2=Cpt_Index,Tab_Compteur_2[[#This Row],[Index]]-E170,Tab_Compteur_2[[#This Row],[Quantité]])/Tab_Compteur_2[[#This Row],[Delta Jour]],"")&lt;0,"",IFERROR(IF(Str_TypeDonneesCpt2=Cpt_Index,Tab_Compteur_2[[#This Row],[Index]]-E170,Tab_Compteur_2[[#This Row],[Quantité]])/Tab_Compteur_2[[#This Row],[Delta Jour]],""))</f>
        <v/>
      </c>
      <c r="H171" s="193" t="str">
        <f>IFERROR(Tab_Compteur_2[[#This Row],[Colonne1]]/Tab_Compteur_2[[#This Row],[Delta Jour]],"")</f>
        <v/>
      </c>
      <c r="I171" s="215" t="str">
        <f t="shared" si="4"/>
        <v/>
      </c>
      <c r="J171" s="203"/>
      <c r="K171" s="73"/>
      <c r="L171" s="73"/>
      <c r="M171" s="73"/>
    </row>
    <row r="172" spans="1:13">
      <c r="A172" s="3">
        <f t="shared" si="5"/>
        <v>1</v>
      </c>
      <c r="C172" s="199"/>
      <c r="D172" s="202"/>
      <c r="E172" s="203"/>
      <c r="F172" s="193" t="str">
        <f>IF(Tab_Compteur_2[[#This Row],[Fin de période]]&gt;0,IFERROR(B172-A172+1,""),"")</f>
        <v/>
      </c>
      <c r="G172" t="str">
        <f>IF(IFERROR(IF(Str_TypeDonneesCpt2=Cpt_Index,Tab_Compteur_2[[#This Row],[Index]]-E171,Tab_Compteur_2[[#This Row],[Quantité]])/Tab_Compteur_2[[#This Row],[Delta Jour]],"")&lt;0,"",IFERROR(IF(Str_TypeDonneesCpt2=Cpt_Index,Tab_Compteur_2[[#This Row],[Index]]-E171,Tab_Compteur_2[[#This Row],[Quantité]])/Tab_Compteur_2[[#This Row],[Delta Jour]],""))</f>
        <v/>
      </c>
      <c r="H172" s="193" t="str">
        <f>IFERROR(Tab_Compteur_2[[#This Row],[Colonne1]]/Tab_Compteur_2[[#This Row],[Delta Jour]],"")</f>
        <v/>
      </c>
      <c r="I172" s="215" t="str">
        <f t="shared" si="4"/>
        <v/>
      </c>
      <c r="J172" s="203"/>
      <c r="K172" s="73"/>
      <c r="L172" s="73"/>
      <c r="M172" s="73"/>
    </row>
    <row r="173" spans="1:13">
      <c r="A173" s="3">
        <f t="shared" si="5"/>
        <v>1</v>
      </c>
      <c r="C173" s="199"/>
      <c r="D173" s="202"/>
      <c r="E173" s="203"/>
      <c r="F173" s="193" t="str">
        <f>IF(Tab_Compteur_2[[#This Row],[Fin de période]]&gt;0,IFERROR(B173-A173+1,""),"")</f>
        <v/>
      </c>
      <c r="G173" t="str">
        <f>IF(IFERROR(IF(Str_TypeDonneesCpt2=Cpt_Index,Tab_Compteur_2[[#This Row],[Index]]-E172,Tab_Compteur_2[[#This Row],[Quantité]])/Tab_Compteur_2[[#This Row],[Delta Jour]],"")&lt;0,"",IFERROR(IF(Str_TypeDonneesCpt2=Cpt_Index,Tab_Compteur_2[[#This Row],[Index]]-E172,Tab_Compteur_2[[#This Row],[Quantité]])/Tab_Compteur_2[[#This Row],[Delta Jour]],""))</f>
        <v/>
      </c>
      <c r="H173" s="193" t="str">
        <f>IFERROR(Tab_Compteur_2[[#This Row],[Colonne1]]/Tab_Compteur_2[[#This Row],[Delta Jour]],"")</f>
        <v/>
      </c>
      <c r="I173" s="215" t="str">
        <f t="shared" si="4"/>
        <v/>
      </c>
      <c r="J173" s="203"/>
      <c r="K173" s="73"/>
      <c r="L173" s="73"/>
      <c r="M173" s="73"/>
    </row>
    <row r="174" spans="1:13">
      <c r="A174" s="3">
        <f t="shared" si="5"/>
        <v>1</v>
      </c>
      <c r="C174" s="199"/>
      <c r="D174" s="202"/>
      <c r="E174" s="203"/>
      <c r="F174" s="193" t="str">
        <f>IF(Tab_Compteur_2[[#This Row],[Fin de période]]&gt;0,IFERROR(B174-A174+1,""),"")</f>
        <v/>
      </c>
      <c r="G174" t="str">
        <f>IF(IFERROR(IF(Str_TypeDonneesCpt2=Cpt_Index,Tab_Compteur_2[[#This Row],[Index]]-E173,Tab_Compteur_2[[#This Row],[Quantité]])/Tab_Compteur_2[[#This Row],[Delta Jour]],"")&lt;0,"",IFERROR(IF(Str_TypeDonneesCpt2=Cpt_Index,Tab_Compteur_2[[#This Row],[Index]]-E173,Tab_Compteur_2[[#This Row],[Quantité]])/Tab_Compteur_2[[#This Row],[Delta Jour]],""))</f>
        <v/>
      </c>
      <c r="H174" s="193" t="str">
        <f>IFERROR(Tab_Compteur_2[[#This Row],[Colonne1]]/Tab_Compteur_2[[#This Row],[Delta Jour]],"")</f>
        <v/>
      </c>
      <c r="I174" s="215" t="str">
        <f t="shared" si="4"/>
        <v/>
      </c>
      <c r="J174" s="203"/>
      <c r="K174" s="73"/>
      <c r="L174" s="73"/>
      <c r="M174" s="73"/>
    </row>
    <row r="175" spans="1:13">
      <c r="A175" s="3">
        <f t="shared" si="5"/>
        <v>1</v>
      </c>
      <c r="C175" s="199"/>
      <c r="D175" s="202"/>
      <c r="E175" s="203"/>
      <c r="F175" s="193" t="str">
        <f>IF(Tab_Compteur_2[[#This Row],[Fin de période]]&gt;0,IFERROR(B175-A175+1,""),"")</f>
        <v/>
      </c>
      <c r="G175" t="str">
        <f>IF(IFERROR(IF(Str_TypeDonneesCpt2=Cpt_Index,Tab_Compteur_2[[#This Row],[Index]]-E174,Tab_Compteur_2[[#This Row],[Quantité]])/Tab_Compteur_2[[#This Row],[Delta Jour]],"")&lt;0,"",IFERROR(IF(Str_TypeDonneesCpt2=Cpt_Index,Tab_Compteur_2[[#This Row],[Index]]-E174,Tab_Compteur_2[[#This Row],[Quantité]])/Tab_Compteur_2[[#This Row],[Delta Jour]],""))</f>
        <v/>
      </c>
      <c r="H175" s="193" t="str">
        <f>IFERROR(Tab_Compteur_2[[#This Row],[Colonne1]]/Tab_Compteur_2[[#This Row],[Delta Jour]],"")</f>
        <v/>
      </c>
      <c r="I175" s="215" t="str">
        <f t="shared" si="4"/>
        <v/>
      </c>
      <c r="J175" s="203"/>
      <c r="K175" s="73"/>
      <c r="L175" s="73"/>
      <c r="M175" s="73"/>
    </row>
    <row r="176" spans="1:13">
      <c r="A176" s="3">
        <f t="shared" si="5"/>
        <v>1</v>
      </c>
      <c r="C176" s="199"/>
      <c r="D176" s="202"/>
      <c r="E176" s="203"/>
      <c r="F176" s="193" t="str">
        <f>IF(Tab_Compteur_2[[#This Row],[Fin de période]]&gt;0,IFERROR(B176-A176+1,""),"")</f>
        <v/>
      </c>
      <c r="G176" t="str">
        <f>IF(IFERROR(IF(Str_TypeDonneesCpt2=Cpt_Index,Tab_Compteur_2[[#This Row],[Index]]-E175,Tab_Compteur_2[[#This Row],[Quantité]])/Tab_Compteur_2[[#This Row],[Delta Jour]],"")&lt;0,"",IFERROR(IF(Str_TypeDonneesCpt2=Cpt_Index,Tab_Compteur_2[[#This Row],[Index]]-E175,Tab_Compteur_2[[#This Row],[Quantité]])/Tab_Compteur_2[[#This Row],[Delta Jour]],""))</f>
        <v/>
      </c>
      <c r="H176" s="193" t="str">
        <f>IFERROR(Tab_Compteur_2[[#This Row],[Colonne1]]/Tab_Compteur_2[[#This Row],[Delta Jour]],"")</f>
        <v/>
      </c>
      <c r="I176" s="215" t="str">
        <f t="shared" si="4"/>
        <v/>
      </c>
      <c r="J176" s="203"/>
      <c r="K176" s="73"/>
      <c r="L176" s="73"/>
      <c r="M176" s="73"/>
    </row>
    <row r="177" spans="1:13">
      <c r="A177" s="3">
        <f t="shared" si="5"/>
        <v>1</v>
      </c>
      <c r="C177" s="199"/>
      <c r="D177" s="202"/>
      <c r="E177" s="203"/>
      <c r="F177" s="193" t="str">
        <f>IF(Tab_Compteur_2[[#This Row],[Fin de période]]&gt;0,IFERROR(B177-A177+1,""),"")</f>
        <v/>
      </c>
      <c r="G177" t="str">
        <f>IF(IFERROR(IF(Str_TypeDonneesCpt2=Cpt_Index,Tab_Compteur_2[[#This Row],[Index]]-E176,Tab_Compteur_2[[#This Row],[Quantité]])/Tab_Compteur_2[[#This Row],[Delta Jour]],"")&lt;0,"",IFERROR(IF(Str_TypeDonneesCpt2=Cpt_Index,Tab_Compteur_2[[#This Row],[Index]]-E176,Tab_Compteur_2[[#This Row],[Quantité]])/Tab_Compteur_2[[#This Row],[Delta Jour]],""))</f>
        <v/>
      </c>
      <c r="H177" s="193" t="str">
        <f>IFERROR(Tab_Compteur_2[[#This Row],[Colonne1]]/Tab_Compteur_2[[#This Row],[Delta Jour]],"")</f>
        <v/>
      </c>
      <c r="I177" s="215" t="str">
        <f t="shared" si="4"/>
        <v/>
      </c>
      <c r="J177" s="203"/>
      <c r="K177" s="73"/>
      <c r="L177" s="73"/>
      <c r="M177" s="73"/>
    </row>
    <row r="178" spans="1:13">
      <c r="A178" s="3">
        <f t="shared" si="5"/>
        <v>1</v>
      </c>
      <c r="C178" s="199"/>
      <c r="D178" s="202"/>
      <c r="E178" s="203"/>
      <c r="F178" s="193" t="str">
        <f>IF(Tab_Compteur_2[[#This Row],[Fin de période]]&gt;0,IFERROR(B178-A178+1,""),"")</f>
        <v/>
      </c>
      <c r="G178" t="str">
        <f>IF(IFERROR(IF(Str_TypeDonneesCpt2=Cpt_Index,Tab_Compteur_2[[#This Row],[Index]]-E177,Tab_Compteur_2[[#This Row],[Quantité]])/Tab_Compteur_2[[#This Row],[Delta Jour]],"")&lt;0,"",IFERROR(IF(Str_TypeDonneesCpt2=Cpt_Index,Tab_Compteur_2[[#This Row],[Index]]-E177,Tab_Compteur_2[[#This Row],[Quantité]])/Tab_Compteur_2[[#This Row],[Delta Jour]],""))</f>
        <v/>
      </c>
      <c r="H178" s="193" t="str">
        <f>IFERROR(Tab_Compteur_2[[#This Row],[Colonne1]]/Tab_Compteur_2[[#This Row],[Delta Jour]],"")</f>
        <v/>
      </c>
      <c r="I178" s="215" t="str">
        <f t="shared" si="4"/>
        <v/>
      </c>
      <c r="J178" s="203"/>
      <c r="K178" s="73"/>
      <c r="L178" s="73"/>
      <c r="M178" s="73"/>
    </row>
    <row r="179" spans="1:13">
      <c r="A179" s="3">
        <f t="shared" si="5"/>
        <v>1</v>
      </c>
      <c r="C179" s="199"/>
      <c r="D179" s="202"/>
      <c r="E179" s="203"/>
      <c r="F179" s="193" t="str">
        <f>IF(Tab_Compteur_2[[#This Row],[Fin de période]]&gt;0,IFERROR(B179-A179+1,""),"")</f>
        <v/>
      </c>
      <c r="G179" t="str">
        <f>IF(IFERROR(IF(Str_TypeDonneesCpt2=Cpt_Index,Tab_Compteur_2[[#This Row],[Index]]-E178,Tab_Compteur_2[[#This Row],[Quantité]])/Tab_Compteur_2[[#This Row],[Delta Jour]],"")&lt;0,"",IFERROR(IF(Str_TypeDonneesCpt2=Cpt_Index,Tab_Compteur_2[[#This Row],[Index]]-E178,Tab_Compteur_2[[#This Row],[Quantité]])/Tab_Compteur_2[[#This Row],[Delta Jour]],""))</f>
        <v/>
      </c>
      <c r="H179" s="193" t="str">
        <f>IFERROR(Tab_Compteur_2[[#This Row],[Colonne1]]/Tab_Compteur_2[[#This Row],[Delta Jour]],"")</f>
        <v/>
      </c>
      <c r="I179" s="215" t="str">
        <f t="shared" si="4"/>
        <v/>
      </c>
      <c r="J179" s="203"/>
      <c r="K179" s="73"/>
      <c r="L179" s="73"/>
      <c r="M179" s="73"/>
    </row>
    <row r="180" spans="1:13">
      <c r="A180" s="3">
        <f t="shared" si="5"/>
        <v>1</v>
      </c>
      <c r="C180" s="199"/>
      <c r="D180" s="202"/>
      <c r="E180" s="203"/>
      <c r="F180" s="193" t="str">
        <f>IF(Tab_Compteur_2[[#This Row],[Fin de période]]&gt;0,IFERROR(B180-A180+1,""),"")</f>
        <v/>
      </c>
      <c r="G180" t="str">
        <f>IF(IFERROR(IF(Str_TypeDonneesCpt2=Cpt_Index,Tab_Compteur_2[[#This Row],[Index]]-E179,Tab_Compteur_2[[#This Row],[Quantité]])/Tab_Compteur_2[[#This Row],[Delta Jour]],"")&lt;0,"",IFERROR(IF(Str_TypeDonneesCpt2=Cpt_Index,Tab_Compteur_2[[#This Row],[Index]]-E179,Tab_Compteur_2[[#This Row],[Quantité]])/Tab_Compteur_2[[#This Row],[Delta Jour]],""))</f>
        <v/>
      </c>
      <c r="H180" s="193" t="str">
        <f>IFERROR(Tab_Compteur_2[[#This Row],[Colonne1]]/Tab_Compteur_2[[#This Row],[Delta Jour]],"")</f>
        <v/>
      </c>
      <c r="I180" s="215" t="str">
        <f t="shared" si="4"/>
        <v/>
      </c>
      <c r="J180" s="203"/>
      <c r="K180" s="73"/>
      <c r="L180" s="73"/>
      <c r="M180" s="73"/>
    </row>
    <row r="181" spans="1:13">
      <c r="A181" s="3">
        <f t="shared" si="5"/>
        <v>1</v>
      </c>
      <c r="C181" s="199"/>
      <c r="D181" s="202"/>
      <c r="E181" s="203"/>
      <c r="F181" s="193" t="str">
        <f>IF(Tab_Compteur_2[[#This Row],[Fin de période]]&gt;0,IFERROR(B181-A181+1,""),"")</f>
        <v/>
      </c>
      <c r="G181" t="str">
        <f>IF(IFERROR(IF(Str_TypeDonneesCpt2=Cpt_Index,Tab_Compteur_2[[#This Row],[Index]]-E180,Tab_Compteur_2[[#This Row],[Quantité]])/Tab_Compteur_2[[#This Row],[Delta Jour]],"")&lt;0,"",IFERROR(IF(Str_TypeDonneesCpt2=Cpt_Index,Tab_Compteur_2[[#This Row],[Index]]-E180,Tab_Compteur_2[[#This Row],[Quantité]])/Tab_Compteur_2[[#This Row],[Delta Jour]],""))</f>
        <v/>
      </c>
      <c r="H181" s="193" t="str">
        <f>IFERROR(Tab_Compteur_2[[#This Row],[Colonne1]]/Tab_Compteur_2[[#This Row],[Delta Jour]],"")</f>
        <v/>
      </c>
      <c r="I181" s="215" t="str">
        <f t="shared" si="4"/>
        <v/>
      </c>
      <c r="J181" s="203"/>
      <c r="K181" s="73"/>
      <c r="L181" s="73"/>
      <c r="M181" s="73"/>
    </row>
    <row r="182" spans="1:13">
      <c r="A182" s="3">
        <f t="shared" si="5"/>
        <v>1</v>
      </c>
      <c r="C182" s="199"/>
      <c r="D182" s="202"/>
      <c r="E182" s="203"/>
      <c r="F182" s="193" t="str">
        <f>IF(Tab_Compteur_2[[#This Row],[Fin de période]]&gt;0,IFERROR(B182-A182+1,""),"")</f>
        <v/>
      </c>
      <c r="G182" t="str">
        <f>IF(IFERROR(IF(Str_TypeDonneesCpt2=Cpt_Index,Tab_Compteur_2[[#This Row],[Index]]-E181,Tab_Compteur_2[[#This Row],[Quantité]])/Tab_Compteur_2[[#This Row],[Delta Jour]],"")&lt;0,"",IFERROR(IF(Str_TypeDonneesCpt2=Cpt_Index,Tab_Compteur_2[[#This Row],[Index]]-E181,Tab_Compteur_2[[#This Row],[Quantité]])/Tab_Compteur_2[[#This Row],[Delta Jour]],""))</f>
        <v/>
      </c>
      <c r="H182" s="193" t="str">
        <f>IFERROR(Tab_Compteur_2[[#This Row],[Colonne1]]/Tab_Compteur_2[[#This Row],[Delta Jour]],"")</f>
        <v/>
      </c>
      <c r="I182" s="215" t="str">
        <f t="shared" si="4"/>
        <v/>
      </c>
      <c r="J182" s="203"/>
      <c r="K182" s="73"/>
      <c r="L182" s="73"/>
      <c r="M182" s="73"/>
    </row>
    <row r="183" spans="1:13">
      <c r="A183" s="3">
        <f t="shared" si="5"/>
        <v>1</v>
      </c>
      <c r="C183" s="199"/>
      <c r="D183" s="202"/>
      <c r="E183" s="203"/>
      <c r="F183" s="193" t="str">
        <f>IF(Tab_Compteur_2[[#This Row],[Fin de période]]&gt;0,IFERROR(B183-A183+1,""),"")</f>
        <v/>
      </c>
      <c r="G183" t="str">
        <f>IF(IFERROR(IF(Str_TypeDonneesCpt2=Cpt_Index,Tab_Compteur_2[[#This Row],[Index]]-E182,Tab_Compteur_2[[#This Row],[Quantité]])/Tab_Compteur_2[[#This Row],[Delta Jour]],"")&lt;0,"",IFERROR(IF(Str_TypeDonneesCpt2=Cpt_Index,Tab_Compteur_2[[#This Row],[Index]]-E182,Tab_Compteur_2[[#This Row],[Quantité]])/Tab_Compteur_2[[#This Row],[Delta Jour]],""))</f>
        <v/>
      </c>
      <c r="H183" s="193" t="str">
        <f>IFERROR(Tab_Compteur_2[[#This Row],[Colonne1]]/Tab_Compteur_2[[#This Row],[Delta Jour]],"")</f>
        <v/>
      </c>
      <c r="I183" s="215" t="str">
        <f t="shared" si="4"/>
        <v/>
      </c>
      <c r="J183" s="203"/>
      <c r="K183" s="73"/>
      <c r="L183" s="73"/>
      <c r="M183" s="73"/>
    </row>
    <row r="184" spans="1:13">
      <c r="A184" s="3">
        <f t="shared" si="5"/>
        <v>1</v>
      </c>
      <c r="C184" s="199"/>
      <c r="D184" s="202"/>
      <c r="E184" s="203"/>
      <c r="F184" s="193" t="str">
        <f>IF(Tab_Compteur_2[[#This Row],[Fin de période]]&gt;0,IFERROR(B184-A184+1,""),"")</f>
        <v/>
      </c>
      <c r="G184" t="str">
        <f>IF(IFERROR(IF(Str_TypeDonneesCpt2=Cpt_Index,Tab_Compteur_2[[#This Row],[Index]]-E183,Tab_Compteur_2[[#This Row],[Quantité]])/Tab_Compteur_2[[#This Row],[Delta Jour]],"")&lt;0,"",IFERROR(IF(Str_TypeDonneesCpt2=Cpt_Index,Tab_Compteur_2[[#This Row],[Index]]-E183,Tab_Compteur_2[[#This Row],[Quantité]])/Tab_Compteur_2[[#This Row],[Delta Jour]],""))</f>
        <v/>
      </c>
      <c r="H184" s="193" t="str">
        <f>IFERROR(Tab_Compteur_2[[#This Row],[Colonne1]]/Tab_Compteur_2[[#This Row],[Delta Jour]],"")</f>
        <v/>
      </c>
      <c r="I184" s="215" t="str">
        <f t="shared" si="4"/>
        <v/>
      </c>
      <c r="J184" s="203"/>
      <c r="K184" s="73"/>
      <c r="L184" s="73"/>
      <c r="M184" s="73"/>
    </row>
    <row r="185" spans="1:13">
      <c r="A185" s="3">
        <f t="shared" si="5"/>
        <v>1</v>
      </c>
      <c r="C185" s="199"/>
      <c r="D185" s="202"/>
      <c r="E185" s="203"/>
      <c r="F185" s="193" t="str">
        <f>IF(Tab_Compteur_2[[#This Row],[Fin de période]]&gt;0,IFERROR(B185-A185+1,""),"")</f>
        <v/>
      </c>
      <c r="G185" t="str">
        <f>IF(IFERROR(IF(Str_TypeDonneesCpt2=Cpt_Index,Tab_Compteur_2[[#This Row],[Index]]-E184,Tab_Compteur_2[[#This Row],[Quantité]])/Tab_Compteur_2[[#This Row],[Delta Jour]],"")&lt;0,"",IFERROR(IF(Str_TypeDonneesCpt2=Cpt_Index,Tab_Compteur_2[[#This Row],[Index]]-E184,Tab_Compteur_2[[#This Row],[Quantité]])/Tab_Compteur_2[[#This Row],[Delta Jour]],""))</f>
        <v/>
      </c>
      <c r="H185" s="193" t="str">
        <f>IFERROR(Tab_Compteur_2[[#This Row],[Colonne1]]/Tab_Compteur_2[[#This Row],[Delta Jour]],"")</f>
        <v/>
      </c>
      <c r="I185" s="215" t="str">
        <f t="shared" si="4"/>
        <v/>
      </c>
      <c r="J185" s="203"/>
      <c r="K185" s="73"/>
      <c r="L185" s="73"/>
      <c r="M185" s="73"/>
    </row>
    <row r="186" spans="1:13">
      <c r="A186" s="3">
        <f t="shared" si="5"/>
        <v>1</v>
      </c>
      <c r="C186" s="199"/>
      <c r="D186" s="202"/>
      <c r="E186" s="203"/>
      <c r="F186" s="193" t="str">
        <f>IF(Tab_Compteur_2[[#This Row],[Fin de période]]&gt;0,IFERROR(B186-A186+1,""),"")</f>
        <v/>
      </c>
      <c r="G186" t="str">
        <f>IF(IFERROR(IF(Str_TypeDonneesCpt2=Cpt_Index,Tab_Compteur_2[[#This Row],[Index]]-E185,Tab_Compteur_2[[#This Row],[Quantité]])/Tab_Compteur_2[[#This Row],[Delta Jour]],"")&lt;0,"",IFERROR(IF(Str_TypeDonneesCpt2=Cpt_Index,Tab_Compteur_2[[#This Row],[Index]]-E185,Tab_Compteur_2[[#This Row],[Quantité]])/Tab_Compteur_2[[#This Row],[Delta Jour]],""))</f>
        <v/>
      </c>
      <c r="H186" s="193" t="str">
        <f>IFERROR(Tab_Compteur_2[[#This Row],[Colonne1]]/Tab_Compteur_2[[#This Row],[Delta Jour]],"")</f>
        <v/>
      </c>
      <c r="I186" s="215" t="str">
        <f t="shared" si="4"/>
        <v/>
      </c>
      <c r="J186" s="203"/>
      <c r="K186" s="73"/>
      <c r="L186" s="73"/>
      <c r="M186" s="73"/>
    </row>
    <row r="187" spans="1:13">
      <c r="A187" s="3">
        <f t="shared" si="5"/>
        <v>1</v>
      </c>
      <c r="C187" s="199"/>
      <c r="D187" s="202"/>
      <c r="E187" s="203"/>
      <c r="F187" s="193" t="str">
        <f>IF(Tab_Compteur_2[[#This Row],[Fin de période]]&gt;0,IFERROR(B187-A187+1,""),"")</f>
        <v/>
      </c>
      <c r="G187" t="str">
        <f>IF(IFERROR(IF(Str_TypeDonneesCpt2=Cpt_Index,Tab_Compteur_2[[#This Row],[Index]]-E186,Tab_Compteur_2[[#This Row],[Quantité]])/Tab_Compteur_2[[#This Row],[Delta Jour]],"")&lt;0,"",IFERROR(IF(Str_TypeDonneesCpt2=Cpt_Index,Tab_Compteur_2[[#This Row],[Index]]-E186,Tab_Compteur_2[[#This Row],[Quantité]])/Tab_Compteur_2[[#This Row],[Delta Jour]],""))</f>
        <v/>
      </c>
      <c r="H187" s="193" t="str">
        <f>IFERROR(Tab_Compteur_2[[#This Row],[Colonne1]]/Tab_Compteur_2[[#This Row],[Delta Jour]],"")</f>
        <v/>
      </c>
      <c r="I187" s="215" t="str">
        <f t="shared" si="4"/>
        <v/>
      </c>
      <c r="J187" s="203"/>
      <c r="K187" s="73"/>
      <c r="L187" s="73"/>
      <c r="M187" s="73"/>
    </row>
    <row r="188" spans="1:13">
      <c r="A188" s="3">
        <f t="shared" si="5"/>
        <v>1</v>
      </c>
      <c r="C188" s="199"/>
      <c r="D188" s="202"/>
      <c r="E188" s="203"/>
      <c r="F188" s="193" t="str">
        <f>IF(Tab_Compteur_2[[#This Row],[Fin de période]]&gt;0,IFERROR(B188-A188+1,""),"")</f>
        <v/>
      </c>
      <c r="G188" t="str">
        <f>IF(IFERROR(IF(Str_TypeDonneesCpt2=Cpt_Index,Tab_Compteur_2[[#This Row],[Index]]-E187,Tab_Compteur_2[[#This Row],[Quantité]])/Tab_Compteur_2[[#This Row],[Delta Jour]],"")&lt;0,"",IFERROR(IF(Str_TypeDonneesCpt2=Cpt_Index,Tab_Compteur_2[[#This Row],[Index]]-E187,Tab_Compteur_2[[#This Row],[Quantité]])/Tab_Compteur_2[[#This Row],[Delta Jour]],""))</f>
        <v/>
      </c>
      <c r="H188" s="193" t="str">
        <f>IFERROR(Tab_Compteur_2[[#This Row],[Colonne1]]/Tab_Compteur_2[[#This Row],[Delta Jour]],"")</f>
        <v/>
      </c>
      <c r="I188" s="215" t="str">
        <f t="shared" si="4"/>
        <v/>
      </c>
      <c r="J188" s="203"/>
      <c r="K188" s="73"/>
      <c r="L188" s="73"/>
      <c r="M188" s="73"/>
    </row>
    <row r="189" spans="1:13">
      <c r="A189" s="3">
        <f t="shared" si="5"/>
        <v>1</v>
      </c>
      <c r="C189" s="199"/>
      <c r="D189" s="202"/>
      <c r="E189" s="203"/>
      <c r="F189" s="193" t="str">
        <f>IF(Tab_Compteur_2[[#This Row],[Fin de période]]&gt;0,IFERROR(B189-A189+1,""),"")</f>
        <v/>
      </c>
      <c r="G189" t="str">
        <f>IF(IFERROR(IF(Str_TypeDonneesCpt2=Cpt_Index,Tab_Compteur_2[[#This Row],[Index]]-E188,Tab_Compteur_2[[#This Row],[Quantité]])/Tab_Compteur_2[[#This Row],[Delta Jour]],"")&lt;0,"",IFERROR(IF(Str_TypeDonneesCpt2=Cpt_Index,Tab_Compteur_2[[#This Row],[Index]]-E188,Tab_Compteur_2[[#This Row],[Quantité]])/Tab_Compteur_2[[#This Row],[Delta Jour]],""))</f>
        <v/>
      </c>
      <c r="H189" s="193" t="str">
        <f>IFERROR(Tab_Compteur_2[[#This Row],[Colonne1]]/Tab_Compteur_2[[#This Row],[Delta Jour]],"")</f>
        <v/>
      </c>
      <c r="I189" s="215" t="str">
        <f t="shared" si="4"/>
        <v/>
      </c>
      <c r="J189" s="203"/>
      <c r="K189" s="73"/>
      <c r="L189" s="73"/>
      <c r="M189" s="73"/>
    </row>
    <row r="190" spans="1:13">
      <c r="A190" s="3">
        <f t="shared" si="5"/>
        <v>1</v>
      </c>
      <c r="C190" s="199"/>
      <c r="D190" s="202"/>
      <c r="E190" s="203"/>
      <c r="F190" s="193" t="str">
        <f>IF(Tab_Compteur_2[[#This Row],[Fin de période]]&gt;0,IFERROR(B190-A190+1,""),"")</f>
        <v/>
      </c>
      <c r="G190" t="str">
        <f>IF(IFERROR(IF(Str_TypeDonneesCpt2=Cpt_Index,Tab_Compteur_2[[#This Row],[Index]]-E189,Tab_Compteur_2[[#This Row],[Quantité]])/Tab_Compteur_2[[#This Row],[Delta Jour]],"")&lt;0,"",IFERROR(IF(Str_TypeDonneesCpt2=Cpt_Index,Tab_Compteur_2[[#This Row],[Index]]-E189,Tab_Compteur_2[[#This Row],[Quantité]])/Tab_Compteur_2[[#This Row],[Delta Jour]],""))</f>
        <v/>
      </c>
      <c r="H190" s="193" t="str">
        <f>IFERROR(Tab_Compteur_2[[#This Row],[Colonne1]]/Tab_Compteur_2[[#This Row],[Delta Jour]],"")</f>
        <v/>
      </c>
      <c r="I190" s="215" t="str">
        <f t="shared" si="4"/>
        <v/>
      </c>
      <c r="J190" s="203"/>
      <c r="K190" s="73"/>
      <c r="L190" s="73"/>
      <c r="M190" s="73"/>
    </row>
    <row r="191" spans="1:13">
      <c r="A191" s="3">
        <f t="shared" si="5"/>
        <v>1</v>
      </c>
      <c r="C191" s="199"/>
      <c r="D191" s="202"/>
      <c r="E191" s="203"/>
      <c r="F191" s="193" t="str">
        <f>IF(Tab_Compteur_2[[#This Row],[Fin de période]]&gt;0,IFERROR(B191-A191+1,""),"")</f>
        <v/>
      </c>
      <c r="G191" t="str">
        <f>IF(IFERROR(IF(Str_TypeDonneesCpt2=Cpt_Index,Tab_Compteur_2[[#This Row],[Index]]-E190,Tab_Compteur_2[[#This Row],[Quantité]])/Tab_Compteur_2[[#This Row],[Delta Jour]],"")&lt;0,"",IFERROR(IF(Str_TypeDonneesCpt2=Cpt_Index,Tab_Compteur_2[[#This Row],[Index]]-E190,Tab_Compteur_2[[#This Row],[Quantité]])/Tab_Compteur_2[[#This Row],[Delta Jour]],""))</f>
        <v/>
      </c>
      <c r="H191" s="193" t="str">
        <f>IFERROR(Tab_Compteur_2[[#This Row],[Colonne1]]/Tab_Compteur_2[[#This Row],[Delta Jour]],"")</f>
        <v/>
      </c>
      <c r="I191" s="215" t="str">
        <f t="shared" si="4"/>
        <v/>
      </c>
      <c r="J191" s="203"/>
      <c r="K191" s="73"/>
      <c r="L191" s="73"/>
      <c r="M191" s="73"/>
    </row>
    <row r="192" spans="1:13">
      <c r="A192" s="3">
        <f t="shared" si="5"/>
        <v>1</v>
      </c>
      <c r="C192" s="199"/>
      <c r="D192" s="202"/>
      <c r="E192" s="203"/>
      <c r="F192" s="193" t="str">
        <f>IF(Tab_Compteur_2[[#This Row],[Fin de période]]&gt;0,IFERROR(B192-A192+1,""),"")</f>
        <v/>
      </c>
      <c r="G192" t="str">
        <f>IF(IFERROR(IF(Str_TypeDonneesCpt2=Cpt_Index,Tab_Compteur_2[[#This Row],[Index]]-E191,Tab_Compteur_2[[#This Row],[Quantité]])/Tab_Compteur_2[[#This Row],[Delta Jour]],"")&lt;0,"",IFERROR(IF(Str_TypeDonneesCpt2=Cpt_Index,Tab_Compteur_2[[#This Row],[Index]]-E191,Tab_Compteur_2[[#This Row],[Quantité]])/Tab_Compteur_2[[#This Row],[Delta Jour]],""))</f>
        <v/>
      </c>
      <c r="H192" s="193" t="str">
        <f>IFERROR(Tab_Compteur_2[[#This Row],[Colonne1]]/Tab_Compteur_2[[#This Row],[Delta Jour]],"")</f>
        <v/>
      </c>
      <c r="I192" s="215" t="str">
        <f t="shared" si="4"/>
        <v/>
      </c>
      <c r="J192" s="203"/>
      <c r="K192" s="73"/>
      <c r="L192" s="73"/>
      <c r="M192" s="73"/>
    </row>
    <row r="193" spans="1:13">
      <c r="A193" s="3">
        <f t="shared" si="5"/>
        <v>1</v>
      </c>
      <c r="C193" s="199"/>
      <c r="D193" s="202"/>
      <c r="E193" s="203"/>
      <c r="F193" s="193" t="str">
        <f>IF(Tab_Compteur_2[[#This Row],[Fin de période]]&gt;0,IFERROR(B193-A193+1,""),"")</f>
        <v/>
      </c>
      <c r="G193" t="str">
        <f>IF(IFERROR(IF(Str_TypeDonneesCpt2=Cpt_Index,Tab_Compteur_2[[#This Row],[Index]]-E192,Tab_Compteur_2[[#This Row],[Quantité]])/Tab_Compteur_2[[#This Row],[Delta Jour]],"")&lt;0,"",IFERROR(IF(Str_TypeDonneesCpt2=Cpt_Index,Tab_Compteur_2[[#This Row],[Index]]-E192,Tab_Compteur_2[[#This Row],[Quantité]])/Tab_Compteur_2[[#This Row],[Delta Jour]],""))</f>
        <v/>
      </c>
      <c r="H193" s="193" t="str">
        <f>IFERROR(Tab_Compteur_2[[#This Row],[Colonne1]]/Tab_Compteur_2[[#This Row],[Delta Jour]],"")</f>
        <v/>
      </c>
      <c r="I193" s="215" t="str">
        <f t="shared" si="4"/>
        <v/>
      </c>
      <c r="J193" s="203"/>
      <c r="K193" s="73"/>
      <c r="L193" s="73"/>
      <c r="M193" s="73"/>
    </row>
    <row r="194" spans="1:13">
      <c r="A194" s="3">
        <f t="shared" si="5"/>
        <v>1</v>
      </c>
      <c r="C194" s="199"/>
      <c r="D194" s="202"/>
      <c r="E194" s="203"/>
      <c r="F194" s="193" t="str">
        <f>IF(Tab_Compteur_2[[#This Row],[Fin de période]]&gt;0,IFERROR(B194-A194+1,""),"")</f>
        <v/>
      </c>
      <c r="G194" t="str">
        <f>IF(IFERROR(IF(Str_TypeDonneesCpt2=Cpt_Index,Tab_Compteur_2[[#This Row],[Index]]-E193,Tab_Compteur_2[[#This Row],[Quantité]])/Tab_Compteur_2[[#This Row],[Delta Jour]],"")&lt;0,"",IFERROR(IF(Str_TypeDonneesCpt2=Cpt_Index,Tab_Compteur_2[[#This Row],[Index]]-E193,Tab_Compteur_2[[#This Row],[Quantité]])/Tab_Compteur_2[[#This Row],[Delta Jour]],""))</f>
        <v/>
      </c>
      <c r="H194" s="193" t="str">
        <f>IFERROR(Tab_Compteur_2[[#This Row],[Colonne1]]/Tab_Compteur_2[[#This Row],[Delta Jour]],"")</f>
        <v/>
      </c>
      <c r="I194" s="215" t="str">
        <f t="shared" si="4"/>
        <v/>
      </c>
      <c r="J194" s="203"/>
      <c r="K194" s="73"/>
      <c r="L194" s="73"/>
      <c r="M194" s="73"/>
    </row>
    <row r="195" spans="1:13">
      <c r="A195" s="3">
        <f t="shared" si="5"/>
        <v>1</v>
      </c>
      <c r="C195" s="199"/>
      <c r="D195" s="202"/>
      <c r="E195" s="203"/>
      <c r="F195" s="193" t="str">
        <f>IF(Tab_Compteur_2[[#This Row],[Fin de période]]&gt;0,IFERROR(B195-A195+1,""),"")</f>
        <v/>
      </c>
      <c r="G195" t="str">
        <f>IF(IFERROR(IF(Str_TypeDonneesCpt2=Cpt_Index,Tab_Compteur_2[[#This Row],[Index]]-E194,Tab_Compteur_2[[#This Row],[Quantité]])/Tab_Compteur_2[[#This Row],[Delta Jour]],"")&lt;0,"",IFERROR(IF(Str_TypeDonneesCpt2=Cpt_Index,Tab_Compteur_2[[#This Row],[Index]]-E194,Tab_Compteur_2[[#This Row],[Quantité]])/Tab_Compteur_2[[#This Row],[Delta Jour]],""))</f>
        <v/>
      </c>
      <c r="H195" s="193" t="str">
        <f>IFERROR(Tab_Compteur_2[[#This Row],[Colonne1]]/Tab_Compteur_2[[#This Row],[Delta Jour]],"")</f>
        <v/>
      </c>
      <c r="I195" s="215" t="str">
        <f t="shared" ref="I195:I243" si="6">G195</f>
        <v/>
      </c>
      <c r="J195" s="203"/>
      <c r="K195" s="73"/>
      <c r="L195" s="73"/>
      <c r="M195" s="73"/>
    </row>
    <row r="196" spans="1:13">
      <c r="A196" s="3">
        <f t="shared" si="5"/>
        <v>1</v>
      </c>
      <c r="C196" s="199"/>
      <c r="D196" s="202"/>
      <c r="E196" s="203"/>
      <c r="F196" s="193" t="str">
        <f>IF(Tab_Compteur_2[[#This Row],[Fin de période]]&gt;0,IFERROR(B196-A196+1,""),"")</f>
        <v/>
      </c>
      <c r="G196" t="str">
        <f>IF(IFERROR(IF(Str_TypeDonneesCpt2=Cpt_Index,Tab_Compteur_2[[#This Row],[Index]]-E195,Tab_Compteur_2[[#This Row],[Quantité]])/Tab_Compteur_2[[#This Row],[Delta Jour]],"")&lt;0,"",IFERROR(IF(Str_TypeDonneesCpt2=Cpt_Index,Tab_Compteur_2[[#This Row],[Index]]-E195,Tab_Compteur_2[[#This Row],[Quantité]])/Tab_Compteur_2[[#This Row],[Delta Jour]],""))</f>
        <v/>
      </c>
      <c r="H196" s="193" t="str">
        <f>IFERROR(Tab_Compteur_2[[#This Row],[Colonne1]]/Tab_Compteur_2[[#This Row],[Delta Jour]],"")</f>
        <v/>
      </c>
      <c r="I196" s="215" t="str">
        <f t="shared" si="6"/>
        <v/>
      </c>
      <c r="J196" s="203"/>
      <c r="K196" s="73"/>
      <c r="L196" s="73"/>
      <c r="M196" s="73"/>
    </row>
    <row r="197" spans="1:13">
      <c r="A197" s="3">
        <f t="shared" si="5"/>
        <v>1</v>
      </c>
      <c r="C197" s="199"/>
      <c r="D197" s="202"/>
      <c r="E197" s="203"/>
      <c r="F197" s="193" t="str">
        <f>IF(Tab_Compteur_2[[#This Row],[Fin de période]]&gt;0,IFERROR(B197-A197+1,""),"")</f>
        <v/>
      </c>
      <c r="G197" t="str">
        <f>IF(IFERROR(IF(Str_TypeDonneesCpt2=Cpt_Index,Tab_Compteur_2[[#This Row],[Index]]-E196,Tab_Compteur_2[[#This Row],[Quantité]])/Tab_Compteur_2[[#This Row],[Delta Jour]],"")&lt;0,"",IFERROR(IF(Str_TypeDonneesCpt2=Cpt_Index,Tab_Compteur_2[[#This Row],[Index]]-E196,Tab_Compteur_2[[#This Row],[Quantité]])/Tab_Compteur_2[[#This Row],[Delta Jour]],""))</f>
        <v/>
      </c>
      <c r="H197" s="193" t="str">
        <f>IFERROR(Tab_Compteur_2[[#This Row],[Colonne1]]/Tab_Compteur_2[[#This Row],[Delta Jour]],"")</f>
        <v/>
      </c>
      <c r="I197" s="215" t="str">
        <f t="shared" si="6"/>
        <v/>
      </c>
      <c r="J197" s="203"/>
      <c r="K197" s="73"/>
      <c r="L197" s="73"/>
      <c r="M197" s="73"/>
    </row>
    <row r="198" spans="1:13">
      <c r="A198" s="3">
        <f t="shared" ref="A198:A243" si="7">IFERROR(B197+1,0)</f>
        <v>1</v>
      </c>
      <c r="C198" s="199"/>
      <c r="D198" s="202"/>
      <c r="E198" s="203"/>
      <c r="F198" s="193" t="str">
        <f>IF(Tab_Compteur_2[[#This Row],[Fin de période]]&gt;0,IFERROR(B198-A198+1,""),"")</f>
        <v/>
      </c>
      <c r="G198" t="str">
        <f>IF(IFERROR(IF(Str_TypeDonneesCpt2=Cpt_Index,Tab_Compteur_2[[#This Row],[Index]]-E197,Tab_Compteur_2[[#This Row],[Quantité]])/Tab_Compteur_2[[#This Row],[Delta Jour]],"")&lt;0,"",IFERROR(IF(Str_TypeDonneesCpt2=Cpt_Index,Tab_Compteur_2[[#This Row],[Index]]-E197,Tab_Compteur_2[[#This Row],[Quantité]])/Tab_Compteur_2[[#This Row],[Delta Jour]],""))</f>
        <v/>
      </c>
      <c r="H198" s="193" t="str">
        <f>IFERROR(Tab_Compteur_2[[#This Row],[Colonne1]]/Tab_Compteur_2[[#This Row],[Delta Jour]],"")</f>
        <v/>
      </c>
      <c r="I198" s="215" t="str">
        <f t="shared" si="6"/>
        <v/>
      </c>
      <c r="J198" s="499"/>
      <c r="K198" s="73"/>
      <c r="L198" s="73"/>
      <c r="M198" s="73"/>
    </row>
    <row r="199" spans="1:13">
      <c r="A199" s="3">
        <f t="shared" si="7"/>
        <v>1</v>
      </c>
      <c r="C199" s="199"/>
      <c r="D199" s="202"/>
      <c r="E199" s="203"/>
      <c r="F199" s="193" t="str">
        <f>IF(Tab_Compteur_2[[#This Row],[Fin de période]]&gt;0,IFERROR(B199-A199+1,""),"")</f>
        <v/>
      </c>
      <c r="G199" t="str">
        <f>IF(IFERROR(IF(Str_TypeDonneesCpt2=Cpt_Index,Tab_Compteur_2[[#This Row],[Index]]-E198,Tab_Compteur_2[[#This Row],[Quantité]])/Tab_Compteur_2[[#This Row],[Delta Jour]],"")&lt;0,"",IFERROR(IF(Str_TypeDonneesCpt2=Cpt_Index,Tab_Compteur_2[[#This Row],[Index]]-E198,Tab_Compteur_2[[#This Row],[Quantité]])/Tab_Compteur_2[[#This Row],[Delta Jour]],""))</f>
        <v/>
      </c>
      <c r="H199" s="193" t="str">
        <f>IFERROR(Tab_Compteur_2[[#This Row],[Colonne1]]/Tab_Compteur_2[[#This Row],[Delta Jour]],"")</f>
        <v/>
      </c>
      <c r="I199" s="215" t="str">
        <f t="shared" si="6"/>
        <v/>
      </c>
      <c r="J199" s="499"/>
      <c r="K199" s="73"/>
      <c r="L199" s="73"/>
      <c r="M199" s="73"/>
    </row>
    <row r="200" spans="1:13">
      <c r="A200" s="3">
        <f t="shared" si="7"/>
        <v>1</v>
      </c>
      <c r="C200" s="199"/>
      <c r="D200" s="202"/>
      <c r="E200" s="203"/>
      <c r="F200" s="193" t="str">
        <f>IF(Tab_Compteur_2[[#This Row],[Fin de période]]&gt;0,IFERROR(B200-A200+1,""),"")</f>
        <v/>
      </c>
      <c r="G200" t="str">
        <f>IF(IFERROR(IF(Str_TypeDonneesCpt2=Cpt_Index,Tab_Compteur_2[[#This Row],[Index]]-E199,Tab_Compteur_2[[#This Row],[Quantité]])/Tab_Compteur_2[[#This Row],[Delta Jour]],"")&lt;0,"",IFERROR(IF(Str_TypeDonneesCpt2=Cpt_Index,Tab_Compteur_2[[#This Row],[Index]]-E199,Tab_Compteur_2[[#This Row],[Quantité]])/Tab_Compteur_2[[#This Row],[Delta Jour]],""))</f>
        <v/>
      </c>
      <c r="H200" s="193" t="str">
        <f>IFERROR(Tab_Compteur_2[[#This Row],[Colonne1]]/Tab_Compteur_2[[#This Row],[Delta Jour]],"")</f>
        <v/>
      </c>
      <c r="I200" s="215" t="str">
        <f t="shared" si="6"/>
        <v/>
      </c>
      <c r="J200" s="203"/>
      <c r="K200" s="73"/>
      <c r="L200" s="73"/>
      <c r="M200" s="73"/>
    </row>
    <row r="201" spans="1:13">
      <c r="A201" s="3">
        <f t="shared" si="7"/>
        <v>1</v>
      </c>
      <c r="C201" s="199"/>
      <c r="D201" s="202"/>
      <c r="E201" s="203"/>
      <c r="F201" s="193" t="str">
        <f>IF(Tab_Compteur_2[[#This Row],[Fin de période]]&gt;0,IFERROR(B201-A201+1,""),"")</f>
        <v/>
      </c>
      <c r="G201" t="str">
        <f>IF(IFERROR(IF(Str_TypeDonneesCpt2=Cpt_Index,Tab_Compteur_2[[#This Row],[Index]]-E200,Tab_Compteur_2[[#This Row],[Quantité]])/Tab_Compteur_2[[#This Row],[Delta Jour]],"")&lt;0,"",IFERROR(IF(Str_TypeDonneesCpt2=Cpt_Index,Tab_Compteur_2[[#This Row],[Index]]-E200,Tab_Compteur_2[[#This Row],[Quantité]])/Tab_Compteur_2[[#This Row],[Delta Jour]],""))</f>
        <v/>
      </c>
      <c r="H201" s="193" t="str">
        <f>IFERROR(Tab_Compteur_2[[#This Row],[Colonne1]]/Tab_Compteur_2[[#This Row],[Delta Jour]],"")</f>
        <v/>
      </c>
      <c r="I201" s="215" t="str">
        <f t="shared" si="6"/>
        <v/>
      </c>
      <c r="J201" s="203"/>
      <c r="K201" s="73"/>
      <c r="L201" s="73"/>
      <c r="M201" s="73"/>
    </row>
    <row r="202" spans="1:13">
      <c r="A202" s="3">
        <f t="shared" si="7"/>
        <v>1</v>
      </c>
      <c r="C202" s="199"/>
      <c r="D202" s="202"/>
      <c r="E202" s="203"/>
      <c r="F202" s="193" t="str">
        <f>IF(Tab_Compteur_2[[#This Row],[Fin de période]]&gt;0,IFERROR(B202-A202+1,""),"")</f>
        <v/>
      </c>
      <c r="G202" t="str">
        <f>IF(IFERROR(IF(Str_TypeDonneesCpt2=Cpt_Index,Tab_Compteur_2[[#This Row],[Index]]-E201,Tab_Compteur_2[[#This Row],[Quantité]])/Tab_Compteur_2[[#This Row],[Delta Jour]],"")&lt;0,"",IFERROR(IF(Str_TypeDonneesCpt2=Cpt_Index,Tab_Compteur_2[[#This Row],[Index]]-E201,Tab_Compteur_2[[#This Row],[Quantité]])/Tab_Compteur_2[[#This Row],[Delta Jour]],""))</f>
        <v/>
      </c>
      <c r="H202" s="193" t="str">
        <f>IFERROR(Tab_Compteur_2[[#This Row],[Colonne1]]/Tab_Compteur_2[[#This Row],[Delta Jour]],"")</f>
        <v/>
      </c>
      <c r="I202" s="215" t="str">
        <f t="shared" si="6"/>
        <v/>
      </c>
      <c r="J202" s="203"/>
      <c r="K202" s="73"/>
      <c r="L202" s="73"/>
      <c r="M202" s="73"/>
    </row>
    <row r="203" spans="1:13">
      <c r="A203" s="3">
        <f t="shared" si="7"/>
        <v>1</v>
      </c>
      <c r="C203" s="199"/>
      <c r="D203" s="202"/>
      <c r="E203" s="203"/>
      <c r="F203" s="193" t="str">
        <f>IF(Tab_Compteur_2[[#This Row],[Fin de période]]&gt;0,IFERROR(B203-A203+1,""),"")</f>
        <v/>
      </c>
      <c r="G203" t="str">
        <f>IF(IFERROR(IF(Str_TypeDonneesCpt2=Cpt_Index,Tab_Compteur_2[[#This Row],[Index]]-E202,Tab_Compteur_2[[#This Row],[Quantité]])/Tab_Compteur_2[[#This Row],[Delta Jour]],"")&lt;0,"",IFERROR(IF(Str_TypeDonneesCpt2=Cpt_Index,Tab_Compteur_2[[#This Row],[Index]]-E202,Tab_Compteur_2[[#This Row],[Quantité]])/Tab_Compteur_2[[#This Row],[Delta Jour]],""))</f>
        <v/>
      </c>
      <c r="H203" s="193" t="str">
        <f>IFERROR(Tab_Compteur_2[[#This Row],[Colonne1]]/Tab_Compteur_2[[#This Row],[Delta Jour]],"")</f>
        <v/>
      </c>
      <c r="I203" s="215" t="str">
        <f t="shared" si="6"/>
        <v/>
      </c>
      <c r="J203" s="203"/>
      <c r="K203" s="73"/>
      <c r="L203" s="73"/>
      <c r="M203" s="73"/>
    </row>
    <row r="204" spans="1:13">
      <c r="A204" s="3">
        <f t="shared" si="7"/>
        <v>1</v>
      </c>
      <c r="C204" s="199"/>
      <c r="D204" s="202"/>
      <c r="E204" s="203"/>
      <c r="F204" s="193" t="str">
        <f>IF(Tab_Compteur_2[[#This Row],[Fin de période]]&gt;0,IFERROR(B204-A204+1,""),"")</f>
        <v/>
      </c>
      <c r="G204" t="str">
        <f>IF(IFERROR(IF(Str_TypeDonneesCpt2=Cpt_Index,Tab_Compteur_2[[#This Row],[Index]]-E203,Tab_Compteur_2[[#This Row],[Quantité]])/Tab_Compteur_2[[#This Row],[Delta Jour]],"")&lt;0,"",IFERROR(IF(Str_TypeDonneesCpt2=Cpt_Index,Tab_Compteur_2[[#This Row],[Index]]-E203,Tab_Compteur_2[[#This Row],[Quantité]])/Tab_Compteur_2[[#This Row],[Delta Jour]],""))</f>
        <v/>
      </c>
      <c r="H204" s="193" t="str">
        <f>IFERROR(Tab_Compteur_2[[#This Row],[Colonne1]]/Tab_Compteur_2[[#This Row],[Delta Jour]],"")</f>
        <v/>
      </c>
      <c r="I204" s="215" t="str">
        <f t="shared" si="6"/>
        <v/>
      </c>
      <c r="J204" s="203"/>
      <c r="K204" s="73"/>
      <c r="L204" s="73"/>
      <c r="M204" s="73"/>
    </row>
    <row r="205" spans="1:13">
      <c r="A205" s="3">
        <f t="shared" si="7"/>
        <v>1</v>
      </c>
      <c r="C205" s="199"/>
      <c r="D205" s="202"/>
      <c r="E205" s="203"/>
      <c r="F205" s="193" t="str">
        <f>IF(Tab_Compteur_2[[#This Row],[Fin de période]]&gt;0,IFERROR(B205-A205+1,""),"")</f>
        <v/>
      </c>
      <c r="G205" t="str">
        <f>IF(IFERROR(IF(Str_TypeDonneesCpt2=Cpt_Index,Tab_Compteur_2[[#This Row],[Index]]-E204,Tab_Compteur_2[[#This Row],[Quantité]])/Tab_Compteur_2[[#This Row],[Delta Jour]],"")&lt;0,"",IFERROR(IF(Str_TypeDonneesCpt2=Cpt_Index,Tab_Compteur_2[[#This Row],[Index]]-E204,Tab_Compteur_2[[#This Row],[Quantité]])/Tab_Compteur_2[[#This Row],[Delta Jour]],""))</f>
        <v/>
      </c>
      <c r="H205" s="193" t="str">
        <f>IFERROR(Tab_Compteur_2[[#This Row],[Colonne1]]/Tab_Compteur_2[[#This Row],[Delta Jour]],"")</f>
        <v/>
      </c>
      <c r="I205" s="215" t="str">
        <f t="shared" si="6"/>
        <v/>
      </c>
      <c r="J205" s="203"/>
      <c r="K205" s="73"/>
      <c r="L205" s="73"/>
      <c r="M205" s="73"/>
    </row>
    <row r="206" spans="1:13">
      <c r="A206" s="3">
        <f t="shared" si="7"/>
        <v>1</v>
      </c>
      <c r="C206" s="199"/>
      <c r="D206" s="202"/>
      <c r="E206" s="203"/>
      <c r="F206" s="193" t="str">
        <f>IF(Tab_Compteur_2[[#This Row],[Fin de période]]&gt;0,IFERROR(B206-A206+1,""),"")</f>
        <v/>
      </c>
      <c r="G206" t="str">
        <f>IF(IFERROR(IF(Str_TypeDonneesCpt2=Cpt_Index,Tab_Compteur_2[[#This Row],[Index]]-E205,Tab_Compteur_2[[#This Row],[Quantité]])/Tab_Compteur_2[[#This Row],[Delta Jour]],"")&lt;0,"",IFERROR(IF(Str_TypeDonneesCpt2=Cpt_Index,Tab_Compteur_2[[#This Row],[Index]]-E205,Tab_Compteur_2[[#This Row],[Quantité]])/Tab_Compteur_2[[#This Row],[Delta Jour]],""))</f>
        <v/>
      </c>
      <c r="H206" s="193" t="str">
        <f>IFERROR(Tab_Compteur_2[[#This Row],[Colonne1]]/Tab_Compteur_2[[#This Row],[Delta Jour]],"")</f>
        <v/>
      </c>
      <c r="I206" s="215" t="str">
        <f t="shared" si="6"/>
        <v/>
      </c>
      <c r="J206" s="203"/>
      <c r="K206" s="73"/>
      <c r="L206" s="73"/>
      <c r="M206" s="73"/>
    </row>
    <row r="207" spans="1:13">
      <c r="A207" s="3">
        <f t="shared" si="7"/>
        <v>1</v>
      </c>
      <c r="C207" s="199"/>
      <c r="D207" s="202"/>
      <c r="E207" s="203"/>
      <c r="F207" s="193" t="str">
        <f>IF(Tab_Compteur_2[[#This Row],[Fin de période]]&gt;0,IFERROR(B207-A207+1,""),"")</f>
        <v/>
      </c>
      <c r="G207" t="str">
        <f>IF(IFERROR(IF(Str_TypeDonneesCpt2=Cpt_Index,Tab_Compteur_2[[#This Row],[Index]]-E206,Tab_Compteur_2[[#This Row],[Quantité]])/Tab_Compteur_2[[#This Row],[Delta Jour]],"")&lt;0,"",IFERROR(IF(Str_TypeDonneesCpt2=Cpt_Index,Tab_Compteur_2[[#This Row],[Index]]-E206,Tab_Compteur_2[[#This Row],[Quantité]])/Tab_Compteur_2[[#This Row],[Delta Jour]],""))</f>
        <v/>
      </c>
      <c r="H207" s="193" t="str">
        <f>IFERROR(Tab_Compteur_2[[#This Row],[Colonne1]]/Tab_Compteur_2[[#This Row],[Delta Jour]],"")</f>
        <v/>
      </c>
      <c r="I207" s="215" t="str">
        <f t="shared" si="6"/>
        <v/>
      </c>
      <c r="J207" s="203"/>
      <c r="K207" s="73"/>
      <c r="L207" s="73"/>
      <c r="M207" s="73"/>
    </row>
    <row r="208" spans="1:13">
      <c r="A208" s="3">
        <f t="shared" si="7"/>
        <v>1</v>
      </c>
      <c r="C208" s="199"/>
      <c r="D208" s="202"/>
      <c r="E208" s="203"/>
      <c r="F208" s="193" t="str">
        <f>IF(Tab_Compteur_2[[#This Row],[Fin de période]]&gt;0,IFERROR(B208-A208+1,""),"")</f>
        <v/>
      </c>
      <c r="G208" t="str">
        <f>IF(IFERROR(IF(Str_TypeDonneesCpt2=Cpt_Index,Tab_Compteur_2[[#This Row],[Index]]-E207,Tab_Compteur_2[[#This Row],[Quantité]])/Tab_Compteur_2[[#This Row],[Delta Jour]],"")&lt;0,"",IFERROR(IF(Str_TypeDonneesCpt2=Cpt_Index,Tab_Compteur_2[[#This Row],[Index]]-E207,Tab_Compteur_2[[#This Row],[Quantité]])/Tab_Compteur_2[[#This Row],[Delta Jour]],""))</f>
        <v/>
      </c>
      <c r="H208" s="193" t="str">
        <f>IFERROR(Tab_Compteur_2[[#This Row],[Colonne1]]/Tab_Compteur_2[[#This Row],[Delta Jour]],"")</f>
        <v/>
      </c>
      <c r="I208" s="215" t="str">
        <f t="shared" si="6"/>
        <v/>
      </c>
      <c r="J208" s="203"/>
      <c r="K208" s="73"/>
      <c r="L208" s="73"/>
      <c r="M208" s="73"/>
    </row>
    <row r="209" spans="1:13">
      <c r="A209" s="3">
        <f t="shared" si="7"/>
        <v>1</v>
      </c>
      <c r="C209" s="199"/>
      <c r="D209" s="202"/>
      <c r="E209" s="203"/>
      <c r="F209" s="193" t="str">
        <f>IF(Tab_Compteur_2[[#This Row],[Fin de période]]&gt;0,IFERROR(B209-A209+1,""),"")</f>
        <v/>
      </c>
      <c r="G209" t="str">
        <f>IF(IFERROR(IF(Str_TypeDonneesCpt2=Cpt_Index,Tab_Compteur_2[[#This Row],[Index]]-E208,Tab_Compteur_2[[#This Row],[Quantité]])/Tab_Compteur_2[[#This Row],[Delta Jour]],"")&lt;0,"",IFERROR(IF(Str_TypeDonneesCpt2=Cpt_Index,Tab_Compteur_2[[#This Row],[Index]]-E208,Tab_Compteur_2[[#This Row],[Quantité]])/Tab_Compteur_2[[#This Row],[Delta Jour]],""))</f>
        <v/>
      </c>
      <c r="H209" s="193" t="str">
        <f>IFERROR(Tab_Compteur_2[[#This Row],[Colonne1]]/Tab_Compteur_2[[#This Row],[Delta Jour]],"")</f>
        <v/>
      </c>
      <c r="I209" s="215" t="str">
        <f t="shared" si="6"/>
        <v/>
      </c>
      <c r="J209" s="203"/>
      <c r="K209" s="73"/>
      <c r="L209" s="73"/>
      <c r="M209" s="73"/>
    </row>
    <row r="210" spans="1:13">
      <c r="A210" s="3">
        <f t="shared" si="7"/>
        <v>1</v>
      </c>
      <c r="C210" s="199"/>
      <c r="D210" s="202"/>
      <c r="E210" s="203"/>
      <c r="F210" s="193" t="str">
        <f>IF(Tab_Compteur_2[[#This Row],[Fin de période]]&gt;0,IFERROR(B210-A210+1,""),"")</f>
        <v/>
      </c>
      <c r="G210" t="str">
        <f>IF(IFERROR(IF(Str_TypeDonneesCpt2=Cpt_Index,Tab_Compteur_2[[#This Row],[Index]]-E209,Tab_Compteur_2[[#This Row],[Quantité]])/Tab_Compteur_2[[#This Row],[Delta Jour]],"")&lt;0,"",IFERROR(IF(Str_TypeDonneesCpt2=Cpt_Index,Tab_Compteur_2[[#This Row],[Index]]-E209,Tab_Compteur_2[[#This Row],[Quantité]])/Tab_Compteur_2[[#This Row],[Delta Jour]],""))</f>
        <v/>
      </c>
      <c r="H210" s="193" t="str">
        <f>IFERROR(Tab_Compteur_2[[#This Row],[Colonne1]]/Tab_Compteur_2[[#This Row],[Delta Jour]],"")</f>
        <v/>
      </c>
      <c r="I210" s="215" t="str">
        <f t="shared" si="6"/>
        <v/>
      </c>
      <c r="J210" s="203"/>
      <c r="K210" s="73"/>
      <c r="L210" s="73"/>
      <c r="M210" s="73"/>
    </row>
    <row r="211" spans="1:13">
      <c r="A211" s="3">
        <f t="shared" si="7"/>
        <v>1</v>
      </c>
      <c r="C211" s="199"/>
      <c r="D211" s="202"/>
      <c r="E211" s="203"/>
      <c r="F211" s="193" t="str">
        <f>IF(Tab_Compteur_2[[#This Row],[Fin de période]]&gt;0,IFERROR(B211-A211+1,""),"")</f>
        <v/>
      </c>
      <c r="G211" t="str">
        <f>IF(IFERROR(IF(Str_TypeDonneesCpt2=Cpt_Index,Tab_Compteur_2[[#This Row],[Index]]-E210,Tab_Compteur_2[[#This Row],[Quantité]])/Tab_Compteur_2[[#This Row],[Delta Jour]],"")&lt;0,"",IFERROR(IF(Str_TypeDonneesCpt2=Cpt_Index,Tab_Compteur_2[[#This Row],[Index]]-E210,Tab_Compteur_2[[#This Row],[Quantité]])/Tab_Compteur_2[[#This Row],[Delta Jour]],""))</f>
        <v/>
      </c>
      <c r="H211" s="193" t="str">
        <f>IFERROR(Tab_Compteur_2[[#This Row],[Colonne1]]/Tab_Compteur_2[[#This Row],[Delta Jour]],"")</f>
        <v/>
      </c>
      <c r="I211" s="215" t="str">
        <f t="shared" si="6"/>
        <v/>
      </c>
      <c r="J211" s="203"/>
      <c r="K211" s="73"/>
      <c r="L211" s="73"/>
      <c r="M211" s="73"/>
    </row>
    <row r="212" spans="1:13">
      <c r="A212" s="3">
        <f t="shared" si="7"/>
        <v>1</v>
      </c>
      <c r="C212" s="199"/>
      <c r="D212" s="202"/>
      <c r="E212" s="203"/>
      <c r="F212" s="193" t="str">
        <f>IF(Tab_Compteur_2[[#This Row],[Fin de période]]&gt;0,IFERROR(B212-A212+1,""),"")</f>
        <v/>
      </c>
      <c r="G212" t="str">
        <f>IF(IFERROR(IF(Str_TypeDonneesCpt2=Cpt_Index,Tab_Compteur_2[[#This Row],[Index]]-E211,Tab_Compteur_2[[#This Row],[Quantité]])/Tab_Compteur_2[[#This Row],[Delta Jour]],"")&lt;0,"",IFERROR(IF(Str_TypeDonneesCpt2=Cpt_Index,Tab_Compteur_2[[#This Row],[Index]]-E211,Tab_Compteur_2[[#This Row],[Quantité]])/Tab_Compteur_2[[#This Row],[Delta Jour]],""))</f>
        <v/>
      </c>
      <c r="H212" s="193" t="str">
        <f>IFERROR(Tab_Compteur_2[[#This Row],[Colonne1]]/Tab_Compteur_2[[#This Row],[Delta Jour]],"")</f>
        <v/>
      </c>
      <c r="I212" s="215" t="str">
        <f t="shared" si="6"/>
        <v/>
      </c>
      <c r="J212" s="203"/>
      <c r="K212" s="73"/>
      <c r="L212" s="73"/>
      <c r="M212" s="73"/>
    </row>
    <row r="213" spans="1:13">
      <c r="A213" s="3">
        <f t="shared" si="7"/>
        <v>1</v>
      </c>
      <c r="C213" s="199"/>
      <c r="D213" s="202"/>
      <c r="E213" s="203"/>
      <c r="F213" s="193" t="str">
        <f>IF(Tab_Compteur_2[[#This Row],[Fin de période]]&gt;0,IFERROR(B213-A213+1,""),"")</f>
        <v/>
      </c>
      <c r="G213" t="str">
        <f>IF(IFERROR(IF(Str_TypeDonneesCpt2=Cpt_Index,Tab_Compteur_2[[#This Row],[Index]]-E212,Tab_Compteur_2[[#This Row],[Quantité]])/Tab_Compteur_2[[#This Row],[Delta Jour]],"")&lt;0,"",IFERROR(IF(Str_TypeDonneesCpt2=Cpt_Index,Tab_Compteur_2[[#This Row],[Index]]-E212,Tab_Compteur_2[[#This Row],[Quantité]])/Tab_Compteur_2[[#This Row],[Delta Jour]],""))</f>
        <v/>
      </c>
      <c r="H213" s="193" t="str">
        <f>IFERROR(Tab_Compteur_2[[#This Row],[Colonne1]]/Tab_Compteur_2[[#This Row],[Delta Jour]],"")</f>
        <v/>
      </c>
      <c r="I213" s="215" t="str">
        <f t="shared" si="6"/>
        <v/>
      </c>
      <c r="J213" s="203"/>
      <c r="K213" s="73"/>
      <c r="L213" s="73"/>
      <c r="M213" s="73"/>
    </row>
    <row r="214" spans="1:13">
      <c r="A214" s="3">
        <f t="shared" si="7"/>
        <v>1</v>
      </c>
      <c r="C214" s="199"/>
      <c r="D214" s="202"/>
      <c r="E214" s="203"/>
      <c r="F214" s="193" t="str">
        <f>IF(Tab_Compteur_2[[#This Row],[Fin de période]]&gt;0,IFERROR(B214-A214+1,""),"")</f>
        <v/>
      </c>
      <c r="G214" t="str">
        <f>IF(IFERROR(IF(Str_TypeDonneesCpt2=Cpt_Index,Tab_Compteur_2[[#This Row],[Index]]-E213,Tab_Compteur_2[[#This Row],[Quantité]])/Tab_Compteur_2[[#This Row],[Delta Jour]],"")&lt;0,"",IFERROR(IF(Str_TypeDonneesCpt2=Cpt_Index,Tab_Compteur_2[[#This Row],[Index]]-E213,Tab_Compteur_2[[#This Row],[Quantité]])/Tab_Compteur_2[[#This Row],[Delta Jour]],""))</f>
        <v/>
      </c>
      <c r="H214" s="193" t="str">
        <f>IFERROR(Tab_Compteur_2[[#This Row],[Colonne1]]/Tab_Compteur_2[[#This Row],[Delta Jour]],"")</f>
        <v/>
      </c>
      <c r="I214" s="215" t="str">
        <f t="shared" si="6"/>
        <v/>
      </c>
      <c r="J214" s="203"/>
      <c r="K214" s="73"/>
      <c r="L214" s="73"/>
      <c r="M214" s="73"/>
    </row>
    <row r="215" spans="1:13">
      <c r="A215" s="3">
        <f t="shared" si="7"/>
        <v>1</v>
      </c>
      <c r="C215" s="199"/>
      <c r="D215" s="202"/>
      <c r="E215" s="203"/>
      <c r="F215" s="193" t="str">
        <f>IF(Tab_Compteur_2[[#This Row],[Fin de période]]&gt;0,IFERROR(B215-A215+1,""),"")</f>
        <v/>
      </c>
      <c r="G215" t="str">
        <f>IF(IFERROR(IF(Str_TypeDonneesCpt2=Cpt_Index,Tab_Compteur_2[[#This Row],[Index]]-E214,Tab_Compteur_2[[#This Row],[Quantité]])/Tab_Compteur_2[[#This Row],[Delta Jour]],"")&lt;0,"",IFERROR(IF(Str_TypeDonneesCpt2=Cpt_Index,Tab_Compteur_2[[#This Row],[Index]]-E214,Tab_Compteur_2[[#This Row],[Quantité]])/Tab_Compteur_2[[#This Row],[Delta Jour]],""))</f>
        <v/>
      </c>
      <c r="H215" s="193" t="str">
        <f>IFERROR(Tab_Compteur_2[[#This Row],[Colonne1]]/Tab_Compteur_2[[#This Row],[Delta Jour]],"")</f>
        <v/>
      </c>
      <c r="I215" s="215" t="str">
        <f t="shared" si="6"/>
        <v/>
      </c>
      <c r="J215" s="203"/>
      <c r="K215" s="73"/>
      <c r="L215" s="73"/>
      <c r="M215" s="73"/>
    </row>
    <row r="216" spans="1:13">
      <c r="A216" s="3">
        <f t="shared" si="7"/>
        <v>1</v>
      </c>
      <c r="C216" s="199"/>
      <c r="D216" s="202"/>
      <c r="E216" s="203"/>
      <c r="F216" s="193" t="str">
        <f>IF(Tab_Compteur_2[[#This Row],[Fin de période]]&gt;0,IFERROR(B216-A216+1,""),"")</f>
        <v/>
      </c>
      <c r="G216" t="str">
        <f>IF(IFERROR(IF(Str_TypeDonneesCpt2=Cpt_Index,Tab_Compteur_2[[#This Row],[Index]]-E215,Tab_Compteur_2[[#This Row],[Quantité]])/Tab_Compteur_2[[#This Row],[Delta Jour]],"")&lt;0,"",IFERROR(IF(Str_TypeDonneesCpt2=Cpt_Index,Tab_Compteur_2[[#This Row],[Index]]-E215,Tab_Compteur_2[[#This Row],[Quantité]])/Tab_Compteur_2[[#This Row],[Delta Jour]],""))</f>
        <v/>
      </c>
      <c r="H216" s="193" t="str">
        <f>IFERROR(Tab_Compteur_2[[#This Row],[Colonne1]]/Tab_Compteur_2[[#This Row],[Delta Jour]],"")</f>
        <v/>
      </c>
      <c r="I216" s="215" t="str">
        <f t="shared" si="6"/>
        <v/>
      </c>
      <c r="J216" s="203"/>
      <c r="K216" s="73"/>
      <c r="L216" s="73"/>
      <c r="M216" s="73"/>
    </row>
    <row r="217" spans="1:13">
      <c r="A217" s="3">
        <f t="shared" si="7"/>
        <v>1</v>
      </c>
      <c r="C217" s="199"/>
      <c r="D217" s="202"/>
      <c r="E217" s="203"/>
      <c r="F217" s="193" t="str">
        <f>IF(Tab_Compteur_2[[#This Row],[Fin de période]]&gt;0,IFERROR(B217-A217+1,""),"")</f>
        <v/>
      </c>
      <c r="G217" t="str">
        <f>IF(IFERROR(IF(Str_TypeDonneesCpt2=Cpt_Index,Tab_Compteur_2[[#This Row],[Index]]-E216,Tab_Compteur_2[[#This Row],[Quantité]])/Tab_Compteur_2[[#This Row],[Delta Jour]],"")&lt;0,"",IFERROR(IF(Str_TypeDonneesCpt2=Cpt_Index,Tab_Compteur_2[[#This Row],[Index]]-E216,Tab_Compteur_2[[#This Row],[Quantité]])/Tab_Compteur_2[[#This Row],[Delta Jour]],""))</f>
        <v/>
      </c>
      <c r="H217" s="193" t="str">
        <f>IFERROR(Tab_Compteur_2[[#This Row],[Colonne1]]/Tab_Compteur_2[[#This Row],[Delta Jour]],"")</f>
        <v/>
      </c>
      <c r="I217" s="215" t="str">
        <f t="shared" si="6"/>
        <v/>
      </c>
      <c r="J217" s="203"/>
      <c r="K217" s="73"/>
      <c r="L217" s="73"/>
      <c r="M217" s="73"/>
    </row>
    <row r="218" spans="1:13">
      <c r="A218" s="3">
        <f t="shared" si="7"/>
        <v>1</v>
      </c>
      <c r="C218" s="199"/>
      <c r="D218" s="202"/>
      <c r="E218" s="203"/>
      <c r="F218" s="193" t="str">
        <f>IF(Tab_Compteur_2[[#This Row],[Fin de période]]&gt;0,IFERROR(B218-A218+1,""),"")</f>
        <v/>
      </c>
      <c r="G218" t="str">
        <f>IF(IFERROR(IF(Str_TypeDonneesCpt2=Cpt_Index,Tab_Compteur_2[[#This Row],[Index]]-E217,Tab_Compteur_2[[#This Row],[Quantité]])/Tab_Compteur_2[[#This Row],[Delta Jour]],"")&lt;0,"",IFERROR(IF(Str_TypeDonneesCpt2=Cpt_Index,Tab_Compteur_2[[#This Row],[Index]]-E217,Tab_Compteur_2[[#This Row],[Quantité]])/Tab_Compteur_2[[#This Row],[Delta Jour]],""))</f>
        <v/>
      </c>
      <c r="H218" s="193" t="str">
        <f>IFERROR(Tab_Compteur_2[[#This Row],[Colonne1]]/Tab_Compteur_2[[#This Row],[Delta Jour]],"")</f>
        <v/>
      </c>
      <c r="I218" s="215" t="str">
        <f t="shared" si="6"/>
        <v/>
      </c>
      <c r="J218" s="203"/>
      <c r="K218" s="73"/>
      <c r="L218" s="73"/>
      <c r="M218" s="73"/>
    </row>
    <row r="219" spans="1:13">
      <c r="A219" s="3">
        <f t="shared" si="7"/>
        <v>1</v>
      </c>
      <c r="C219" s="199"/>
      <c r="D219" s="202"/>
      <c r="E219" s="203"/>
      <c r="F219" s="193" t="str">
        <f>IF(Tab_Compteur_2[[#This Row],[Fin de période]]&gt;0,IFERROR(B219-A219+1,""),"")</f>
        <v/>
      </c>
      <c r="G219" t="str">
        <f>IF(IFERROR(IF(Str_TypeDonneesCpt2=Cpt_Index,Tab_Compteur_2[[#This Row],[Index]]-E218,Tab_Compteur_2[[#This Row],[Quantité]])/Tab_Compteur_2[[#This Row],[Delta Jour]],"")&lt;0,"",IFERROR(IF(Str_TypeDonneesCpt2=Cpt_Index,Tab_Compteur_2[[#This Row],[Index]]-E218,Tab_Compteur_2[[#This Row],[Quantité]])/Tab_Compteur_2[[#This Row],[Delta Jour]],""))</f>
        <v/>
      </c>
      <c r="H219" s="193" t="str">
        <f>IFERROR(Tab_Compteur_2[[#This Row],[Colonne1]]/Tab_Compteur_2[[#This Row],[Delta Jour]],"")</f>
        <v/>
      </c>
      <c r="I219" s="215" t="str">
        <f t="shared" si="6"/>
        <v/>
      </c>
      <c r="J219" s="203"/>
      <c r="K219" s="73"/>
      <c r="L219" s="73"/>
      <c r="M219" s="73"/>
    </row>
    <row r="220" spans="1:13">
      <c r="A220" s="3">
        <f t="shared" si="7"/>
        <v>1</v>
      </c>
      <c r="C220" s="199"/>
      <c r="D220" s="202"/>
      <c r="E220" s="203"/>
      <c r="F220" s="193" t="str">
        <f>IF(Tab_Compteur_2[[#This Row],[Fin de période]]&gt;0,IFERROR(B220-A220+1,""),"")</f>
        <v/>
      </c>
      <c r="G220" t="str">
        <f>IF(IFERROR(IF(Str_TypeDonneesCpt2=Cpt_Index,Tab_Compteur_2[[#This Row],[Index]]-E219,Tab_Compteur_2[[#This Row],[Quantité]])/Tab_Compteur_2[[#This Row],[Delta Jour]],"")&lt;0,"",IFERROR(IF(Str_TypeDonneesCpt2=Cpt_Index,Tab_Compteur_2[[#This Row],[Index]]-E219,Tab_Compteur_2[[#This Row],[Quantité]])/Tab_Compteur_2[[#This Row],[Delta Jour]],""))</f>
        <v/>
      </c>
      <c r="H220" s="193" t="str">
        <f>IFERROR(Tab_Compteur_2[[#This Row],[Colonne1]]/Tab_Compteur_2[[#This Row],[Delta Jour]],"")</f>
        <v/>
      </c>
      <c r="I220" s="215" t="str">
        <f t="shared" si="6"/>
        <v/>
      </c>
      <c r="J220" s="203"/>
      <c r="K220" s="73"/>
      <c r="L220" s="73"/>
      <c r="M220" s="73"/>
    </row>
    <row r="221" spans="1:13">
      <c r="A221" s="3">
        <f t="shared" si="7"/>
        <v>1</v>
      </c>
      <c r="C221" s="199"/>
      <c r="D221" s="202"/>
      <c r="E221" s="203"/>
      <c r="F221" s="193" t="str">
        <f>IF(Tab_Compteur_2[[#This Row],[Fin de période]]&gt;0,IFERROR(B221-A221+1,""),"")</f>
        <v/>
      </c>
      <c r="G221" t="str">
        <f>IF(IFERROR(IF(Str_TypeDonneesCpt2=Cpt_Index,Tab_Compteur_2[[#This Row],[Index]]-E220,Tab_Compteur_2[[#This Row],[Quantité]])/Tab_Compteur_2[[#This Row],[Delta Jour]],"")&lt;0,"",IFERROR(IF(Str_TypeDonneesCpt2=Cpt_Index,Tab_Compteur_2[[#This Row],[Index]]-E220,Tab_Compteur_2[[#This Row],[Quantité]])/Tab_Compteur_2[[#This Row],[Delta Jour]],""))</f>
        <v/>
      </c>
      <c r="H221" s="193" t="str">
        <f>IFERROR(Tab_Compteur_2[[#This Row],[Colonne1]]/Tab_Compteur_2[[#This Row],[Delta Jour]],"")</f>
        <v/>
      </c>
      <c r="I221" s="215" t="str">
        <f t="shared" si="6"/>
        <v/>
      </c>
      <c r="J221" s="203"/>
      <c r="K221" s="73"/>
      <c r="L221" s="73"/>
      <c r="M221" s="73"/>
    </row>
    <row r="222" spans="1:13">
      <c r="A222" s="3">
        <f t="shared" si="7"/>
        <v>1</v>
      </c>
      <c r="C222" s="199"/>
      <c r="D222" s="202"/>
      <c r="E222" s="203"/>
      <c r="F222" s="193" t="str">
        <f>IF(Tab_Compteur_2[[#This Row],[Fin de période]]&gt;0,IFERROR(B222-A222+1,""),"")</f>
        <v/>
      </c>
      <c r="G222" t="str">
        <f>IF(IFERROR(IF(Str_TypeDonneesCpt2=Cpt_Index,Tab_Compteur_2[[#This Row],[Index]]-E221,Tab_Compteur_2[[#This Row],[Quantité]])/Tab_Compteur_2[[#This Row],[Delta Jour]],"")&lt;0,"",IFERROR(IF(Str_TypeDonneesCpt2=Cpt_Index,Tab_Compteur_2[[#This Row],[Index]]-E221,Tab_Compteur_2[[#This Row],[Quantité]])/Tab_Compteur_2[[#This Row],[Delta Jour]],""))</f>
        <v/>
      </c>
      <c r="H222" s="193" t="str">
        <f>IFERROR(Tab_Compteur_2[[#This Row],[Colonne1]]/Tab_Compteur_2[[#This Row],[Delta Jour]],"")</f>
        <v/>
      </c>
      <c r="I222" s="215" t="str">
        <f t="shared" si="6"/>
        <v/>
      </c>
      <c r="J222" s="203"/>
      <c r="K222" s="73"/>
      <c r="L222" s="73"/>
      <c r="M222" s="73"/>
    </row>
    <row r="223" spans="1:13">
      <c r="A223" s="3">
        <f t="shared" si="7"/>
        <v>1</v>
      </c>
      <c r="C223" s="199"/>
      <c r="D223" s="202"/>
      <c r="E223" s="203"/>
      <c r="F223" s="193" t="str">
        <f>IF(Tab_Compteur_2[[#This Row],[Fin de période]]&gt;0,IFERROR(B223-A223+1,""),"")</f>
        <v/>
      </c>
      <c r="G223" t="str">
        <f>IF(IFERROR(IF(Str_TypeDonneesCpt2=Cpt_Index,Tab_Compteur_2[[#This Row],[Index]]-E222,Tab_Compteur_2[[#This Row],[Quantité]])/Tab_Compteur_2[[#This Row],[Delta Jour]],"")&lt;0,"",IFERROR(IF(Str_TypeDonneesCpt2=Cpt_Index,Tab_Compteur_2[[#This Row],[Index]]-E222,Tab_Compteur_2[[#This Row],[Quantité]])/Tab_Compteur_2[[#This Row],[Delta Jour]],""))</f>
        <v/>
      </c>
      <c r="H223" s="193" t="str">
        <f>IFERROR(Tab_Compteur_2[[#This Row],[Colonne1]]/Tab_Compteur_2[[#This Row],[Delta Jour]],"")</f>
        <v/>
      </c>
      <c r="I223" s="215" t="str">
        <f t="shared" si="6"/>
        <v/>
      </c>
      <c r="J223" s="203"/>
      <c r="K223" s="73"/>
      <c r="L223" s="73"/>
      <c r="M223" s="73"/>
    </row>
    <row r="224" spans="1:13">
      <c r="A224" s="3">
        <f t="shared" si="7"/>
        <v>1</v>
      </c>
      <c r="C224" s="199"/>
      <c r="D224" s="202"/>
      <c r="E224" s="203"/>
      <c r="F224" s="193" t="str">
        <f>IF(Tab_Compteur_2[[#This Row],[Fin de période]]&gt;0,IFERROR(B224-A224+1,""),"")</f>
        <v/>
      </c>
      <c r="G224" t="str">
        <f>IF(IFERROR(IF(Str_TypeDonneesCpt2=Cpt_Index,Tab_Compteur_2[[#This Row],[Index]]-E223,Tab_Compteur_2[[#This Row],[Quantité]])/Tab_Compteur_2[[#This Row],[Delta Jour]],"")&lt;0,"",IFERROR(IF(Str_TypeDonneesCpt2=Cpt_Index,Tab_Compteur_2[[#This Row],[Index]]-E223,Tab_Compteur_2[[#This Row],[Quantité]])/Tab_Compteur_2[[#This Row],[Delta Jour]],""))</f>
        <v/>
      </c>
      <c r="H224" s="193" t="str">
        <f>IFERROR(Tab_Compteur_2[[#This Row],[Colonne1]]/Tab_Compteur_2[[#This Row],[Delta Jour]],"")</f>
        <v/>
      </c>
      <c r="I224" s="215" t="str">
        <f t="shared" si="6"/>
        <v/>
      </c>
      <c r="J224" s="203"/>
      <c r="K224" s="73"/>
      <c r="L224" s="73"/>
      <c r="M224" s="73"/>
    </row>
    <row r="225" spans="1:13">
      <c r="A225" s="3">
        <f t="shared" si="7"/>
        <v>1</v>
      </c>
      <c r="C225" s="199"/>
      <c r="D225" s="202"/>
      <c r="E225" s="203"/>
      <c r="F225" s="193" t="str">
        <f>IF(Tab_Compteur_2[[#This Row],[Fin de période]]&gt;0,IFERROR(B225-A225+1,""),"")</f>
        <v/>
      </c>
      <c r="G225" t="str">
        <f>IF(IFERROR(IF(Str_TypeDonneesCpt2=Cpt_Index,Tab_Compteur_2[[#This Row],[Index]]-E224,Tab_Compteur_2[[#This Row],[Quantité]])/Tab_Compteur_2[[#This Row],[Delta Jour]],"")&lt;0,"",IFERROR(IF(Str_TypeDonneesCpt2=Cpt_Index,Tab_Compteur_2[[#This Row],[Index]]-E224,Tab_Compteur_2[[#This Row],[Quantité]])/Tab_Compteur_2[[#This Row],[Delta Jour]],""))</f>
        <v/>
      </c>
      <c r="H225" s="193" t="str">
        <f>IFERROR(Tab_Compteur_2[[#This Row],[Colonne1]]/Tab_Compteur_2[[#This Row],[Delta Jour]],"")</f>
        <v/>
      </c>
      <c r="I225" s="215" t="str">
        <f t="shared" si="6"/>
        <v/>
      </c>
      <c r="J225" s="203"/>
      <c r="K225" s="73"/>
      <c r="L225" s="73"/>
      <c r="M225" s="73"/>
    </row>
    <row r="226" spans="1:13">
      <c r="A226" s="3">
        <f t="shared" si="7"/>
        <v>1</v>
      </c>
      <c r="C226" s="199"/>
      <c r="D226" s="202"/>
      <c r="E226" s="203"/>
      <c r="F226" s="193" t="str">
        <f>IF(Tab_Compteur_2[[#This Row],[Fin de période]]&gt;0,IFERROR(B226-A226+1,""),"")</f>
        <v/>
      </c>
      <c r="G226" t="str">
        <f>IF(IFERROR(IF(Str_TypeDonneesCpt2=Cpt_Index,Tab_Compteur_2[[#This Row],[Index]]-E225,Tab_Compteur_2[[#This Row],[Quantité]])/Tab_Compteur_2[[#This Row],[Delta Jour]],"")&lt;0,"",IFERROR(IF(Str_TypeDonneesCpt2=Cpt_Index,Tab_Compteur_2[[#This Row],[Index]]-E225,Tab_Compteur_2[[#This Row],[Quantité]])/Tab_Compteur_2[[#This Row],[Delta Jour]],""))</f>
        <v/>
      </c>
      <c r="H226" s="193" t="str">
        <f>IFERROR(Tab_Compteur_2[[#This Row],[Colonne1]]/Tab_Compteur_2[[#This Row],[Delta Jour]],"")</f>
        <v/>
      </c>
      <c r="I226" s="215" t="str">
        <f t="shared" si="6"/>
        <v/>
      </c>
      <c r="J226" s="203"/>
      <c r="K226" s="73"/>
      <c r="L226" s="73"/>
      <c r="M226" s="73"/>
    </row>
    <row r="227" spans="1:13">
      <c r="A227" s="3">
        <f t="shared" si="7"/>
        <v>1</v>
      </c>
      <c r="C227" s="199"/>
      <c r="D227" s="202"/>
      <c r="E227" s="203"/>
      <c r="F227" s="193" t="str">
        <f>IF(Tab_Compteur_2[[#This Row],[Fin de période]]&gt;0,IFERROR(B227-A227+1,""),"")</f>
        <v/>
      </c>
      <c r="G227" t="str">
        <f>IF(IFERROR(IF(Str_TypeDonneesCpt2=Cpt_Index,Tab_Compteur_2[[#This Row],[Index]]-E226,Tab_Compteur_2[[#This Row],[Quantité]])/Tab_Compteur_2[[#This Row],[Delta Jour]],"")&lt;0,"",IFERROR(IF(Str_TypeDonneesCpt2=Cpt_Index,Tab_Compteur_2[[#This Row],[Index]]-E226,Tab_Compteur_2[[#This Row],[Quantité]])/Tab_Compteur_2[[#This Row],[Delta Jour]],""))</f>
        <v/>
      </c>
      <c r="H227" s="193" t="str">
        <f>IFERROR(Tab_Compteur_2[[#This Row],[Colonne1]]/Tab_Compteur_2[[#This Row],[Delta Jour]],"")</f>
        <v/>
      </c>
      <c r="I227" s="215" t="str">
        <f t="shared" si="6"/>
        <v/>
      </c>
      <c r="J227" s="203"/>
      <c r="K227" s="73"/>
      <c r="L227" s="73"/>
      <c r="M227" s="73"/>
    </row>
    <row r="228" spans="1:13">
      <c r="A228" s="3">
        <f t="shared" si="7"/>
        <v>1</v>
      </c>
      <c r="C228" s="199"/>
      <c r="D228" s="202"/>
      <c r="E228" s="203"/>
      <c r="F228" s="193" t="str">
        <f>IF(Tab_Compteur_2[[#This Row],[Fin de période]]&gt;0,IFERROR(B228-A228+1,""),"")</f>
        <v/>
      </c>
      <c r="G228" t="str">
        <f>IF(IFERROR(IF(Str_TypeDonneesCpt2=Cpt_Index,Tab_Compteur_2[[#This Row],[Index]]-E227,Tab_Compteur_2[[#This Row],[Quantité]])/Tab_Compteur_2[[#This Row],[Delta Jour]],"")&lt;0,"",IFERROR(IF(Str_TypeDonneesCpt2=Cpt_Index,Tab_Compteur_2[[#This Row],[Index]]-E227,Tab_Compteur_2[[#This Row],[Quantité]])/Tab_Compteur_2[[#This Row],[Delta Jour]],""))</f>
        <v/>
      </c>
      <c r="H228" s="193" t="str">
        <f>IFERROR(Tab_Compteur_2[[#This Row],[Colonne1]]/Tab_Compteur_2[[#This Row],[Delta Jour]],"")</f>
        <v/>
      </c>
      <c r="I228" s="215" t="str">
        <f t="shared" si="6"/>
        <v/>
      </c>
      <c r="J228" s="203"/>
      <c r="K228" s="73"/>
      <c r="L228" s="73"/>
      <c r="M228" s="73"/>
    </row>
    <row r="229" spans="1:13">
      <c r="A229" s="3">
        <f t="shared" si="7"/>
        <v>1</v>
      </c>
      <c r="C229" s="199"/>
      <c r="D229" s="202"/>
      <c r="E229" s="203"/>
      <c r="F229" s="193" t="str">
        <f>IF(Tab_Compteur_2[[#This Row],[Fin de période]]&gt;0,IFERROR(B229-A229+1,""),"")</f>
        <v/>
      </c>
      <c r="G229" t="str">
        <f>IF(IFERROR(IF(Str_TypeDonneesCpt2=Cpt_Index,Tab_Compteur_2[[#This Row],[Index]]-E228,Tab_Compteur_2[[#This Row],[Quantité]])/Tab_Compteur_2[[#This Row],[Delta Jour]],"")&lt;0,"",IFERROR(IF(Str_TypeDonneesCpt2=Cpt_Index,Tab_Compteur_2[[#This Row],[Index]]-E228,Tab_Compteur_2[[#This Row],[Quantité]])/Tab_Compteur_2[[#This Row],[Delta Jour]],""))</f>
        <v/>
      </c>
      <c r="H229" s="193" t="str">
        <f>IFERROR(Tab_Compteur_2[[#This Row],[Colonne1]]/Tab_Compteur_2[[#This Row],[Delta Jour]],"")</f>
        <v/>
      </c>
      <c r="I229" s="215" t="str">
        <f t="shared" si="6"/>
        <v/>
      </c>
      <c r="J229" s="203"/>
      <c r="K229" s="73"/>
      <c r="L229" s="73"/>
      <c r="M229" s="73"/>
    </row>
    <row r="230" spans="1:13">
      <c r="A230" s="3">
        <f t="shared" si="7"/>
        <v>1</v>
      </c>
      <c r="C230" s="199"/>
      <c r="D230" s="202"/>
      <c r="E230" s="203"/>
      <c r="F230" s="193" t="str">
        <f>IF(Tab_Compteur_2[[#This Row],[Fin de période]]&gt;0,IFERROR(B230-A230+1,""),"")</f>
        <v/>
      </c>
      <c r="G230" t="str">
        <f>IF(IFERROR(IF(Str_TypeDonneesCpt2=Cpt_Index,Tab_Compteur_2[[#This Row],[Index]]-E229,Tab_Compteur_2[[#This Row],[Quantité]])/Tab_Compteur_2[[#This Row],[Delta Jour]],"")&lt;0,"",IFERROR(IF(Str_TypeDonneesCpt2=Cpt_Index,Tab_Compteur_2[[#This Row],[Index]]-E229,Tab_Compteur_2[[#This Row],[Quantité]])/Tab_Compteur_2[[#This Row],[Delta Jour]],""))</f>
        <v/>
      </c>
      <c r="H230" s="193" t="str">
        <f>IFERROR(Tab_Compteur_2[[#This Row],[Colonne1]]/Tab_Compteur_2[[#This Row],[Delta Jour]],"")</f>
        <v/>
      </c>
      <c r="I230" s="215" t="str">
        <f t="shared" si="6"/>
        <v/>
      </c>
      <c r="J230" s="203"/>
      <c r="K230" s="73"/>
      <c r="L230" s="73"/>
      <c r="M230" s="73"/>
    </row>
    <row r="231" spans="1:13">
      <c r="A231" s="3">
        <f t="shared" si="7"/>
        <v>1</v>
      </c>
      <c r="C231" s="199"/>
      <c r="D231" s="202"/>
      <c r="E231" s="203"/>
      <c r="F231" s="193" t="str">
        <f>IF(Tab_Compteur_2[[#This Row],[Fin de période]]&gt;0,IFERROR(B231-A231+1,""),"")</f>
        <v/>
      </c>
      <c r="G231" t="str">
        <f>IF(IFERROR(IF(Str_TypeDonneesCpt2=Cpt_Index,Tab_Compteur_2[[#This Row],[Index]]-E230,Tab_Compteur_2[[#This Row],[Quantité]])/Tab_Compteur_2[[#This Row],[Delta Jour]],"")&lt;0,"",IFERROR(IF(Str_TypeDonneesCpt2=Cpt_Index,Tab_Compteur_2[[#This Row],[Index]]-E230,Tab_Compteur_2[[#This Row],[Quantité]])/Tab_Compteur_2[[#This Row],[Delta Jour]],""))</f>
        <v/>
      </c>
      <c r="H231" s="193" t="str">
        <f>IFERROR(Tab_Compteur_2[[#This Row],[Colonne1]]/Tab_Compteur_2[[#This Row],[Delta Jour]],"")</f>
        <v/>
      </c>
      <c r="I231" s="215" t="str">
        <f t="shared" si="6"/>
        <v/>
      </c>
      <c r="J231" s="203"/>
      <c r="K231" s="73"/>
      <c r="L231" s="73"/>
      <c r="M231" s="73"/>
    </row>
    <row r="232" spans="1:13">
      <c r="A232" s="3">
        <f t="shared" si="7"/>
        <v>1</v>
      </c>
      <c r="C232" s="199"/>
      <c r="D232" s="202"/>
      <c r="E232" s="203"/>
      <c r="F232" s="193" t="str">
        <f>IF(Tab_Compteur_2[[#This Row],[Fin de période]]&gt;0,IFERROR(B232-A232+1,""),"")</f>
        <v/>
      </c>
      <c r="G232" t="str">
        <f>IF(IFERROR(IF(Str_TypeDonneesCpt2=Cpt_Index,Tab_Compteur_2[[#This Row],[Index]]-E231,Tab_Compteur_2[[#This Row],[Quantité]])/Tab_Compteur_2[[#This Row],[Delta Jour]],"")&lt;0,"",IFERROR(IF(Str_TypeDonneesCpt2=Cpt_Index,Tab_Compteur_2[[#This Row],[Index]]-E231,Tab_Compteur_2[[#This Row],[Quantité]])/Tab_Compteur_2[[#This Row],[Delta Jour]],""))</f>
        <v/>
      </c>
      <c r="H232" s="193" t="str">
        <f>IFERROR(Tab_Compteur_2[[#This Row],[Colonne1]]/Tab_Compteur_2[[#This Row],[Delta Jour]],"")</f>
        <v/>
      </c>
      <c r="I232" s="215" t="str">
        <f t="shared" si="6"/>
        <v/>
      </c>
      <c r="J232" s="203"/>
      <c r="K232" s="73"/>
      <c r="L232" s="73"/>
      <c r="M232" s="73"/>
    </row>
    <row r="233" spans="1:13">
      <c r="A233" s="3">
        <f t="shared" si="7"/>
        <v>1</v>
      </c>
      <c r="C233" s="199"/>
      <c r="D233" s="202"/>
      <c r="E233" s="203"/>
      <c r="F233" s="193" t="str">
        <f>IF(Tab_Compteur_2[[#This Row],[Fin de période]]&gt;0,IFERROR(B233-A233+1,""),"")</f>
        <v/>
      </c>
      <c r="G233" t="str">
        <f>IF(IFERROR(IF(Str_TypeDonneesCpt2=Cpt_Index,Tab_Compteur_2[[#This Row],[Index]]-E232,Tab_Compteur_2[[#This Row],[Quantité]])/Tab_Compteur_2[[#This Row],[Delta Jour]],"")&lt;0,"",IFERROR(IF(Str_TypeDonneesCpt2=Cpt_Index,Tab_Compteur_2[[#This Row],[Index]]-E232,Tab_Compteur_2[[#This Row],[Quantité]])/Tab_Compteur_2[[#This Row],[Delta Jour]],""))</f>
        <v/>
      </c>
      <c r="H233" s="193" t="str">
        <f>IFERROR(Tab_Compteur_2[[#This Row],[Colonne1]]/Tab_Compteur_2[[#This Row],[Delta Jour]],"")</f>
        <v/>
      </c>
      <c r="I233" s="215" t="str">
        <f t="shared" si="6"/>
        <v/>
      </c>
      <c r="J233" s="203"/>
      <c r="K233" s="73"/>
      <c r="L233" s="73"/>
      <c r="M233" s="73"/>
    </row>
    <row r="234" spans="1:13">
      <c r="A234" s="3">
        <f t="shared" si="7"/>
        <v>1</v>
      </c>
      <c r="C234" s="199"/>
      <c r="D234" s="202"/>
      <c r="E234" s="203"/>
      <c r="F234" s="193" t="str">
        <f>IF(Tab_Compteur_2[[#This Row],[Fin de période]]&gt;0,IFERROR(B234-A234+1,""),"")</f>
        <v/>
      </c>
      <c r="G234" t="str">
        <f>IF(IFERROR(IF(Str_TypeDonneesCpt2=Cpt_Index,Tab_Compteur_2[[#This Row],[Index]]-E233,Tab_Compteur_2[[#This Row],[Quantité]])/Tab_Compteur_2[[#This Row],[Delta Jour]],"")&lt;0,"",IFERROR(IF(Str_TypeDonneesCpt2=Cpt_Index,Tab_Compteur_2[[#This Row],[Index]]-E233,Tab_Compteur_2[[#This Row],[Quantité]])/Tab_Compteur_2[[#This Row],[Delta Jour]],""))</f>
        <v/>
      </c>
      <c r="H234" s="193" t="str">
        <f>IFERROR(Tab_Compteur_2[[#This Row],[Colonne1]]/Tab_Compteur_2[[#This Row],[Delta Jour]],"")</f>
        <v/>
      </c>
      <c r="I234" s="215" t="str">
        <f t="shared" si="6"/>
        <v/>
      </c>
      <c r="J234" s="203"/>
      <c r="K234" s="73"/>
      <c r="L234" s="73"/>
      <c r="M234" s="73"/>
    </row>
    <row r="235" spans="1:13">
      <c r="A235" s="3">
        <f t="shared" si="7"/>
        <v>1</v>
      </c>
      <c r="C235" s="199"/>
      <c r="D235" s="202"/>
      <c r="E235" s="203"/>
      <c r="F235" s="193" t="str">
        <f>IF(Tab_Compteur_2[[#This Row],[Fin de période]]&gt;0,IFERROR(B235-A235+1,""),"")</f>
        <v/>
      </c>
      <c r="G235" t="str">
        <f>IF(IFERROR(IF(Str_TypeDonneesCpt2=Cpt_Index,Tab_Compteur_2[[#This Row],[Index]]-E234,Tab_Compteur_2[[#This Row],[Quantité]])/Tab_Compteur_2[[#This Row],[Delta Jour]],"")&lt;0,"",IFERROR(IF(Str_TypeDonneesCpt2=Cpt_Index,Tab_Compteur_2[[#This Row],[Index]]-E234,Tab_Compteur_2[[#This Row],[Quantité]])/Tab_Compteur_2[[#This Row],[Delta Jour]],""))</f>
        <v/>
      </c>
      <c r="H235" s="193" t="str">
        <f>IFERROR(Tab_Compteur_2[[#This Row],[Colonne1]]/Tab_Compteur_2[[#This Row],[Delta Jour]],"")</f>
        <v/>
      </c>
      <c r="I235" s="215" t="str">
        <f t="shared" si="6"/>
        <v/>
      </c>
      <c r="J235" s="203"/>
      <c r="K235" s="73"/>
      <c r="L235" s="73"/>
      <c r="M235" s="73"/>
    </row>
    <row r="236" spans="1:13">
      <c r="A236" s="3">
        <f t="shared" si="7"/>
        <v>1</v>
      </c>
      <c r="C236" s="199"/>
      <c r="D236" s="202"/>
      <c r="E236" s="203"/>
      <c r="F236" s="193" t="str">
        <f>IF(Tab_Compteur_2[[#This Row],[Fin de période]]&gt;0,IFERROR(B236-A236+1,""),"")</f>
        <v/>
      </c>
      <c r="G236" t="str">
        <f>IF(IFERROR(IF(Str_TypeDonneesCpt2=Cpt_Index,Tab_Compteur_2[[#This Row],[Index]]-E235,Tab_Compteur_2[[#This Row],[Quantité]])/Tab_Compteur_2[[#This Row],[Delta Jour]],"")&lt;0,"",IFERROR(IF(Str_TypeDonneesCpt2=Cpt_Index,Tab_Compteur_2[[#This Row],[Index]]-E235,Tab_Compteur_2[[#This Row],[Quantité]])/Tab_Compteur_2[[#This Row],[Delta Jour]],""))</f>
        <v/>
      </c>
      <c r="H236" s="193" t="str">
        <f>IFERROR(Tab_Compteur_2[[#This Row],[Colonne1]]/Tab_Compteur_2[[#This Row],[Delta Jour]],"")</f>
        <v/>
      </c>
      <c r="I236" s="215" t="str">
        <f t="shared" si="6"/>
        <v/>
      </c>
      <c r="J236" s="203"/>
      <c r="K236" s="73"/>
      <c r="L236" s="73"/>
      <c r="M236" s="73"/>
    </row>
    <row r="237" spans="1:13">
      <c r="A237" s="3">
        <f t="shared" si="7"/>
        <v>1</v>
      </c>
      <c r="C237" s="199"/>
      <c r="D237" s="202"/>
      <c r="E237" s="203"/>
      <c r="F237" s="193" t="str">
        <f>IF(Tab_Compteur_2[[#This Row],[Fin de période]]&gt;0,IFERROR(B237-A237+1,""),"")</f>
        <v/>
      </c>
      <c r="G237" t="str">
        <f>IF(IFERROR(IF(Str_TypeDonneesCpt2=Cpt_Index,Tab_Compteur_2[[#This Row],[Index]]-E236,Tab_Compteur_2[[#This Row],[Quantité]])/Tab_Compteur_2[[#This Row],[Delta Jour]],"")&lt;0,"",IFERROR(IF(Str_TypeDonneesCpt2=Cpt_Index,Tab_Compteur_2[[#This Row],[Index]]-E236,Tab_Compteur_2[[#This Row],[Quantité]])/Tab_Compteur_2[[#This Row],[Delta Jour]],""))</f>
        <v/>
      </c>
      <c r="H237" s="193" t="str">
        <f>IFERROR(Tab_Compteur_2[[#This Row],[Colonne1]]/Tab_Compteur_2[[#This Row],[Delta Jour]],"")</f>
        <v/>
      </c>
      <c r="I237" s="215" t="str">
        <f t="shared" si="6"/>
        <v/>
      </c>
      <c r="J237" s="203"/>
      <c r="K237" s="73"/>
      <c r="L237" s="73"/>
      <c r="M237" s="73"/>
    </row>
    <row r="238" spans="1:13">
      <c r="A238" s="3">
        <f t="shared" si="7"/>
        <v>1</v>
      </c>
      <c r="C238" s="199"/>
      <c r="D238" s="202"/>
      <c r="E238" s="203"/>
      <c r="F238" s="193" t="str">
        <f>IF(Tab_Compteur_2[[#This Row],[Fin de période]]&gt;0,IFERROR(B238-A238+1,""),"")</f>
        <v/>
      </c>
      <c r="G238" t="str">
        <f>IF(IFERROR(IF(Str_TypeDonneesCpt2=Cpt_Index,Tab_Compteur_2[[#This Row],[Index]]-E237,Tab_Compteur_2[[#This Row],[Quantité]])/Tab_Compteur_2[[#This Row],[Delta Jour]],"")&lt;0,"",IFERROR(IF(Str_TypeDonneesCpt2=Cpt_Index,Tab_Compteur_2[[#This Row],[Index]]-E237,Tab_Compteur_2[[#This Row],[Quantité]])/Tab_Compteur_2[[#This Row],[Delta Jour]],""))</f>
        <v/>
      </c>
      <c r="H238" s="193" t="str">
        <f>IFERROR(Tab_Compteur_2[[#This Row],[Colonne1]]/Tab_Compteur_2[[#This Row],[Delta Jour]],"")</f>
        <v/>
      </c>
      <c r="I238" s="215" t="str">
        <f t="shared" si="6"/>
        <v/>
      </c>
      <c r="J238" s="203"/>
      <c r="K238" s="73"/>
      <c r="L238" s="73"/>
      <c r="M238" s="73"/>
    </row>
    <row r="239" spans="1:13">
      <c r="A239" s="3">
        <f t="shared" si="7"/>
        <v>1</v>
      </c>
      <c r="C239" s="199"/>
      <c r="D239" s="202"/>
      <c r="E239" s="203"/>
      <c r="F239" s="193" t="str">
        <f>IF(Tab_Compteur_2[[#This Row],[Fin de période]]&gt;0,IFERROR(B239-A239+1,""),"")</f>
        <v/>
      </c>
      <c r="G239" t="str">
        <f>IF(IFERROR(IF(Str_TypeDonneesCpt2=Cpt_Index,Tab_Compteur_2[[#This Row],[Index]]-E238,Tab_Compteur_2[[#This Row],[Quantité]])/Tab_Compteur_2[[#This Row],[Delta Jour]],"")&lt;0,"",IFERROR(IF(Str_TypeDonneesCpt2=Cpt_Index,Tab_Compteur_2[[#This Row],[Index]]-E238,Tab_Compteur_2[[#This Row],[Quantité]])/Tab_Compteur_2[[#This Row],[Delta Jour]],""))</f>
        <v/>
      </c>
      <c r="H239" s="193" t="str">
        <f>IFERROR(Tab_Compteur_2[[#This Row],[Colonne1]]/Tab_Compteur_2[[#This Row],[Delta Jour]],"")</f>
        <v/>
      </c>
      <c r="I239" s="215" t="str">
        <f t="shared" si="6"/>
        <v/>
      </c>
      <c r="J239" s="203"/>
      <c r="K239" s="73"/>
      <c r="L239" s="73"/>
      <c r="M239" s="73"/>
    </row>
    <row r="240" spans="1:13">
      <c r="A240" s="3">
        <f t="shared" si="7"/>
        <v>1</v>
      </c>
      <c r="C240" s="199"/>
      <c r="D240" s="202"/>
      <c r="E240" s="203"/>
      <c r="F240" s="193" t="str">
        <f>IF(Tab_Compteur_2[[#This Row],[Fin de période]]&gt;0,IFERROR(B240-A240+1,""),"")</f>
        <v/>
      </c>
      <c r="G240" t="str">
        <f>IF(IFERROR(IF(Str_TypeDonneesCpt2=Cpt_Index,Tab_Compteur_2[[#This Row],[Index]]-E239,Tab_Compteur_2[[#This Row],[Quantité]])/Tab_Compteur_2[[#This Row],[Delta Jour]],"")&lt;0,"",IFERROR(IF(Str_TypeDonneesCpt2=Cpt_Index,Tab_Compteur_2[[#This Row],[Index]]-E239,Tab_Compteur_2[[#This Row],[Quantité]])/Tab_Compteur_2[[#This Row],[Delta Jour]],""))</f>
        <v/>
      </c>
      <c r="H240" s="193" t="str">
        <f>IFERROR(Tab_Compteur_2[[#This Row],[Colonne1]]/Tab_Compteur_2[[#This Row],[Delta Jour]],"")</f>
        <v/>
      </c>
      <c r="I240" s="215" t="str">
        <f t="shared" si="6"/>
        <v/>
      </c>
      <c r="J240" s="203"/>
      <c r="K240" s="73"/>
      <c r="L240" s="73"/>
      <c r="M240" s="73"/>
    </row>
    <row r="241" spans="1:14">
      <c r="A241" s="3">
        <f t="shared" si="7"/>
        <v>1</v>
      </c>
      <c r="C241" s="199"/>
      <c r="D241" s="202"/>
      <c r="E241" s="203"/>
      <c r="F241" s="193" t="str">
        <f>IF(Tab_Compteur_2[[#This Row],[Fin de période]]&gt;0,IFERROR(B241-A241+1,""),"")</f>
        <v/>
      </c>
      <c r="G241" t="str">
        <f>IF(IFERROR(IF(Str_TypeDonneesCpt2=Cpt_Index,Tab_Compteur_2[[#This Row],[Index]]-E240,Tab_Compteur_2[[#This Row],[Quantité]])/Tab_Compteur_2[[#This Row],[Delta Jour]],"")&lt;0,"",IFERROR(IF(Str_TypeDonneesCpt2=Cpt_Index,Tab_Compteur_2[[#This Row],[Index]]-E240,Tab_Compteur_2[[#This Row],[Quantité]])/Tab_Compteur_2[[#This Row],[Delta Jour]],""))</f>
        <v/>
      </c>
      <c r="H241" s="193" t="str">
        <f>IFERROR(Tab_Compteur_2[[#This Row],[Colonne1]]/Tab_Compteur_2[[#This Row],[Delta Jour]],"")</f>
        <v/>
      </c>
      <c r="I241" s="215" t="str">
        <f t="shared" si="6"/>
        <v/>
      </c>
      <c r="J241" s="203"/>
      <c r="K241" s="73"/>
      <c r="L241" s="73"/>
      <c r="M241" s="73"/>
    </row>
    <row r="242" spans="1:14">
      <c r="A242" s="3">
        <f t="shared" si="7"/>
        <v>1</v>
      </c>
      <c r="C242" s="199"/>
      <c r="D242" s="202"/>
      <c r="E242" s="203"/>
      <c r="F242" s="193" t="str">
        <f>IF(Tab_Compteur_2[[#This Row],[Fin de période]]&gt;0,IFERROR(B242-A242+1,""),"")</f>
        <v/>
      </c>
      <c r="G242" t="str">
        <f>IF(IFERROR(IF(Str_TypeDonneesCpt2=Cpt_Index,Tab_Compteur_2[[#This Row],[Index]]-E241,Tab_Compteur_2[[#This Row],[Quantité]])/Tab_Compteur_2[[#This Row],[Delta Jour]],"")&lt;0,"",IFERROR(IF(Str_TypeDonneesCpt2=Cpt_Index,Tab_Compteur_2[[#This Row],[Index]]-E241,Tab_Compteur_2[[#This Row],[Quantité]])/Tab_Compteur_2[[#This Row],[Delta Jour]],""))</f>
        <v/>
      </c>
      <c r="H242" s="193" t="str">
        <f>IFERROR(Tab_Compteur_2[[#This Row],[Colonne1]]/Tab_Compteur_2[[#This Row],[Delta Jour]],"")</f>
        <v/>
      </c>
      <c r="I242" s="215" t="str">
        <f t="shared" si="6"/>
        <v/>
      </c>
      <c r="J242" s="203"/>
      <c r="K242" s="73"/>
      <c r="L242" s="73"/>
      <c r="M242" s="73"/>
    </row>
    <row r="243" spans="1:14" ht="21" customHeight="1">
      <c r="A243" s="3">
        <f t="shared" si="7"/>
        <v>1</v>
      </c>
      <c r="C243" s="199"/>
      <c r="D243" s="202"/>
      <c r="E243" s="203"/>
      <c r="F243" s="193" t="str">
        <f>IF(Tab_Compteur_2[[#This Row],[Fin de période]]&gt;0,IFERROR(B243-A243+1,""),"")</f>
        <v/>
      </c>
      <c r="G243" t="str">
        <f>IF(IFERROR(IF(Str_TypeDonneesCpt2=Cpt_Index,Tab_Compteur_2[[#This Row],[Index]]-E242,Tab_Compteur_2[[#This Row],[Quantité]])/Tab_Compteur_2[[#This Row],[Delta Jour]],"")&lt;0,"",IFERROR(IF(Str_TypeDonneesCpt2=Cpt_Index,Tab_Compteur_2[[#This Row],[Index]]-E242,Tab_Compteur_2[[#This Row],[Quantité]])/Tab_Compteur_2[[#This Row],[Delta Jour]],""))</f>
        <v/>
      </c>
      <c r="H243" s="193" t="str">
        <f>IFERROR(Tab_Compteur_2[[#This Row],[Colonne1]]/Tab_Compteur_2[[#This Row],[Delta Jour]],"")</f>
        <v/>
      </c>
      <c r="I243" s="215" t="str">
        <f t="shared" si="6"/>
        <v/>
      </c>
      <c r="J243" s="203"/>
      <c r="K243" s="73"/>
      <c r="L243" s="73"/>
      <c r="M243" s="73"/>
    </row>
    <row r="244" spans="1:14" hidden="1">
      <c r="C244" s="199"/>
      <c r="D244" s="202"/>
      <c r="E244" s="203"/>
      <c r="F244" s="193"/>
      <c r="H244" s="193" t="str">
        <f>IFERROR(Tab_Compteur_2[[#This Row],[Colonne1]]/Tab_Compteur_2[[#This Row],[Delta Jour]],"")</f>
        <v/>
      </c>
      <c r="K244" s="203"/>
      <c r="L244" s="73"/>
      <c r="M244" s="73"/>
      <c r="N244" s="73"/>
    </row>
  </sheetData>
  <sheetProtection sheet="1" selectLockedCells="1"/>
  <protectedRanges>
    <protectedRange sqref="C4:D16" name="Données_compteur2_1_2_1_1"/>
    <protectedRange sqref="C17:C47 D17:D143" name="Données_compteur2_1_2"/>
    <protectedRange sqref="C48:C143" name="Données_compteur2_3"/>
    <protectedRange sqref="D144:D147" name="Données_compteur2_1_1"/>
    <protectedRange sqref="C144:C147" name="Données_compteur2_2"/>
    <protectedRange sqref="D148:D171" name="Données_compteur2_1_2_1"/>
    <protectedRange sqref="C148:C171" name="Données_compteur2_3_1"/>
    <protectedRange sqref="A4:B5 B6:B244 D172:D244 A6:A243" name="Données_compteur2_1"/>
    <protectedRange sqref="A244 C172:C244 L2:N2 K8:M10 K34:M243 E3:E1048576 J2:J243 K3:M3 K5:M6 K244:N1048576" name="Données_compteur2"/>
    <protectedRange sqref="K11:M33" name="Données_compteur3"/>
    <protectedRange sqref="E2" name="Compteur_1_1"/>
    <protectedRange sqref="I2:I243 J244:J1048576" name="Compteur_1"/>
    <protectedRange sqref="K4:M4" name="Compteur_1_2"/>
    <protectedRange sqref="L1 E1 I1" name="Compteur_1_3"/>
  </protectedRanges>
  <mergeCells count="1">
    <mergeCell ref="K11:M33"/>
  </mergeCells>
  <conditionalFormatting sqref="B4:B243">
    <cfRule type="expression" dxfId="100" priority="1">
      <formula>$B4&lt;$A4</formula>
    </cfRule>
  </conditionalFormatting>
  <pageMargins left="0.7" right="0.7" top="0.75" bottom="0.75" header="0.3" footer="0.3"/>
  <pageSetup paperSize="9" orientation="portrait" r:id="rId1"/>
  <ignoredErrors>
    <ignoredError sqref="F4 H4" unlockedFormula="1"/>
  </ignoredErrors>
  <drawing r:id="rId2"/>
  <legacyDrawing r:id="rId3"/>
  <tableParts count="1">
    <tablePart r:id="rId4"/>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26"/>
  <dimension ref="A1:N243"/>
  <sheetViews>
    <sheetView workbookViewId="0">
      <selection activeCell="B4" sqref="B4"/>
    </sheetView>
  </sheetViews>
  <sheetFormatPr baseColWidth="10" defaultColWidth="0" defaultRowHeight="14.5" zeroHeight="1"/>
  <cols>
    <col min="1" max="1" width="14.26953125" customWidth="1"/>
    <col min="2" max="2" width="13.7265625" style="193" customWidth="1"/>
    <col min="3" max="3" width="13.7265625" customWidth="1"/>
    <col min="4" max="4" width="13.453125" customWidth="1"/>
    <col min="5" max="5" width="11.453125" customWidth="1"/>
    <col min="6" max="8" width="11.453125" hidden="1" customWidth="1"/>
    <col min="9" max="9" width="10.90625" customWidth="1"/>
    <col min="10" max="10" width="14.54296875" customWidth="1"/>
    <col min="11" max="11" width="21.7265625" customWidth="1"/>
    <col min="12" max="13" width="11.453125" customWidth="1"/>
    <col min="14" max="14" width="21.7265625" customWidth="1"/>
    <col min="15" max="16384" width="11.453125" hidden="1"/>
  </cols>
  <sheetData>
    <row r="1" spans="1:13" ht="32.65" customHeight="1">
      <c r="A1" s="57" t="s">
        <v>401</v>
      </c>
      <c r="B1" s="235" t="s">
        <v>402</v>
      </c>
      <c r="C1" s="132" t="s">
        <v>403</v>
      </c>
      <c r="D1" s="59" t="str">
        <f>CONCATENATE("Montant ",Controle_des_données!$A$40)</f>
        <v>Montant TTC</v>
      </c>
      <c r="E1" s="30" t="s">
        <v>218</v>
      </c>
      <c r="F1" s="29" t="s">
        <v>404</v>
      </c>
      <c r="G1" s="30" t="s">
        <v>405</v>
      </c>
      <c r="H1" s="30" t="s">
        <v>406</v>
      </c>
      <c r="I1" s="30" t="s">
        <v>407</v>
      </c>
      <c r="J1" s="188" t="s">
        <v>408</v>
      </c>
      <c r="K1" s="178" t="s">
        <v>19</v>
      </c>
      <c r="L1" s="186" t="str">
        <f>IF(Site!C40="", "Compteur 3",Site!C40)</f>
        <v>Eau Générale (factures)</v>
      </c>
    </row>
    <row r="2" spans="1:13" ht="20.25" hidden="1" customHeight="1">
      <c r="A2" s="28" t="s">
        <v>401</v>
      </c>
      <c r="B2" s="86" t="s">
        <v>402</v>
      </c>
      <c r="C2" s="1" t="s">
        <v>403</v>
      </c>
      <c r="D2" s="2" t="s">
        <v>437</v>
      </c>
      <c r="E2" s="30" t="s">
        <v>218</v>
      </c>
      <c r="F2" s="29" t="s">
        <v>404</v>
      </c>
      <c r="G2" s="30" t="s">
        <v>405</v>
      </c>
      <c r="H2" s="30" t="s">
        <v>406</v>
      </c>
      <c r="I2" s="29" t="s">
        <v>407</v>
      </c>
      <c r="J2" t="s">
        <v>408</v>
      </c>
      <c r="K2" s="178"/>
      <c r="L2" s="186"/>
      <c r="M2" s="187"/>
    </row>
    <row r="3" spans="1:13" hidden="1">
      <c r="B3" s="238">
        <f>A4-1</f>
        <v>42735</v>
      </c>
      <c r="C3" s="189"/>
      <c r="D3" s="27"/>
      <c r="F3">
        <f t="shared" ref="F3:F66" si="0">IFERROR(B3-A3+1,"")</f>
        <v>42736</v>
      </c>
      <c r="G3">
        <v>0</v>
      </c>
      <c r="H3">
        <v>0</v>
      </c>
      <c r="I3">
        <f t="shared" ref="I3:I66" si="1">G3</f>
        <v>0</v>
      </c>
      <c r="J3" s="38"/>
      <c r="K3" s="38"/>
      <c r="L3" s="38"/>
      <c r="M3" s="38"/>
    </row>
    <row r="4" spans="1:13">
      <c r="A4" s="3">
        <f>Site!I40</f>
        <v>42736</v>
      </c>
      <c r="B4" s="88"/>
      <c r="C4" s="466"/>
      <c r="D4" s="466"/>
      <c r="E4" s="193"/>
      <c r="F4" s="193">
        <f t="shared" si="0"/>
        <v>-42735</v>
      </c>
      <c r="G4" s="225">
        <f>IF(IFERROR(IF(Str_TypeDonneesCpt3=Cpt_Index,Tab_Compteur_3[[#This Row],[Index]]-M4,Tab_Compteur_3[[#This Row],[Quantité]])/Tab_Compteur_3[[#This Row],[Delta Jour]],"")&lt;0,"",IFERROR(IF(Str_TypeDonneesCpt3=Cpt_Index,Tab_Compteur_3[[#This Row],[Index]]-M4,Tab_Compteur_3[[#This Row],[Quantité]])/Tab_Compteur_3[[#This Row],[Delta Jour]],""))</f>
        <v>0</v>
      </c>
      <c r="H4" s="193">
        <f>IFERROR(Tab_Compteur_3[[#This Row],[Montant]]/Tab_Compteur_3[[#This Row],[Delta Jour]],"")</f>
        <v>0</v>
      </c>
      <c r="I4" s="219">
        <f t="shared" si="1"/>
        <v>0</v>
      </c>
      <c r="J4" s="216"/>
      <c r="K4" s="223" t="s">
        <v>409</v>
      </c>
      <c r="L4" s="178"/>
      <c r="M4" s="224">
        <v>0</v>
      </c>
    </row>
    <row r="5" spans="1:13">
      <c r="A5" s="55">
        <f>IFERROR(B4+1,0)</f>
        <v>1</v>
      </c>
      <c r="B5" s="88"/>
      <c r="C5" s="466"/>
      <c r="D5" s="466"/>
      <c r="E5" s="193"/>
      <c r="F5" s="193">
        <f t="shared" si="0"/>
        <v>0</v>
      </c>
      <c r="G5" t="str">
        <f>IF(IFERROR(IF(Str_TypeDonneesCpt3=Cpt_Index,Tab_Compteur_3[[#This Row],[Index]]-E4,Tab_Compteur_3[[#This Row],[Quantité]])/Tab_Compteur_3[[#This Row],[Delta Jour]],"")&lt;0,"",IFERROR(IF(Str_TypeDonneesCpt3=Cpt_Index,Tab_Compteur_3[[#This Row],[Index]]-E4,Tab_Compteur_3[[#This Row],[Quantité]])/Tab_Compteur_3[[#This Row],[Delta Jour]],""))</f>
        <v/>
      </c>
      <c r="H5" s="193" t="str">
        <f>IFERROR(Tab_Compteur_3[[#This Row],[Montant]]/Tab_Compteur_3[[#This Row],[Delta Jour]],"")</f>
        <v/>
      </c>
      <c r="I5" s="219" t="str">
        <f t="shared" si="1"/>
        <v/>
      </c>
      <c r="J5" s="216"/>
      <c r="K5" s="38"/>
      <c r="L5" s="38"/>
      <c r="M5" s="38"/>
    </row>
    <row r="6" spans="1:13">
      <c r="A6" s="55">
        <f t="shared" ref="A6:A69" si="2">IFERROR(B5+1,0)</f>
        <v>1</v>
      </c>
      <c r="B6" s="88"/>
      <c r="C6" s="466"/>
      <c r="D6" s="466"/>
      <c r="E6" s="193"/>
      <c r="F6" s="193">
        <f t="shared" si="0"/>
        <v>0</v>
      </c>
      <c r="G6" t="str">
        <f>IF(IFERROR(IF(Str_TypeDonneesCpt3=Cpt_Index,Tab_Compteur_3[[#This Row],[Index]]-E5,Tab_Compteur_3[[#This Row],[Quantité]])/Tab_Compteur_3[[#This Row],[Delta Jour]],"")&lt;0,"",IFERROR(IF(Str_TypeDonneesCpt3=Cpt_Index,Tab_Compteur_3[[#This Row],[Index]]-E5,Tab_Compteur_3[[#This Row],[Quantité]])/Tab_Compteur_3[[#This Row],[Delta Jour]],""))</f>
        <v/>
      </c>
      <c r="H6" s="193" t="str">
        <f>IFERROR(Tab_Compteur_3[[#This Row],[Montant]]/Tab_Compteur_3[[#This Row],[Delta Jour]],"")</f>
        <v/>
      </c>
      <c r="I6" s="219" t="str">
        <f t="shared" si="1"/>
        <v/>
      </c>
      <c r="J6" s="216"/>
      <c r="K6" s="38"/>
      <c r="L6" s="38"/>
      <c r="M6" s="38"/>
    </row>
    <row r="7" spans="1:13">
      <c r="A7" s="55">
        <f t="shared" si="2"/>
        <v>1</v>
      </c>
      <c r="B7" s="88"/>
      <c r="C7" s="466"/>
      <c r="D7" s="466"/>
      <c r="E7" s="193"/>
      <c r="F7" s="193">
        <f t="shared" si="0"/>
        <v>0</v>
      </c>
      <c r="G7" t="str">
        <f>IF(IFERROR(IF(Str_TypeDonneesCpt3=Cpt_Index,Tab_Compteur_3[[#This Row],[Index]]-E6,Tab_Compteur_3[[#This Row],[Quantité]])/Tab_Compteur_3[[#This Row],[Delta Jour]],"")&lt;0,"",IFERROR(IF(Str_TypeDonneesCpt3=Cpt_Index,Tab_Compteur_3[[#This Row],[Index]]-E6,Tab_Compteur_3[[#This Row],[Quantité]])/Tab_Compteur_3[[#This Row],[Delta Jour]],""))</f>
        <v/>
      </c>
      <c r="H7" s="193" t="str">
        <f>IFERROR(Tab_Compteur_3[[#This Row],[Montant]]/Tab_Compteur_3[[#This Row],[Delta Jour]],"")</f>
        <v/>
      </c>
      <c r="I7" s="219" t="str">
        <f t="shared" si="1"/>
        <v/>
      </c>
      <c r="J7" s="216"/>
      <c r="K7" s="38"/>
      <c r="L7" s="38"/>
      <c r="M7" s="38"/>
    </row>
    <row r="8" spans="1:13">
      <c r="A8" s="55">
        <f t="shared" si="2"/>
        <v>1</v>
      </c>
      <c r="B8" s="88"/>
      <c r="C8" s="466"/>
      <c r="D8" s="466"/>
      <c r="E8" s="204"/>
      <c r="F8" s="193">
        <f t="shared" si="0"/>
        <v>0</v>
      </c>
      <c r="G8" t="str">
        <f>IF(IFERROR(IF(Str_TypeDonneesCpt3=Cpt_Index,Tab_Compteur_3[[#This Row],[Index]]-E7,Tab_Compteur_3[[#This Row],[Quantité]])/Tab_Compteur_3[[#This Row],[Delta Jour]],"")&lt;0,"",IFERROR(IF(Str_TypeDonneesCpt3=Cpt_Index,Tab_Compteur_3[[#This Row],[Index]]-E7,Tab_Compteur_3[[#This Row],[Quantité]])/Tab_Compteur_3[[#This Row],[Delta Jour]],""))</f>
        <v/>
      </c>
      <c r="H8" s="193" t="str">
        <f>IFERROR(Tab_Compteur_3[[#This Row],[Montant]]/Tab_Compteur_3[[#This Row],[Delta Jour]],"")</f>
        <v/>
      </c>
      <c r="I8" s="220" t="str">
        <f t="shared" si="1"/>
        <v/>
      </c>
      <c r="J8" s="217"/>
      <c r="K8" s="38"/>
      <c r="L8" s="38"/>
      <c r="M8" s="38"/>
    </row>
    <row r="9" spans="1:13">
      <c r="A9" s="55">
        <f t="shared" si="2"/>
        <v>1</v>
      </c>
      <c r="B9" s="88"/>
      <c r="C9" s="466"/>
      <c r="D9" s="466"/>
      <c r="E9" s="205"/>
      <c r="F9" s="193">
        <f t="shared" si="0"/>
        <v>0</v>
      </c>
      <c r="G9" t="str">
        <f>IF(IFERROR(IF(Str_TypeDonneesCpt3=Cpt_Index,Tab_Compteur_3[[#This Row],[Index]]-E8,Tab_Compteur_3[[#This Row],[Quantité]])/Tab_Compteur_3[[#This Row],[Delta Jour]],"")&lt;0,"",IFERROR(IF(Str_TypeDonneesCpt3=Cpt_Index,Tab_Compteur_3[[#This Row],[Index]]-E8,Tab_Compteur_3[[#This Row],[Quantité]])/Tab_Compteur_3[[#This Row],[Delta Jour]],""))</f>
        <v/>
      </c>
      <c r="H9" s="193" t="str">
        <f>IFERROR(Tab_Compteur_3[[#This Row],[Montant]]/Tab_Compteur_3[[#This Row],[Delta Jour]],"")</f>
        <v/>
      </c>
      <c r="I9" s="221" t="str">
        <f t="shared" si="1"/>
        <v/>
      </c>
      <c r="J9" s="287"/>
      <c r="K9" s="179"/>
      <c r="L9" s="179"/>
      <c r="M9" s="179"/>
    </row>
    <row r="10" spans="1:13">
      <c r="A10" s="55">
        <f t="shared" si="2"/>
        <v>1</v>
      </c>
      <c r="B10" s="88"/>
      <c r="C10" s="466"/>
      <c r="D10" s="466"/>
      <c r="E10" s="205"/>
      <c r="F10" s="193">
        <f t="shared" si="0"/>
        <v>0</v>
      </c>
      <c r="G10" t="str">
        <f>IF(IFERROR(IF(Str_TypeDonneesCpt3=Cpt_Index,Tab_Compteur_3[[#This Row],[Index]]-E9,Tab_Compteur_3[[#This Row],[Quantité]])/Tab_Compteur_3[[#This Row],[Delta Jour]],"")&lt;0,"",IFERROR(IF(Str_TypeDonneesCpt3=Cpt_Index,Tab_Compteur_3[[#This Row],[Index]]-E9,Tab_Compteur_3[[#This Row],[Quantité]])/Tab_Compteur_3[[#This Row],[Delta Jour]],""))</f>
        <v/>
      </c>
      <c r="H10" s="193" t="str">
        <f>IFERROR(Tab_Compteur_3[[#This Row],[Montant]]/Tab_Compteur_3[[#This Row],[Delta Jour]],"")</f>
        <v/>
      </c>
      <c r="I10" s="221" t="str">
        <f t="shared" si="1"/>
        <v/>
      </c>
      <c r="J10" s="217"/>
      <c r="K10" s="179"/>
      <c r="L10" s="179"/>
      <c r="M10" s="179"/>
    </row>
    <row r="11" spans="1:13" ht="15" customHeight="1">
      <c r="A11" s="55">
        <f t="shared" si="2"/>
        <v>1</v>
      </c>
      <c r="B11" s="88"/>
      <c r="C11" s="466"/>
      <c r="D11" s="466"/>
      <c r="E11" s="205"/>
      <c r="F11" s="193">
        <f t="shared" si="0"/>
        <v>0</v>
      </c>
      <c r="G11" t="str">
        <f>IF(IFERROR(IF(Str_TypeDonneesCpt3=Cpt_Index,Tab_Compteur_3[[#This Row],[Index]]-E10,Tab_Compteur_3[[#This Row],[Quantité]])/Tab_Compteur_3[[#This Row],[Delta Jour]],"")&lt;0,"",IFERROR(IF(Str_TypeDonneesCpt3=Cpt_Index,Tab_Compteur_3[[#This Row],[Index]]-E10,Tab_Compteur_3[[#This Row],[Quantité]])/Tab_Compteur_3[[#This Row],[Delta Jour]],""))</f>
        <v/>
      </c>
      <c r="H11" s="193" t="str">
        <f>IFERROR(Tab_Compteur_3[[#This Row],[Montant]]/Tab_Compteur_3[[#This Row],[Delta Jour]],"")</f>
        <v/>
      </c>
      <c r="I11" s="221" t="str">
        <f t="shared" si="1"/>
        <v/>
      </c>
      <c r="J11" s="218"/>
      <c r="K11" s="573"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73"/>
      <c r="M11" s="573"/>
    </row>
    <row r="12" spans="1:13">
      <c r="A12" s="55">
        <f t="shared" si="2"/>
        <v>1</v>
      </c>
      <c r="B12" s="88"/>
      <c r="C12" s="466"/>
      <c r="D12" s="466"/>
      <c r="E12" s="205"/>
      <c r="F12" s="193">
        <f t="shared" si="0"/>
        <v>0</v>
      </c>
      <c r="G12" t="str">
        <f>IF(IFERROR(IF(Str_TypeDonneesCpt3=Cpt_Index,Tab_Compteur_3[[#This Row],[Index]]-E11,Tab_Compteur_3[[#This Row],[Quantité]])/Tab_Compteur_3[[#This Row],[Delta Jour]],"")&lt;0,"",IFERROR(IF(Str_TypeDonneesCpt3=Cpt_Index,Tab_Compteur_3[[#This Row],[Index]]-E11,Tab_Compteur_3[[#This Row],[Quantité]])/Tab_Compteur_3[[#This Row],[Delta Jour]],""))</f>
        <v/>
      </c>
      <c r="H12" s="193" t="str">
        <f>IFERROR(Tab_Compteur_3[[#This Row],[Montant]]/Tab_Compteur_3[[#This Row],[Delta Jour]],"")</f>
        <v/>
      </c>
      <c r="I12" s="221" t="str">
        <f t="shared" si="1"/>
        <v/>
      </c>
      <c r="J12" s="218"/>
      <c r="K12" s="573"/>
      <c r="L12" s="573"/>
      <c r="M12" s="573"/>
    </row>
    <row r="13" spans="1:13">
      <c r="A13" s="55">
        <f t="shared" si="2"/>
        <v>1</v>
      </c>
      <c r="B13" s="88"/>
      <c r="C13" s="466"/>
      <c r="D13" s="466"/>
      <c r="E13" s="205"/>
      <c r="F13" s="193">
        <f t="shared" si="0"/>
        <v>0</v>
      </c>
      <c r="G13" t="str">
        <f>IF(IFERROR(IF(Str_TypeDonneesCpt3=Cpt_Index,Tab_Compteur_3[[#This Row],[Index]]-E12,Tab_Compteur_3[[#This Row],[Quantité]])/Tab_Compteur_3[[#This Row],[Delta Jour]],"")&lt;0,"",IFERROR(IF(Str_TypeDonneesCpt3=Cpt_Index,Tab_Compteur_3[[#This Row],[Index]]-E12,Tab_Compteur_3[[#This Row],[Quantité]])/Tab_Compteur_3[[#This Row],[Delta Jour]],""))</f>
        <v/>
      </c>
      <c r="H13" s="193" t="str">
        <f>IFERROR(Tab_Compteur_3[[#This Row],[Montant]]/Tab_Compteur_3[[#This Row],[Delta Jour]],"")</f>
        <v/>
      </c>
      <c r="I13" s="221" t="str">
        <f t="shared" si="1"/>
        <v/>
      </c>
      <c r="J13" s="218"/>
      <c r="K13" s="573"/>
      <c r="L13" s="573"/>
      <c r="M13" s="573"/>
    </row>
    <row r="14" spans="1:13">
      <c r="A14" s="55">
        <f t="shared" si="2"/>
        <v>1</v>
      </c>
      <c r="B14" s="88"/>
      <c r="C14" s="466"/>
      <c r="D14" s="466"/>
      <c r="E14" s="205"/>
      <c r="F14" s="193">
        <f t="shared" si="0"/>
        <v>0</v>
      </c>
      <c r="G14" t="str">
        <f>IF(IFERROR(IF(Str_TypeDonneesCpt3=Cpt_Index,Tab_Compteur_3[[#This Row],[Index]]-E13,Tab_Compteur_3[[#This Row],[Quantité]])/Tab_Compteur_3[[#This Row],[Delta Jour]],"")&lt;0,"",IFERROR(IF(Str_TypeDonneesCpt3=Cpt_Index,Tab_Compteur_3[[#This Row],[Index]]-E13,Tab_Compteur_3[[#This Row],[Quantité]])/Tab_Compteur_3[[#This Row],[Delta Jour]],""))</f>
        <v/>
      </c>
      <c r="H14" s="193" t="str">
        <f>IFERROR(Tab_Compteur_3[[#This Row],[Montant]]/Tab_Compteur_3[[#This Row],[Delta Jour]],"")</f>
        <v/>
      </c>
      <c r="I14" s="221" t="str">
        <f t="shared" si="1"/>
        <v/>
      </c>
      <c r="J14" s="192"/>
      <c r="K14" s="573"/>
      <c r="L14" s="573"/>
      <c r="M14" s="573"/>
    </row>
    <row r="15" spans="1:13">
      <c r="A15" s="55">
        <f t="shared" si="2"/>
        <v>1</v>
      </c>
      <c r="B15" s="88"/>
      <c r="C15" s="466"/>
      <c r="D15" s="466"/>
      <c r="E15" s="205"/>
      <c r="F15" s="193">
        <f t="shared" si="0"/>
        <v>0</v>
      </c>
      <c r="G15" t="str">
        <f>IF(IFERROR(IF(Str_TypeDonneesCpt3=Cpt_Index,Tab_Compteur_3[[#This Row],[Index]]-E14,Tab_Compteur_3[[#This Row],[Quantité]])/Tab_Compteur_3[[#This Row],[Delta Jour]],"")&lt;0,"",IFERROR(IF(Str_TypeDonneesCpt3=Cpt_Index,Tab_Compteur_3[[#This Row],[Index]]-E14,Tab_Compteur_3[[#This Row],[Quantité]])/Tab_Compteur_3[[#This Row],[Delta Jour]],""))</f>
        <v/>
      </c>
      <c r="H15" s="193" t="str">
        <f>IFERROR(Tab_Compteur_3[[#This Row],[Montant]]/Tab_Compteur_3[[#This Row],[Delta Jour]],"")</f>
        <v/>
      </c>
      <c r="I15" s="221" t="str">
        <f t="shared" si="1"/>
        <v/>
      </c>
      <c r="J15" s="192"/>
      <c r="K15" s="573"/>
      <c r="L15" s="573"/>
      <c r="M15" s="573"/>
    </row>
    <row r="16" spans="1:13">
      <c r="A16" s="55">
        <f t="shared" si="2"/>
        <v>1</v>
      </c>
      <c r="B16" s="88"/>
      <c r="C16" s="466"/>
      <c r="D16" s="466"/>
      <c r="E16" s="205"/>
      <c r="F16" s="193">
        <f t="shared" si="0"/>
        <v>0</v>
      </c>
      <c r="G16" t="str">
        <f>IF(IFERROR(IF(Str_TypeDonneesCpt3=Cpt_Index,Tab_Compteur_3[[#This Row],[Index]]-E15,Tab_Compteur_3[[#This Row],[Quantité]])/Tab_Compteur_3[[#This Row],[Delta Jour]],"")&lt;0,"",IFERROR(IF(Str_TypeDonneesCpt3=Cpt_Index,Tab_Compteur_3[[#This Row],[Index]]-E15,Tab_Compteur_3[[#This Row],[Quantité]])/Tab_Compteur_3[[#This Row],[Delta Jour]],""))</f>
        <v/>
      </c>
      <c r="H16" s="193" t="str">
        <f>IFERROR(Tab_Compteur_3[[#This Row],[Montant]]/Tab_Compteur_3[[#This Row],[Delta Jour]],"")</f>
        <v/>
      </c>
      <c r="I16" s="221" t="str">
        <f t="shared" si="1"/>
        <v/>
      </c>
      <c r="J16" s="192"/>
      <c r="K16" s="573"/>
      <c r="L16" s="573"/>
      <c r="M16" s="573"/>
    </row>
    <row r="17" spans="1:13">
      <c r="A17" s="55">
        <f t="shared" si="2"/>
        <v>1</v>
      </c>
      <c r="B17" s="88"/>
      <c r="C17" s="466"/>
      <c r="D17" s="466"/>
      <c r="E17" s="205"/>
      <c r="F17" s="193">
        <f t="shared" si="0"/>
        <v>0</v>
      </c>
      <c r="G17" t="str">
        <f>IF(IFERROR(IF(Str_TypeDonneesCpt3=Cpt_Index,Tab_Compteur_3[[#This Row],[Index]]-E16,Tab_Compteur_3[[#This Row],[Quantité]])/Tab_Compteur_3[[#This Row],[Delta Jour]],"")&lt;0,"",IFERROR(IF(Str_TypeDonneesCpt3=Cpt_Index,Tab_Compteur_3[[#This Row],[Index]]-E16,Tab_Compteur_3[[#This Row],[Quantité]])/Tab_Compteur_3[[#This Row],[Delta Jour]],""))</f>
        <v/>
      </c>
      <c r="H17" s="193" t="str">
        <f>IFERROR(Tab_Compteur_3[[#This Row],[Montant]]/Tab_Compteur_3[[#This Row],[Delta Jour]],"")</f>
        <v/>
      </c>
      <c r="I17" s="221" t="str">
        <f t="shared" si="1"/>
        <v/>
      </c>
      <c r="J17" s="218"/>
      <c r="K17" s="573"/>
      <c r="L17" s="573"/>
      <c r="M17" s="573"/>
    </row>
    <row r="18" spans="1:13">
      <c r="A18" s="55">
        <f t="shared" si="2"/>
        <v>1</v>
      </c>
      <c r="B18" s="88"/>
      <c r="C18" s="466"/>
      <c r="D18" s="466"/>
      <c r="E18" s="205"/>
      <c r="F18" s="193">
        <f t="shared" si="0"/>
        <v>0</v>
      </c>
      <c r="G18" t="str">
        <f>IF(IFERROR(IF(Str_TypeDonneesCpt3=Cpt_Index,Tab_Compteur_3[[#This Row],[Index]]-E17,Tab_Compteur_3[[#This Row],[Quantité]])/Tab_Compteur_3[[#This Row],[Delta Jour]],"")&lt;0,"",IFERROR(IF(Str_TypeDonneesCpt3=Cpt_Index,Tab_Compteur_3[[#This Row],[Index]]-E17,Tab_Compteur_3[[#This Row],[Quantité]])/Tab_Compteur_3[[#This Row],[Delta Jour]],""))</f>
        <v/>
      </c>
      <c r="H18" s="193" t="str">
        <f>IFERROR(Tab_Compteur_3[[#This Row],[Montant]]/Tab_Compteur_3[[#This Row],[Delta Jour]],"")</f>
        <v/>
      </c>
      <c r="I18" s="221" t="str">
        <f t="shared" si="1"/>
        <v/>
      </c>
      <c r="J18" s="218"/>
      <c r="K18" s="573"/>
      <c r="L18" s="573"/>
      <c r="M18" s="573"/>
    </row>
    <row r="19" spans="1:13">
      <c r="A19" s="55">
        <f t="shared" si="2"/>
        <v>1</v>
      </c>
      <c r="B19" s="88"/>
      <c r="C19" s="466"/>
      <c r="D19" s="466"/>
      <c r="E19" s="205"/>
      <c r="F19" s="193">
        <f t="shared" si="0"/>
        <v>0</v>
      </c>
      <c r="G19" t="str">
        <f>IF(IFERROR(IF(Str_TypeDonneesCpt3=Cpt_Index,Tab_Compteur_3[[#This Row],[Index]]-E18,Tab_Compteur_3[[#This Row],[Quantité]])/Tab_Compteur_3[[#This Row],[Delta Jour]],"")&lt;0,"",IFERROR(IF(Str_TypeDonneesCpt3=Cpt_Index,Tab_Compteur_3[[#This Row],[Index]]-E18,Tab_Compteur_3[[#This Row],[Quantité]])/Tab_Compteur_3[[#This Row],[Delta Jour]],""))</f>
        <v/>
      </c>
      <c r="H19" s="193" t="str">
        <f>IFERROR(Tab_Compteur_3[[#This Row],[Montant]]/Tab_Compteur_3[[#This Row],[Delta Jour]],"")</f>
        <v/>
      </c>
      <c r="I19" s="221" t="str">
        <f t="shared" si="1"/>
        <v/>
      </c>
      <c r="J19" s="218"/>
      <c r="K19" s="573"/>
      <c r="L19" s="573"/>
      <c r="M19" s="573"/>
    </row>
    <row r="20" spans="1:13">
      <c r="A20" s="55">
        <f t="shared" si="2"/>
        <v>1</v>
      </c>
      <c r="B20" s="88"/>
      <c r="C20" s="466"/>
      <c r="D20" s="466"/>
      <c r="E20" s="193"/>
      <c r="F20" s="193">
        <f t="shared" si="0"/>
        <v>0</v>
      </c>
      <c r="G20" t="str">
        <f>IF(IFERROR(IF(Str_TypeDonneesCpt3=Cpt_Index,Tab_Compteur_3[[#This Row],[Index]]-E19,Tab_Compteur_3[[#This Row],[Quantité]])/Tab_Compteur_3[[#This Row],[Delta Jour]],"")&lt;0,"",IFERROR(IF(Str_TypeDonneesCpt3=Cpt_Index,Tab_Compteur_3[[#This Row],[Index]]-E19,Tab_Compteur_3[[#This Row],[Quantité]])/Tab_Compteur_3[[#This Row],[Delta Jour]],""))</f>
        <v/>
      </c>
      <c r="H20" s="193" t="str">
        <f>IFERROR(Tab_Compteur_3[[#This Row],[Montant]]/Tab_Compteur_3[[#This Row],[Delta Jour]],"")</f>
        <v/>
      </c>
      <c r="I20" s="219" t="str">
        <f t="shared" si="1"/>
        <v/>
      </c>
      <c r="J20" s="218"/>
      <c r="K20" s="573"/>
      <c r="L20" s="573"/>
      <c r="M20" s="573"/>
    </row>
    <row r="21" spans="1:13">
      <c r="A21" s="55">
        <f t="shared" si="2"/>
        <v>1</v>
      </c>
      <c r="B21" s="88"/>
      <c r="C21" s="466"/>
      <c r="D21" s="466"/>
      <c r="E21" s="193"/>
      <c r="F21" s="193">
        <f t="shared" si="0"/>
        <v>0</v>
      </c>
      <c r="G21" t="str">
        <f>IF(IFERROR(IF(Str_TypeDonneesCpt3=Cpt_Index,Tab_Compteur_3[[#This Row],[Index]]-E20,Tab_Compteur_3[[#This Row],[Quantité]])/Tab_Compteur_3[[#This Row],[Delta Jour]],"")&lt;0,"",IFERROR(IF(Str_TypeDonneesCpt3=Cpt_Index,Tab_Compteur_3[[#This Row],[Index]]-E20,Tab_Compteur_3[[#This Row],[Quantité]])/Tab_Compteur_3[[#This Row],[Delta Jour]],""))</f>
        <v/>
      </c>
      <c r="H21" s="193" t="str">
        <f>IFERROR(Tab_Compteur_3[[#This Row],[Montant]]/Tab_Compteur_3[[#This Row],[Delta Jour]],"")</f>
        <v/>
      </c>
      <c r="I21" s="219" t="str">
        <f t="shared" si="1"/>
        <v/>
      </c>
      <c r="J21" s="218"/>
      <c r="K21" s="573"/>
      <c r="L21" s="573"/>
      <c r="M21" s="573"/>
    </row>
    <row r="22" spans="1:13">
      <c r="A22" s="55">
        <f t="shared" si="2"/>
        <v>1</v>
      </c>
      <c r="B22" s="88"/>
      <c r="C22" s="466"/>
      <c r="D22" s="466"/>
      <c r="E22" s="193"/>
      <c r="F22" s="193">
        <f t="shared" si="0"/>
        <v>0</v>
      </c>
      <c r="G22" t="str">
        <f>IF(IFERROR(IF(Str_TypeDonneesCpt3=Cpt_Index,Tab_Compteur_3[[#This Row],[Index]]-E21,Tab_Compteur_3[[#This Row],[Quantité]])/Tab_Compteur_3[[#This Row],[Delta Jour]],"")&lt;0,"",IFERROR(IF(Str_TypeDonneesCpt3=Cpt_Index,Tab_Compteur_3[[#This Row],[Index]]-E21,Tab_Compteur_3[[#This Row],[Quantité]])/Tab_Compteur_3[[#This Row],[Delta Jour]],""))</f>
        <v/>
      </c>
      <c r="H22" s="193" t="str">
        <f>IFERROR(Tab_Compteur_3[[#This Row],[Montant]]/Tab_Compteur_3[[#This Row],[Delta Jour]],"")</f>
        <v/>
      </c>
      <c r="I22" s="219" t="str">
        <f t="shared" si="1"/>
        <v/>
      </c>
      <c r="J22" s="218"/>
      <c r="K22" s="573"/>
      <c r="L22" s="573"/>
      <c r="M22" s="573"/>
    </row>
    <row r="23" spans="1:13">
      <c r="A23" s="55">
        <f t="shared" si="2"/>
        <v>1</v>
      </c>
      <c r="B23" s="88"/>
      <c r="C23" s="466"/>
      <c r="D23" s="466"/>
      <c r="E23" s="193"/>
      <c r="F23" s="193">
        <f t="shared" si="0"/>
        <v>0</v>
      </c>
      <c r="G23" t="str">
        <f>IF(IFERROR(IF(Str_TypeDonneesCpt3=Cpt_Index,Tab_Compteur_3[[#This Row],[Index]]-E22,Tab_Compteur_3[[#This Row],[Quantité]])/Tab_Compteur_3[[#This Row],[Delta Jour]],"")&lt;0,"",IFERROR(IF(Str_TypeDonneesCpt3=Cpt_Index,Tab_Compteur_3[[#This Row],[Index]]-E22,Tab_Compteur_3[[#This Row],[Quantité]])/Tab_Compteur_3[[#This Row],[Delta Jour]],""))</f>
        <v/>
      </c>
      <c r="H23" s="193" t="str">
        <f>IFERROR(Tab_Compteur_3[[#This Row],[Montant]]/Tab_Compteur_3[[#This Row],[Delta Jour]],"")</f>
        <v/>
      </c>
      <c r="I23" s="219" t="str">
        <f t="shared" si="1"/>
        <v/>
      </c>
      <c r="J23" s="218"/>
      <c r="K23" s="573"/>
      <c r="L23" s="573"/>
      <c r="M23" s="573"/>
    </row>
    <row r="24" spans="1:13">
      <c r="A24" s="55">
        <f t="shared" si="2"/>
        <v>1</v>
      </c>
      <c r="B24" s="88"/>
      <c r="C24" s="466"/>
      <c r="D24" s="466"/>
      <c r="E24" s="193"/>
      <c r="F24" s="193">
        <f t="shared" si="0"/>
        <v>0</v>
      </c>
      <c r="G24" t="str">
        <f>IF(IFERROR(IF(Str_TypeDonneesCpt3=Cpt_Index,Tab_Compteur_3[[#This Row],[Index]]-E23,Tab_Compteur_3[[#This Row],[Quantité]])/Tab_Compteur_3[[#This Row],[Delta Jour]],"")&lt;0,"",IFERROR(IF(Str_TypeDonneesCpt3=Cpt_Index,Tab_Compteur_3[[#This Row],[Index]]-E23,Tab_Compteur_3[[#This Row],[Quantité]])/Tab_Compteur_3[[#This Row],[Delta Jour]],""))</f>
        <v/>
      </c>
      <c r="H24" s="193" t="str">
        <f>IFERROR(Tab_Compteur_3[[#This Row],[Montant]]/Tab_Compteur_3[[#This Row],[Delta Jour]],"")</f>
        <v/>
      </c>
      <c r="I24" s="219" t="str">
        <f t="shared" si="1"/>
        <v/>
      </c>
      <c r="J24" s="218"/>
      <c r="K24" s="573"/>
      <c r="L24" s="573"/>
      <c r="M24" s="573"/>
    </row>
    <row r="25" spans="1:13">
      <c r="A25" s="55">
        <f t="shared" si="2"/>
        <v>1</v>
      </c>
      <c r="B25" s="239"/>
      <c r="C25" s="196"/>
      <c r="D25" s="206"/>
      <c r="E25" s="193"/>
      <c r="F25" s="193">
        <f t="shared" si="0"/>
        <v>0</v>
      </c>
      <c r="G25" t="str">
        <f>IF(IFERROR(IF(Str_TypeDonneesCpt3=Cpt_Index,Tab_Compteur_3[[#This Row],[Index]]-E24,Tab_Compteur_3[[#This Row],[Quantité]])/Tab_Compteur_3[[#This Row],[Delta Jour]],"")&lt;0,"",IFERROR(IF(Str_TypeDonneesCpt3=Cpt_Index,Tab_Compteur_3[[#This Row],[Index]]-E24,Tab_Compteur_3[[#This Row],[Quantité]])/Tab_Compteur_3[[#This Row],[Delta Jour]],""))</f>
        <v/>
      </c>
      <c r="H25" s="193" t="str">
        <f>IFERROR(Tab_Compteur_3[[#This Row],[Montant]]/Tab_Compteur_3[[#This Row],[Delta Jour]],"")</f>
        <v/>
      </c>
      <c r="I25" s="219" t="str">
        <f t="shared" si="1"/>
        <v/>
      </c>
      <c r="J25" s="218"/>
      <c r="K25" s="573"/>
      <c r="L25" s="573"/>
      <c r="M25" s="573"/>
    </row>
    <row r="26" spans="1:13">
      <c r="A26" s="55">
        <f t="shared" si="2"/>
        <v>1</v>
      </c>
      <c r="B26" s="239"/>
      <c r="C26" s="196"/>
      <c r="D26" s="206"/>
      <c r="E26" s="193"/>
      <c r="F26" s="193">
        <f t="shared" si="0"/>
        <v>0</v>
      </c>
      <c r="G26" t="str">
        <f>IF(IFERROR(IF(Str_TypeDonneesCpt3=Cpt_Index,Tab_Compteur_3[[#This Row],[Index]]-E25,Tab_Compteur_3[[#This Row],[Quantité]])/Tab_Compteur_3[[#This Row],[Delta Jour]],"")&lt;0,"",IFERROR(IF(Str_TypeDonneesCpt3=Cpt_Index,Tab_Compteur_3[[#This Row],[Index]]-E25,Tab_Compteur_3[[#This Row],[Quantité]])/Tab_Compteur_3[[#This Row],[Delta Jour]],""))</f>
        <v/>
      </c>
      <c r="H26" s="193" t="str">
        <f>IFERROR(Tab_Compteur_3[[#This Row],[Montant]]/Tab_Compteur_3[[#This Row],[Delta Jour]],"")</f>
        <v/>
      </c>
      <c r="I26" s="219" t="str">
        <f t="shared" si="1"/>
        <v/>
      </c>
      <c r="J26" s="216"/>
      <c r="K26" s="573"/>
      <c r="L26" s="573"/>
      <c r="M26" s="573"/>
    </row>
    <row r="27" spans="1:13">
      <c r="A27" s="55">
        <f t="shared" si="2"/>
        <v>1</v>
      </c>
      <c r="B27" s="239"/>
      <c r="C27" s="196"/>
      <c r="D27" s="206"/>
      <c r="E27" s="193"/>
      <c r="F27" s="193">
        <f t="shared" si="0"/>
        <v>0</v>
      </c>
      <c r="G27" t="str">
        <f>IF(IFERROR(IF(Str_TypeDonneesCpt3=Cpt_Index,Tab_Compteur_3[[#This Row],[Index]]-E26,Tab_Compteur_3[[#This Row],[Quantité]])/Tab_Compteur_3[[#This Row],[Delta Jour]],"")&lt;0,"",IFERROR(IF(Str_TypeDonneesCpt3=Cpt_Index,Tab_Compteur_3[[#This Row],[Index]]-E26,Tab_Compteur_3[[#This Row],[Quantité]])/Tab_Compteur_3[[#This Row],[Delta Jour]],""))</f>
        <v/>
      </c>
      <c r="H27" s="193" t="str">
        <f>IFERROR(Tab_Compteur_3[[#This Row],[Montant]]/Tab_Compteur_3[[#This Row],[Delta Jour]],"")</f>
        <v/>
      </c>
      <c r="I27" s="219" t="str">
        <f t="shared" si="1"/>
        <v/>
      </c>
      <c r="J27" s="216"/>
      <c r="K27" s="573"/>
      <c r="L27" s="573"/>
      <c r="M27" s="573"/>
    </row>
    <row r="28" spans="1:13">
      <c r="A28" s="55">
        <f t="shared" si="2"/>
        <v>1</v>
      </c>
      <c r="B28" s="239"/>
      <c r="C28" s="196"/>
      <c r="D28" s="206"/>
      <c r="E28" s="193"/>
      <c r="F28" s="193">
        <f t="shared" si="0"/>
        <v>0</v>
      </c>
      <c r="G28" t="str">
        <f>IF(IFERROR(IF(Str_TypeDonneesCpt3=Cpt_Index,Tab_Compteur_3[[#This Row],[Index]]-E27,Tab_Compteur_3[[#This Row],[Quantité]])/Tab_Compteur_3[[#This Row],[Delta Jour]],"")&lt;0,"",IFERROR(IF(Str_TypeDonneesCpt3=Cpt_Index,Tab_Compteur_3[[#This Row],[Index]]-E27,Tab_Compteur_3[[#This Row],[Quantité]])/Tab_Compteur_3[[#This Row],[Delta Jour]],""))</f>
        <v/>
      </c>
      <c r="H28" s="193" t="str">
        <f>IFERROR(Tab_Compteur_3[[#This Row],[Montant]]/Tab_Compteur_3[[#This Row],[Delta Jour]],"")</f>
        <v/>
      </c>
      <c r="I28" s="219" t="str">
        <f t="shared" si="1"/>
        <v/>
      </c>
      <c r="J28" s="216"/>
      <c r="K28" s="573"/>
      <c r="L28" s="573"/>
      <c r="M28" s="573"/>
    </row>
    <row r="29" spans="1:13">
      <c r="A29" s="55">
        <f t="shared" si="2"/>
        <v>1</v>
      </c>
      <c r="B29" s="239"/>
      <c r="C29" s="196"/>
      <c r="D29" s="206"/>
      <c r="E29" s="193"/>
      <c r="F29" s="193">
        <f t="shared" si="0"/>
        <v>0</v>
      </c>
      <c r="G29" t="str">
        <f>IF(IFERROR(IF(Str_TypeDonneesCpt3=Cpt_Index,Tab_Compteur_3[[#This Row],[Index]]-E28,Tab_Compteur_3[[#This Row],[Quantité]])/Tab_Compteur_3[[#This Row],[Delta Jour]],"")&lt;0,"",IFERROR(IF(Str_TypeDonneesCpt3=Cpt_Index,Tab_Compteur_3[[#This Row],[Index]]-E28,Tab_Compteur_3[[#This Row],[Quantité]])/Tab_Compteur_3[[#This Row],[Delta Jour]],""))</f>
        <v/>
      </c>
      <c r="H29" s="193" t="str">
        <f>IFERROR(Tab_Compteur_3[[#This Row],[Montant]]/Tab_Compteur_3[[#This Row],[Delta Jour]],"")</f>
        <v/>
      </c>
      <c r="I29" s="219" t="str">
        <f t="shared" si="1"/>
        <v/>
      </c>
      <c r="J29" s="216"/>
      <c r="K29" s="573"/>
      <c r="L29" s="573"/>
      <c r="M29" s="573"/>
    </row>
    <row r="30" spans="1:13">
      <c r="A30" s="55">
        <f t="shared" si="2"/>
        <v>1</v>
      </c>
      <c r="B30" s="239"/>
      <c r="C30" s="199"/>
      <c r="D30" s="198"/>
      <c r="E30" s="193"/>
      <c r="F30" s="193">
        <f t="shared" si="0"/>
        <v>0</v>
      </c>
      <c r="G30" t="str">
        <f>IF(IFERROR(IF(Str_TypeDonneesCpt3=Cpt_Index,Tab_Compteur_3[[#This Row],[Index]]-E29,Tab_Compteur_3[[#This Row],[Quantité]])/Tab_Compteur_3[[#This Row],[Delta Jour]],"")&lt;0,"",IFERROR(IF(Str_TypeDonneesCpt3=Cpt_Index,Tab_Compteur_3[[#This Row],[Index]]-E29,Tab_Compteur_3[[#This Row],[Quantité]])/Tab_Compteur_3[[#This Row],[Delta Jour]],""))</f>
        <v/>
      </c>
      <c r="H30" s="193" t="str">
        <f>IFERROR(Tab_Compteur_3[[#This Row],[Montant]]/Tab_Compteur_3[[#This Row],[Delta Jour]],"")</f>
        <v/>
      </c>
      <c r="I30" s="219" t="str">
        <f t="shared" si="1"/>
        <v/>
      </c>
      <c r="J30" s="216"/>
      <c r="K30" s="573"/>
      <c r="L30" s="573"/>
      <c r="M30" s="573"/>
    </row>
    <row r="31" spans="1:13">
      <c r="A31" s="55">
        <f t="shared" si="2"/>
        <v>1</v>
      </c>
      <c r="B31" s="239"/>
      <c r="C31" s="199"/>
      <c r="D31" s="198"/>
      <c r="E31" s="193"/>
      <c r="F31" s="193">
        <f t="shared" si="0"/>
        <v>0</v>
      </c>
      <c r="G31" t="str">
        <f>IF(IFERROR(IF(Str_TypeDonneesCpt3=Cpt_Index,Tab_Compteur_3[[#This Row],[Index]]-E30,Tab_Compteur_3[[#This Row],[Quantité]])/Tab_Compteur_3[[#This Row],[Delta Jour]],"")&lt;0,"",IFERROR(IF(Str_TypeDonneesCpt3=Cpt_Index,Tab_Compteur_3[[#This Row],[Index]]-E30,Tab_Compteur_3[[#This Row],[Quantité]])/Tab_Compteur_3[[#This Row],[Delta Jour]],""))</f>
        <v/>
      </c>
      <c r="H31" s="193" t="str">
        <f>IFERROR(Tab_Compteur_3[[#This Row],[Montant]]/Tab_Compteur_3[[#This Row],[Delta Jour]],"")</f>
        <v/>
      </c>
      <c r="I31" s="219" t="str">
        <f t="shared" si="1"/>
        <v/>
      </c>
      <c r="J31" s="216"/>
      <c r="K31" s="573"/>
      <c r="L31" s="573"/>
      <c r="M31" s="573"/>
    </row>
    <row r="32" spans="1:13">
      <c r="A32" s="55">
        <f t="shared" si="2"/>
        <v>1</v>
      </c>
      <c r="B32" s="239"/>
      <c r="C32" s="199"/>
      <c r="D32" s="198"/>
      <c r="E32" s="193"/>
      <c r="F32" s="193">
        <f t="shared" si="0"/>
        <v>0</v>
      </c>
      <c r="G32" t="str">
        <f>IF(IFERROR(IF(Str_TypeDonneesCpt3=Cpt_Index,Tab_Compteur_3[[#This Row],[Index]]-E31,Tab_Compteur_3[[#This Row],[Quantité]])/Tab_Compteur_3[[#This Row],[Delta Jour]],"")&lt;0,"",IFERROR(IF(Str_TypeDonneesCpt3=Cpt_Index,Tab_Compteur_3[[#This Row],[Index]]-E31,Tab_Compteur_3[[#This Row],[Quantité]])/Tab_Compteur_3[[#This Row],[Delta Jour]],""))</f>
        <v/>
      </c>
      <c r="H32" s="193" t="str">
        <f>IFERROR(Tab_Compteur_3[[#This Row],[Montant]]/Tab_Compteur_3[[#This Row],[Delta Jour]],"")</f>
        <v/>
      </c>
      <c r="I32" s="219" t="str">
        <f t="shared" si="1"/>
        <v/>
      </c>
      <c r="J32" s="216"/>
      <c r="K32" s="573"/>
      <c r="L32" s="573"/>
      <c r="M32" s="573"/>
    </row>
    <row r="33" spans="1:13">
      <c r="A33" s="55">
        <f t="shared" si="2"/>
        <v>1</v>
      </c>
      <c r="B33" s="239"/>
      <c r="C33" s="199"/>
      <c r="D33" s="198"/>
      <c r="E33" s="193"/>
      <c r="F33" s="193">
        <f t="shared" si="0"/>
        <v>0</v>
      </c>
      <c r="G33" t="str">
        <f>IF(IFERROR(IF(Str_TypeDonneesCpt3=Cpt_Index,Tab_Compteur_3[[#This Row],[Index]]-E32,Tab_Compteur_3[[#This Row],[Quantité]])/Tab_Compteur_3[[#This Row],[Delta Jour]],"")&lt;0,"",IFERROR(IF(Str_TypeDonneesCpt3=Cpt_Index,Tab_Compteur_3[[#This Row],[Index]]-E32,Tab_Compteur_3[[#This Row],[Quantité]])/Tab_Compteur_3[[#This Row],[Delta Jour]],""))</f>
        <v/>
      </c>
      <c r="H33" s="193" t="str">
        <f>IFERROR(Tab_Compteur_3[[#This Row],[Montant]]/Tab_Compteur_3[[#This Row],[Delta Jour]],"")</f>
        <v/>
      </c>
      <c r="I33" s="219" t="str">
        <f t="shared" si="1"/>
        <v/>
      </c>
      <c r="J33" s="216"/>
      <c r="K33" s="573"/>
      <c r="L33" s="573"/>
      <c r="M33" s="573"/>
    </row>
    <row r="34" spans="1:13">
      <c r="A34" s="55">
        <f t="shared" si="2"/>
        <v>1</v>
      </c>
      <c r="B34" s="239"/>
      <c r="C34" s="199"/>
      <c r="D34" s="198"/>
      <c r="E34" s="193"/>
      <c r="F34" s="193">
        <f t="shared" si="0"/>
        <v>0</v>
      </c>
      <c r="G34" t="str">
        <f>IF(IFERROR(IF(Str_TypeDonneesCpt3=Cpt_Index,Tab_Compteur_3[[#This Row],[Index]]-E33,Tab_Compteur_3[[#This Row],[Quantité]])/Tab_Compteur_3[[#This Row],[Delta Jour]],"")&lt;0,"",IFERROR(IF(Str_TypeDonneesCpt3=Cpt_Index,Tab_Compteur_3[[#This Row],[Index]]-E33,Tab_Compteur_3[[#This Row],[Quantité]])/Tab_Compteur_3[[#This Row],[Delta Jour]],""))</f>
        <v/>
      </c>
      <c r="H34" s="193" t="str">
        <f>IFERROR(Tab_Compteur_3[[#This Row],[Montant]]/Tab_Compteur_3[[#This Row],[Delta Jour]],"")</f>
        <v/>
      </c>
      <c r="I34" s="219" t="str">
        <f t="shared" si="1"/>
        <v/>
      </c>
      <c r="J34" s="216"/>
      <c r="K34" s="291" t="s">
        <v>515</v>
      </c>
      <c r="L34" s="38"/>
      <c r="M34" s="38"/>
    </row>
    <row r="35" spans="1:13">
      <c r="A35" s="55">
        <f t="shared" si="2"/>
        <v>1</v>
      </c>
      <c r="B35" s="239"/>
      <c r="C35" s="199"/>
      <c r="D35" s="198"/>
      <c r="E35" s="193"/>
      <c r="F35" s="193">
        <f t="shared" si="0"/>
        <v>0</v>
      </c>
      <c r="G35" t="str">
        <f>IF(IFERROR(IF(Str_TypeDonneesCpt3=Cpt_Index,Tab_Compteur_3[[#This Row],[Index]]-E34,Tab_Compteur_3[[#This Row],[Quantité]])/Tab_Compteur_3[[#This Row],[Delta Jour]],"")&lt;0,"",IFERROR(IF(Str_TypeDonneesCpt3=Cpt_Index,Tab_Compteur_3[[#This Row],[Index]]-E34,Tab_Compteur_3[[#This Row],[Quantité]])/Tab_Compteur_3[[#This Row],[Delta Jour]],""))</f>
        <v/>
      </c>
      <c r="H35" s="193" t="str">
        <f>IFERROR(Tab_Compteur_3[[#This Row],[Montant]]/Tab_Compteur_3[[#This Row],[Delta Jour]],"")</f>
        <v/>
      </c>
      <c r="I35" s="219" t="str">
        <f t="shared" si="1"/>
        <v/>
      </c>
      <c r="J35" s="216"/>
      <c r="K35" s="292" t="s">
        <v>516</v>
      </c>
      <c r="L35" s="38"/>
      <c r="M35" s="38"/>
    </row>
    <row r="36" spans="1:13">
      <c r="A36" s="55">
        <f t="shared" si="2"/>
        <v>1</v>
      </c>
      <c r="B36" s="239"/>
      <c r="C36" s="199"/>
      <c r="D36" s="198"/>
      <c r="E36" s="193"/>
      <c r="F36" s="193">
        <f t="shared" si="0"/>
        <v>0</v>
      </c>
      <c r="G36" t="str">
        <f>IF(IFERROR(IF(Str_TypeDonneesCpt3=Cpt_Index,Tab_Compteur_3[[#This Row],[Index]]-E35,Tab_Compteur_3[[#This Row],[Quantité]])/Tab_Compteur_3[[#This Row],[Delta Jour]],"")&lt;0,"",IFERROR(IF(Str_TypeDonneesCpt3=Cpt_Index,Tab_Compteur_3[[#This Row],[Index]]-E35,Tab_Compteur_3[[#This Row],[Quantité]])/Tab_Compteur_3[[#This Row],[Delta Jour]],""))</f>
        <v/>
      </c>
      <c r="H36" s="193" t="str">
        <f>IFERROR(Tab_Compteur_3[[#This Row],[Montant]]/Tab_Compteur_3[[#This Row],[Delta Jour]],"")</f>
        <v/>
      </c>
      <c r="I36" s="219" t="str">
        <f t="shared" si="1"/>
        <v/>
      </c>
      <c r="J36" s="216"/>
      <c r="K36" s="291" t="s">
        <v>517</v>
      </c>
      <c r="L36" s="38"/>
      <c r="M36" s="38"/>
    </row>
    <row r="37" spans="1:13">
      <c r="A37" s="55">
        <f t="shared" si="2"/>
        <v>1</v>
      </c>
      <c r="B37" s="239"/>
      <c r="C37" s="199"/>
      <c r="D37" s="198"/>
      <c r="E37" s="193"/>
      <c r="F37" s="193">
        <f t="shared" si="0"/>
        <v>0</v>
      </c>
      <c r="G37" t="str">
        <f>IF(IFERROR(IF(Str_TypeDonneesCpt3=Cpt_Index,Tab_Compteur_3[[#This Row],[Index]]-E36,Tab_Compteur_3[[#This Row],[Quantité]])/Tab_Compteur_3[[#This Row],[Delta Jour]],"")&lt;0,"",IFERROR(IF(Str_TypeDonneesCpt3=Cpt_Index,Tab_Compteur_3[[#This Row],[Index]]-E36,Tab_Compteur_3[[#This Row],[Quantité]])/Tab_Compteur_3[[#This Row],[Delta Jour]],""))</f>
        <v/>
      </c>
      <c r="H37" s="193" t="str">
        <f>IFERROR(Tab_Compteur_3[[#This Row],[Montant]]/Tab_Compteur_3[[#This Row],[Delta Jour]],"")</f>
        <v/>
      </c>
      <c r="I37" s="219" t="str">
        <f t="shared" si="1"/>
        <v/>
      </c>
      <c r="J37" s="216"/>
      <c r="K37" s="292" t="s">
        <v>518</v>
      </c>
      <c r="L37" s="38"/>
      <c r="M37" s="38"/>
    </row>
    <row r="38" spans="1:13">
      <c r="A38" s="55">
        <f t="shared" si="2"/>
        <v>1</v>
      </c>
      <c r="B38" s="239"/>
      <c r="C38" s="199"/>
      <c r="D38" s="198"/>
      <c r="E38" s="193"/>
      <c r="F38" s="193">
        <f t="shared" si="0"/>
        <v>0</v>
      </c>
      <c r="G38" t="str">
        <f>IF(IFERROR(IF(Str_TypeDonneesCpt3=Cpt_Index,Tab_Compteur_3[[#This Row],[Index]]-E37,Tab_Compteur_3[[#This Row],[Quantité]])/Tab_Compteur_3[[#This Row],[Delta Jour]],"")&lt;0,"",IFERROR(IF(Str_TypeDonneesCpt3=Cpt_Index,Tab_Compteur_3[[#This Row],[Index]]-E37,Tab_Compteur_3[[#This Row],[Quantité]])/Tab_Compteur_3[[#This Row],[Delta Jour]],""))</f>
        <v/>
      </c>
      <c r="H38" s="193" t="str">
        <f>IFERROR(Tab_Compteur_3[[#This Row],[Montant]]/Tab_Compteur_3[[#This Row],[Delta Jour]],"")</f>
        <v/>
      </c>
      <c r="I38" s="219" t="str">
        <f t="shared" si="1"/>
        <v/>
      </c>
      <c r="J38" s="216"/>
      <c r="K38" s="38"/>
      <c r="L38" s="38"/>
      <c r="M38" s="38"/>
    </row>
    <row r="39" spans="1:13">
      <c r="A39" s="55">
        <f t="shared" si="2"/>
        <v>1</v>
      </c>
      <c r="B39" s="239"/>
      <c r="C39" s="199"/>
      <c r="D39" s="198"/>
      <c r="E39" s="193"/>
      <c r="F39" s="193">
        <f t="shared" si="0"/>
        <v>0</v>
      </c>
      <c r="G39" t="str">
        <f>IF(IFERROR(IF(Str_TypeDonneesCpt3=Cpt_Index,Tab_Compteur_3[[#This Row],[Index]]-E38,Tab_Compteur_3[[#This Row],[Quantité]])/Tab_Compteur_3[[#This Row],[Delta Jour]],"")&lt;0,"",IFERROR(IF(Str_TypeDonneesCpt3=Cpt_Index,Tab_Compteur_3[[#This Row],[Index]]-E38,Tab_Compteur_3[[#This Row],[Quantité]])/Tab_Compteur_3[[#This Row],[Delta Jour]],""))</f>
        <v/>
      </c>
      <c r="H39" s="193" t="str">
        <f>IFERROR(Tab_Compteur_3[[#This Row],[Montant]]/Tab_Compteur_3[[#This Row],[Delta Jour]],"")</f>
        <v/>
      </c>
      <c r="I39" s="219" t="str">
        <f t="shared" si="1"/>
        <v/>
      </c>
      <c r="J39" s="216"/>
      <c r="K39" s="38"/>
      <c r="L39" s="38"/>
      <c r="M39" s="38"/>
    </row>
    <row r="40" spans="1:13">
      <c r="A40" s="55">
        <f t="shared" si="2"/>
        <v>1</v>
      </c>
      <c r="B40" s="239"/>
      <c r="C40" s="199"/>
      <c r="D40" s="198"/>
      <c r="E40" s="193"/>
      <c r="F40" s="193">
        <f t="shared" si="0"/>
        <v>0</v>
      </c>
      <c r="G40" t="str">
        <f>IF(IFERROR(IF(Str_TypeDonneesCpt3=Cpt_Index,Tab_Compteur_3[[#This Row],[Index]]-E39,Tab_Compteur_3[[#This Row],[Quantité]])/Tab_Compteur_3[[#This Row],[Delta Jour]],"")&lt;0,"",IFERROR(IF(Str_TypeDonneesCpt3=Cpt_Index,Tab_Compteur_3[[#This Row],[Index]]-E39,Tab_Compteur_3[[#This Row],[Quantité]])/Tab_Compteur_3[[#This Row],[Delta Jour]],""))</f>
        <v/>
      </c>
      <c r="H40" s="193" t="str">
        <f>IFERROR(Tab_Compteur_3[[#This Row],[Montant]]/Tab_Compteur_3[[#This Row],[Delta Jour]],"")</f>
        <v/>
      </c>
      <c r="I40" s="219" t="str">
        <f t="shared" si="1"/>
        <v/>
      </c>
      <c r="J40" s="216"/>
      <c r="K40" s="38"/>
      <c r="L40" s="38"/>
      <c r="M40" s="38"/>
    </row>
    <row r="41" spans="1:13">
      <c r="A41" s="55">
        <f t="shared" si="2"/>
        <v>1</v>
      </c>
      <c r="B41" s="239"/>
      <c r="C41" s="199"/>
      <c r="D41" s="198"/>
      <c r="E41" s="193"/>
      <c r="F41" s="193">
        <f t="shared" si="0"/>
        <v>0</v>
      </c>
      <c r="G41" t="str">
        <f>IF(IFERROR(IF(Str_TypeDonneesCpt3=Cpt_Index,Tab_Compteur_3[[#This Row],[Index]]-E40,Tab_Compteur_3[[#This Row],[Quantité]])/Tab_Compteur_3[[#This Row],[Delta Jour]],"")&lt;0,"",IFERROR(IF(Str_TypeDonneesCpt3=Cpt_Index,Tab_Compteur_3[[#This Row],[Index]]-E40,Tab_Compteur_3[[#This Row],[Quantité]])/Tab_Compteur_3[[#This Row],[Delta Jour]],""))</f>
        <v/>
      </c>
      <c r="H41" s="193" t="str">
        <f>IFERROR(Tab_Compteur_3[[#This Row],[Montant]]/Tab_Compteur_3[[#This Row],[Delta Jour]],"")</f>
        <v/>
      </c>
      <c r="I41" s="219" t="str">
        <f t="shared" si="1"/>
        <v/>
      </c>
      <c r="J41" s="216"/>
      <c r="K41" s="38"/>
      <c r="L41" s="38"/>
      <c r="M41" s="38"/>
    </row>
    <row r="42" spans="1:13">
      <c r="A42" s="55">
        <f t="shared" si="2"/>
        <v>1</v>
      </c>
      <c r="B42" s="239"/>
      <c r="C42" s="199"/>
      <c r="D42" s="198"/>
      <c r="E42" s="193"/>
      <c r="F42" s="193">
        <f t="shared" si="0"/>
        <v>0</v>
      </c>
      <c r="G42" t="str">
        <f>IF(IFERROR(IF(Str_TypeDonneesCpt3=Cpt_Index,Tab_Compteur_3[[#This Row],[Index]]-E41,Tab_Compteur_3[[#This Row],[Quantité]])/Tab_Compteur_3[[#This Row],[Delta Jour]],"")&lt;0,"",IFERROR(IF(Str_TypeDonneesCpt3=Cpt_Index,Tab_Compteur_3[[#This Row],[Index]]-E41,Tab_Compteur_3[[#This Row],[Quantité]])/Tab_Compteur_3[[#This Row],[Delta Jour]],""))</f>
        <v/>
      </c>
      <c r="H42" s="193" t="str">
        <f>IFERROR(Tab_Compteur_3[[#This Row],[Montant]]/Tab_Compteur_3[[#This Row],[Delta Jour]],"")</f>
        <v/>
      </c>
      <c r="I42" s="219" t="str">
        <f t="shared" si="1"/>
        <v/>
      </c>
      <c r="J42" s="216"/>
      <c r="K42" s="38"/>
      <c r="L42" s="38"/>
      <c r="M42" s="38"/>
    </row>
    <row r="43" spans="1:13">
      <c r="A43" s="55">
        <f t="shared" si="2"/>
        <v>1</v>
      </c>
      <c r="B43" s="239"/>
      <c r="C43" s="199"/>
      <c r="D43" s="198"/>
      <c r="E43" s="193"/>
      <c r="F43" s="193">
        <f t="shared" si="0"/>
        <v>0</v>
      </c>
      <c r="G43" t="str">
        <f>IF(IFERROR(IF(Str_TypeDonneesCpt3=Cpt_Index,Tab_Compteur_3[[#This Row],[Index]]-E42,Tab_Compteur_3[[#This Row],[Quantité]])/Tab_Compteur_3[[#This Row],[Delta Jour]],"")&lt;0,"",IFERROR(IF(Str_TypeDonneesCpt3=Cpt_Index,Tab_Compteur_3[[#This Row],[Index]]-E42,Tab_Compteur_3[[#This Row],[Quantité]])/Tab_Compteur_3[[#This Row],[Delta Jour]],""))</f>
        <v/>
      </c>
      <c r="H43" s="193" t="str">
        <f>IFERROR(Tab_Compteur_3[[#This Row],[Montant]]/Tab_Compteur_3[[#This Row],[Delta Jour]],"")</f>
        <v/>
      </c>
      <c r="I43" s="219" t="str">
        <f t="shared" si="1"/>
        <v/>
      </c>
      <c r="J43" s="216"/>
      <c r="K43" s="38"/>
      <c r="L43" s="38"/>
      <c r="M43" s="38"/>
    </row>
    <row r="44" spans="1:13">
      <c r="A44" s="55">
        <f t="shared" si="2"/>
        <v>1</v>
      </c>
      <c r="B44" s="239"/>
      <c r="C44" s="199"/>
      <c r="D44" s="198"/>
      <c r="E44" s="193"/>
      <c r="F44" s="193">
        <f t="shared" si="0"/>
        <v>0</v>
      </c>
      <c r="G44" t="str">
        <f>IF(IFERROR(IF(Str_TypeDonneesCpt3=Cpt_Index,Tab_Compteur_3[[#This Row],[Index]]-E43,Tab_Compteur_3[[#This Row],[Quantité]])/Tab_Compteur_3[[#This Row],[Delta Jour]],"")&lt;0,"",IFERROR(IF(Str_TypeDonneesCpt3=Cpt_Index,Tab_Compteur_3[[#This Row],[Index]]-E43,Tab_Compteur_3[[#This Row],[Quantité]])/Tab_Compteur_3[[#This Row],[Delta Jour]],""))</f>
        <v/>
      </c>
      <c r="H44" s="193" t="str">
        <f>IFERROR(Tab_Compteur_3[[#This Row],[Montant]]/Tab_Compteur_3[[#This Row],[Delta Jour]],"")</f>
        <v/>
      </c>
      <c r="I44" s="219" t="str">
        <f t="shared" si="1"/>
        <v/>
      </c>
      <c r="J44" s="216"/>
      <c r="K44" s="38"/>
      <c r="L44" s="38"/>
      <c r="M44" s="38"/>
    </row>
    <row r="45" spans="1:13">
      <c r="A45" s="55">
        <f t="shared" si="2"/>
        <v>1</v>
      </c>
      <c r="B45" s="239"/>
      <c r="C45" s="199"/>
      <c r="D45" s="198"/>
      <c r="E45" s="193"/>
      <c r="F45" s="193">
        <f t="shared" si="0"/>
        <v>0</v>
      </c>
      <c r="G45" t="str">
        <f>IF(IFERROR(IF(Str_TypeDonneesCpt3=Cpt_Index,Tab_Compteur_3[[#This Row],[Index]]-E44,Tab_Compteur_3[[#This Row],[Quantité]])/Tab_Compteur_3[[#This Row],[Delta Jour]],"")&lt;0,"",IFERROR(IF(Str_TypeDonneesCpt3=Cpt_Index,Tab_Compteur_3[[#This Row],[Index]]-E44,Tab_Compteur_3[[#This Row],[Quantité]])/Tab_Compteur_3[[#This Row],[Delta Jour]],""))</f>
        <v/>
      </c>
      <c r="H45" s="193" t="str">
        <f>IFERROR(Tab_Compteur_3[[#This Row],[Montant]]/Tab_Compteur_3[[#This Row],[Delta Jour]],"")</f>
        <v/>
      </c>
      <c r="I45" s="219" t="str">
        <f t="shared" si="1"/>
        <v/>
      </c>
      <c r="J45" s="216"/>
      <c r="K45" s="38"/>
      <c r="L45" s="38"/>
      <c r="M45" s="38"/>
    </row>
    <row r="46" spans="1:13">
      <c r="A46" s="55">
        <f t="shared" si="2"/>
        <v>1</v>
      </c>
      <c r="B46" s="239"/>
      <c r="C46" s="199"/>
      <c r="D46" s="198"/>
      <c r="E46" s="193"/>
      <c r="F46" s="193">
        <f t="shared" si="0"/>
        <v>0</v>
      </c>
      <c r="G46" t="str">
        <f>IF(IFERROR(IF(Str_TypeDonneesCpt3=Cpt_Index,Tab_Compteur_3[[#This Row],[Index]]-E45,Tab_Compteur_3[[#This Row],[Quantité]])/Tab_Compteur_3[[#This Row],[Delta Jour]],"")&lt;0,"",IFERROR(IF(Str_TypeDonneesCpt3=Cpt_Index,Tab_Compteur_3[[#This Row],[Index]]-E45,Tab_Compteur_3[[#This Row],[Quantité]])/Tab_Compteur_3[[#This Row],[Delta Jour]],""))</f>
        <v/>
      </c>
      <c r="H46" s="193" t="str">
        <f>IFERROR(Tab_Compteur_3[[#This Row],[Montant]]/Tab_Compteur_3[[#This Row],[Delta Jour]],"")</f>
        <v/>
      </c>
      <c r="I46" s="219" t="str">
        <f t="shared" si="1"/>
        <v/>
      </c>
      <c r="J46" s="216"/>
      <c r="K46" s="38"/>
      <c r="L46" s="38"/>
      <c r="M46" s="38"/>
    </row>
    <row r="47" spans="1:13">
      <c r="A47" s="55">
        <f t="shared" si="2"/>
        <v>1</v>
      </c>
      <c r="B47" s="239"/>
      <c r="C47" s="199"/>
      <c r="D47" s="198"/>
      <c r="E47" s="193"/>
      <c r="F47" s="193">
        <f t="shared" si="0"/>
        <v>0</v>
      </c>
      <c r="G47" t="str">
        <f>IF(IFERROR(IF(Str_TypeDonneesCpt3=Cpt_Index,Tab_Compteur_3[[#This Row],[Index]]-E46,Tab_Compteur_3[[#This Row],[Quantité]])/Tab_Compteur_3[[#This Row],[Delta Jour]],"")&lt;0,"",IFERROR(IF(Str_TypeDonneesCpt3=Cpt_Index,Tab_Compteur_3[[#This Row],[Index]]-E46,Tab_Compteur_3[[#This Row],[Quantité]])/Tab_Compteur_3[[#This Row],[Delta Jour]],""))</f>
        <v/>
      </c>
      <c r="H47" s="193" t="str">
        <f>IFERROR(Tab_Compteur_3[[#This Row],[Montant]]/Tab_Compteur_3[[#This Row],[Delta Jour]],"")</f>
        <v/>
      </c>
      <c r="I47" s="219" t="str">
        <f t="shared" si="1"/>
        <v/>
      </c>
      <c r="J47" s="216"/>
      <c r="K47" s="38"/>
      <c r="L47" s="38"/>
      <c r="M47" s="38"/>
    </row>
    <row r="48" spans="1:13">
      <c r="A48" s="55">
        <f t="shared" si="2"/>
        <v>1</v>
      </c>
      <c r="B48" s="239"/>
      <c r="C48" s="199"/>
      <c r="D48" s="198"/>
      <c r="E48" s="193"/>
      <c r="F48" s="193">
        <f t="shared" si="0"/>
        <v>0</v>
      </c>
      <c r="G48" t="str">
        <f>IF(IFERROR(IF(Str_TypeDonneesCpt3=Cpt_Index,Tab_Compteur_3[[#This Row],[Index]]-E47,Tab_Compteur_3[[#This Row],[Quantité]])/Tab_Compteur_3[[#This Row],[Delta Jour]],"")&lt;0,"",IFERROR(IF(Str_TypeDonneesCpt3=Cpt_Index,Tab_Compteur_3[[#This Row],[Index]]-E47,Tab_Compteur_3[[#This Row],[Quantité]])/Tab_Compteur_3[[#This Row],[Delta Jour]],""))</f>
        <v/>
      </c>
      <c r="H48" s="193" t="str">
        <f>IFERROR(Tab_Compteur_3[[#This Row],[Montant]]/Tab_Compteur_3[[#This Row],[Delta Jour]],"")</f>
        <v/>
      </c>
      <c r="I48" s="219" t="str">
        <f t="shared" si="1"/>
        <v/>
      </c>
      <c r="J48" s="216"/>
      <c r="K48" s="38"/>
      <c r="L48" s="38"/>
      <c r="M48" s="38"/>
    </row>
    <row r="49" spans="1:13">
      <c r="A49" s="55">
        <f t="shared" si="2"/>
        <v>1</v>
      </c>
      <c r="B49" s="239"/>
      <c r="C49" s="199"/>
      <c r="D49" s="198"/>
      <c r="E49" s="193"/>
      <c r="F49" s="193">
        <f t="shared" si="0"/>
        <v>0</v>
      </c>
      <c r="G49" t="str">
        <f>IF(IFERROR(IF(Str_TypeDonneesCpt3=Cpt_Index,Tab_Compteur_3[[#This Row],[Index]]-E48,Tab_Compteur_3[[#This Row],[Quantité]])/Tab_Compteur_3[[#This Row],[Delta Jour]],"")&lt;0,"",IFERROR(IF(Str_TypeDonneesCpt3=Cpt_Index,Tab_Compteur_3[[#This Row],[Index]]-E48,Tab_Compteur_3[[#This Row],[Quantité]])/Tab_Compteur_3[[#This Row],[Delta Jour]],""))</f>
        <v/>
      </c>
      <c r="H49" s="193" t="str">
        <f>IFERROR(Tab_Compteur_3[[#This Row],[Montant]]/Tab_Compteur_3[[#This Row],[Delta Jour]],"")</f>
        <v/>
      </c>
      <c r="I49" s="219" t="str">
        <f t="shared" si="1"/>
        <v/>
      </c>
      <c r="J49" s="216"/>
      <c r="K49" s="38"/>
      <c r="L49" s="38"/>
      <c r="M49" s="38"/>
    </row>
    <row r="50" spans="1:13">
      <c r="A50" s="55">
        <f t="shared" si="2"/>
        <v>1</v>
      </c>
      <c r="B50" s="239"/>
      <c r="C50" s="199"/>
      <c r="D50" s="198"/>
      <c r="E50" s="193"/>
      <c r="F50" s="193">
        <f t="shared" si="0"/>
        <v>0</v>
      </c>
      <c r="G50" t="str">
        <f>IF(IFERROR(IF(Str_TypeDonneesCpt3=Cpt_Index,Tab_Compteur_3[[#This Row],[Index]]-E49,Tab_Compteur_3[[#This Row],[Quantité]])/Tab_Compteur_3[[#This Row],[Delta Jour]],"")&lt;0,"",IFERROR(IF(Str_TypeDonneesCpt3=Cpt_Index,Tab_Compteur_3[[#This Row],[Index]]-E49,Tab_Compteur_3[[#This Row],[Quantité]])/Tab_Compteur_3[[#This Row],[Delta Jour]],""))</f>
        <v/>
      </c>
      <c r="H50" s="193" t="str">
        <f>IFERROR(Tab_Compteur_3[[#This Row],[Montant]]/Tab_Compteur_3[[#This Row],[Delta Jour]],"")</f>
        <v/>
      </c>
      <c r="I50" s="219" t="str">
        <f t="shared" si="1"/>
        <v/>
      </c>
      <c r="J50" s="216"/>
      <c r="K50" s="38"/>
      <c r="L50" s="38"/>
      <c r="M50" s="38"/>
    </row>
    <row r="51" spans="1:13">
      <c r="A51" s="55">
        <f t="shared" si="2"/>
        <v>1</v>
      </c>
      <c r="B51" s="239"/>
      <c r="C51" s="199"/>
      <c r="D51" s="198"/>
      <c r="E51" s="193"/>
      <c r="F51" s="193">
        <f t="shared" si="0"/>
        <v>0</v>
      </c>
      <c r="G51" t="str">
        <f>IF(IFERROR(IF(Str_TypeDonneesCpt3=Cpt_Index,Tab_Compteur_3[[#This Row],[Index]]-E50,Tab_Compteur_3[[#This Row],[Quantité]])/Tab_Compteur_3[[#This Row],[Delta Jour]],"")&lt;0,"",IFERROR(IF(Str_TypeDonneesCpt3=Cpt_Index,Tab_Compteur_3[[#This Row],[Index]]-E50,Tab_Compteur_3[[#This Row],[Quantité]])/Tab_Compteur_3[[#This Row],[Delta Jour]],""))</f>
        <v/>
      </c>
      <c r="H51" s="193" t="str">
        <f>IFERROR(Tab_Compteur_3[[#This Row],[Montant]]/Tab_Compteur_3[[#This Row],[Delta Jour]],"")</f>
        <v/>
      </c>
      <c r="I51" s="219" t="str">
        <f t="shared" si="1"/>
        <v/>
      </c>
      <c r="J51" s="216"/>
      <c r="K51" s="38"/>
      <c r="L51" s="38"/>
      <c r="M51" s="38"/>
    </row>
    <row r="52" spans="1:13">
      <c r="A52" s="55">
        <f t="shared" si="2"/>
        <v>1</v>
      </c>
      <c r="B52" s="239"/>
      <c r="C52" s="199"/>
      <c r="D52" s="198"/>
      <c r="E52" s="193"/>
      <c r="F52" s="193">
        <f t="shared" si="0"/>
        <v>0</v>
      </c>
      <c r="G52" t="str">
        <f>IF(IFERROR(IF(Str_TypeDonneesCpt3=Cpt_Index,Tab_Compteur_3[[#This Row],[Index]]-E51,Tab_Compteur_3[[#This Row],[Quantité]])/Tab_Compteur_3[[#This Row],[Delta Jour]],"")&lt;0,"",IFERROR(IF(Str_TypeDonneesCpt3=Cpt_Index,Tab_Compteur_3[[#This Row],[Index]]-E51,Tab_Compteur_3[[#This Row],[Quantité]])/Tab_Compteur_3[[#This Row],[Delta Jour]],""))</f>
        <v/>
      </c>
      <c r="H52" s="193" t="str">
        <f>IFERROR(Tab_Compteur_3[[#This Row],[Montant]]/Tab_Compteur_3[[#This Row],[Delta Jour]],"")</f>
        <v/>
      </c>
      <c r="I52" s="219" t="str">
        <f t="shared" si="1"/>
        <v/>
      </c>
      <c r="J52" s="216"/>
      <c r="K52" s="38"/>
      <c r="L52" s="38"/>
      <c r="M52" s="38"/>
    </row>
    <row r="53" spans="1:13">
      <c r="A53" s="55">
        <f t="shared" si="2"/>
        <v>1</v>
      </c>
      <c r="B53" s="239"/>
      <c r="C53" s="199"/>
      <c r="D53" s="198"/>
      <c r="E53" s="193"/>
      <c r="F53" s="193">
        <f t="shared" si="0"/>
        <v>0</v>
      </c>
      <c r="G53" t="str">
        <f>IF(IFERROR(IF(Str_TypeDonneesCpt3=Cpt_Index,Tab_Compteur_3[[#This Row],[Index]]-E52,Tab_Compteur_3[[#This Row],[Quantité]])/Tab_Compteur_3[[#This Row],[Delta Jour]],"")&lt;0,"",IFERROR(IF(Str_TypeDonneesCpt3=Cpt_Index,Tab_Compteur_3[[#This Row],[Index]]-E52,Tab_Compteur_3[[#This Row],[Quantité]])/Tab_Compteur_3[[#This Row],[Delta Jour]],""))</f>
        <v/>
      </c>
      <c r="H53" s="193" t="str">
        <f>IFERROR(Tab_Compteur_3[[#This Row],[Montant]]/Tab_Compteur_3[[#This Row],[Delta Jour]],"")</f>
        <v/>
      </c>
      <c r="I53" s="219" t="str">
        <f t="shared" si="1"/>
        <v/>
      </c>
      <c r="J53" s="216"/>
      <c r="K53" s="38"/>
      <c r="L53" s="38"/>
      <c r="M53" s="38"/>
    </row>
    <row r="54" spans="1:13">
      <c r="A54" s="55">
        <f t="shared" si="2"/>
        <v>1</v>
      </c>
      <c r="B54" s="239"/>
      <c r="C54" s="199"/>
      <c r="D54" s="198"/>
      <c r="E54" s="193"/>
      <c r="F54" s="193">
        <f t="shared" si="0"/>
        <v>0</v>
      </c>
      <c r="G54" t="str">
        <f>IF(IFERROR(IF(Str_TypeDonneesCpt3=Cpt_Index,Tab_Compteur_3[[#This Row],[Index]]-E53,Tab_Compteur_3[[#This Row],[Quantité]])/Tab_Compteur_3[[#This Row],[Delta Jour]],"")&lt;0,"",IFERROR(IF(Str_TypeDonneesCpt3=Cpt_Index,Tab_Compteur_3[[#This Row],[Index]]-E53,Tab_Compteur_3[[#This Row],[Quantité]])/Tab_Compteur_3[[#This Row],[Delta Jour]],""))</f>
        <v/>
      </c>
      <c r="H54" s="193" t="str">
        <f>IFERROR(Tab_Compteur_3[[#This Row],[Montant]]/Tab_Compteur_3[[#This Row],[Delta Jour]],"")</f>
        <v/>
      </c>
      <c r="I54" s="219" t="str">
        <f t="shared" si="1"/>
        <v/>
      </c>
      <c r="J54" s="216"/>
      <c r="K54" s="38"/>
      <c r="L54" s="38"/>
      <c r="M54" s="38"/>
    </row>
    <row r="55" spans="1:13">
      <c r="A55" s="55">
        <f t="shared" si="2"/>
        <v>1</v>
      </c>
      <c r="B55" s="239"/>
      <c r="C55" s="199"/>
      <c r="D55" s="198"/>
      <c r="E55" s="193"/>
      <c r="F55" s="193">
        <f t="shared" si="0"/>
        <v>0</v>
      </c>
      <c r="G55" t="str">
        <f>IF(IFERROR(IF(Str_TypeDonneesCpt3=Cpt_Index,Tab_Compteur_3[[#This Row],[Index]]-E54,Tab_Compteur_3[[#This Row],[Quantité]])/Tab_Compteur_3[[#This Row],[Delta Jour]],"")&lt;0,"",IFERROR(IF(Str_TypeDonneesCpt3=Cpt_Index,Tab_Compteur_3[[#This Row],[Index]]-E54,Tab_Compteur_3[[#This Row],[Quantité]])/Tab_Compteur_3[[#This Row],[Delta Jour]],""))</f>
        <v/>
      </c>
      <c r="H55" s="193" t="str">
        <f>IFERROR(Tab_Compteur_3[[#This Row],[Montant]]/Tab_Compteur_3[[#This Row],[Delta Jour]],"")</f>
        <v/>
      </c>
      <c r="I55" s="219" t="str">
        <f t="shared" si="1"/>
        <v/>
      </c>
      <c r="J55" s="216"/>
      <c r="K55" s="38"/>
      <c r="L55" s="38"/>
      <c r="M55" s="38"/>
    </row>
    <row r="56" spans="1:13">
      <c r="A56" s="55">
        <f t="shared" si="2"/>
        <v>1</v>
      </c>
      <c r="B56" s="239"/>
      <c r="C56" s="199"/>
      <c r="D56" s="198"/>
      <c r="E56" s="193"/>
      <c r="F56" s="193">
        <f t="shared" si="0"/>
        <v>0</v>
      </c>
      <c r="G56" t="str">
        <f>IF(IFERROR(IF(Str_TypeDonneesCpt3=Cpt_Index,Tab_Compteur_3[[#This Row],[Index]]-E55,Tab_Compteur_3[[#This Row],[Quantité]])/Tab_Compteur_3[[#This Row],[Delta Jour]],"")&lt;0,"",IFERROR(IF(Str_TypeDonneesCpt3=Cpt_Index,Tab_Compteur_3[[#This Row],[Index]]-E55,Tab_Compteur_3[[#This Row],[Quantité]])/Tab_Compteur_3[[#This Row],[Delta Jour]],""))</f>
        <v/>
      </c>
      <c r="H56" s="193" t="str">
        <f>IFERROR(Tab_Compteur_3[[#This Row],[Montant]]/Tab_Compteur_3[[#This Row],[Delta Jour]],"")</f>
        <v/>
      </c>
      <c r="I56" s="219" t="str">
        <f t="shared" si="1"/>
        <v/>
      </c>
      <c r="J56" s="216"/>
      <c r="K56" s="38"/>
      <c r="L56" s="38"/>
      <c r="M56" s="38"/>
    </row>
    <row r="57" spans="1:13">
      <c r="A57" s="55">
        <f t="shared" si="2"/>
        <v>1</v>
      </c>
      <c r="B57" s="239"/>
      <c r="C57" s="199"/>
      <c r="D57" s="198"/>
      <c r="E57" s="193"/>
      <c r="F57" s="193">
        <f t="shared" si="0"/>
        <v>0</v>
      </c>
      <c r="G57" t="str">
        <f>IF(IFERROR(IF(Str_TypeDonneesCpt3=Cpt_Index,Tab_Compteur_3[[#This Row],[Index]]-E56,Tab_Compteur_3[[#This Row],[Quantité]])/Tab_Compteur_3[[#This Row],[Delta Jour]],"")&lt;0,"",IFERROR(IF(Str_TypeDonneesCpt3=Cpt_Index,Tab_Compteur_3[[#This Row],[Index]]-E56,Tab_Compteur_3[[#This Row],[Quantité]])/Tab_Compteur_3[[#This Row],[Delta Jour]],""))</f>
        <v/>
      </c>
      <c r="H57" s="193" t="str">
        <f>IFERROR(Tab_Compteur_3[[#This Row],[Montant]]/Tab_Compteur_3[[#This Row],[Delta Jour]],"")</f>
        <v/>
      </c>
      <c r="I57" s="219" t="str">
        <f t="shared" si="1"/>
        <v/>
      </c>
      <c r="J57" s="216"/>
      <c r="K57" s="38"/>
      <c r="L57" s="38"/>
      <c r="M57" s="38"/>
    </row>
    <row r="58" spans="1:13">
      <c r="A58" s="55">
        <f t="shared" si="2"/>
        <v>1</v>
      </c>
      <c r="B58" s="239"/>
      <c r="C58" s="199"/>
      <c r="D58" s="198"/>
      <c r="E58" s="193"/>
      <c r="F58" s="193">
        <f t="shared" si="0"/>
        <v>0</v>
      </c>
      <c r="G58" t="str">
        <f>IF(IFERROR(IF(Str_TypeDonneesCpt3=Cpt_Index,Tab_Compteur_3[[#This Row],[Index]]-E57,Tab_Compteur_3[[#This Row],[Quantité]])/Tab_Compteur_3[[#This Row],[Delta Jour]],"")&lt;0,"",IFERROR(IF(Str_TypeDonneesCpt3=Cpt_Index,Tab_Compteur_3[[#This Row],[Index]]-E57,Tab_Compteur_3[[#This Row],[Quantité]])/Tab_Compteur_3[[#This Row],[Delta Jour]],""))</f>
        <v/>
      </c>
      <c r="H58" s="193" t="str">
        <f>IFERROR(Tab_Compteur_3[[#This Row],[Montant]]/Tab_Compteur_3[[#This Row],[Delta Jour]],"")</f>
        <v/>
      </c>
      <c r="I58" s="219" t="str">
        <f t="shared" si="1"/>
        <v/>
      </c>
      <c r="J58" s="216"/>
      <c r="K58" s="38"/>
      <c r="L58" s="38"/>
      <c r="M58" s="38"/>
    </row>
    <row r="59" spans="1:13">
      <c r="A59" s="55">
        <f t="shared" si="2"/>
        <v>1</v>
      </c>
      <c r="B59" s="239"/>
      <c r="C59" s="199"/>
      <c r="D59" s="198"/>
      <c r="E59" s="193"/>
      <c r="F59" s="193">
        <f t="shared" si="0"/>
        <v>0</v>
      </c>
      <c r="G59" t="str">
        <f>IF(IFERROR(IF(Str_TypeDonneesCpt3=Cpt_Index,Tab_Compteur_3[[#This Row],[Index]]-E58,Tab_Compteur_3[[#This Row],[Quantité]])/Tab_Compteur_3[[#This Row],[Delta Jour]],"")&lt;0,"",IFERROR(IF(Str_TypeDonneesCpt3=Cpt_Index,Tab_Compteur_3[[#This Row],[Index]]-E58,Tab_Compteur_3[[#This Row],[Quantité]])/Tab_Compteur_3[[#This Row],[Delta Jour]],""))</f>
        <v/>
      </c>
      <c r="H59" s="193" t="str">
        <f>IFERROR(Tab_Compteur_3[[#This Row],[Montant]]/Tab_Compteur_3[[#This Row],[Delta Jour]],"")</f>
        <v/>
      </c>
      <c r="I59" s="219" t="str">
        <f t="shared" si="1"/>
        <v/>
      </c>
      <c r="J59" s="216"/>
      <c r="K59" s="38"/>
      <c r="L59" s="38"/>
      <c r="M59" s="38"/>
    </row>
    <row r="60" spans="1:13">
      <c r="A60" s="55">
        <f t="shared" si="2"/>
        <v>1</v>
      </c>
      <c r="B60" s="239"/>
      <c r="C60" s="199"/>
      <c r="D60" s="198"/>
      <c r="E60" s="193"/>
      <c r="F60" s="193">
        <f t="shared" si="0"/>
        <v>0</v>
      </c>
      <c r="G60" t="str">
        <f>IF(IFERROR(IF(Str_TypeDonneesCpt3=Cpt_Index,Tab_Compteur_3[[#This Row],[Index]]-E59,Tab_Compteur_3[[#This Row],[Quantité]])/Tab_Compteur_3[[#This Row],[Delta Jour]],"")&lt;0,"",IFERROR(IF(Str_TypeDonneesCpt3=Cpt_Index,Tab_Compteur_3[[#This Row],[Index]]-E59,Tab_Compteur_3[[#This Row],[Quantité]])/Tab_Compteur_3[[#This Row],[Delta Jour]],""))</f>
        <v/>
      </c>
      <c r="H60" s="193" t="str">
        <f>IFERROR(Tab_Compteur_3[[#This Row],[Montant]]/Tab_Compteur_3[[#This Row],[Delta Jour]],"")</f>
        <v/>
      </c>
      <c r="I60" s="219" t="str">
        <f t="shared" si="1"/>
        <v/>
      </c>
      <c r="J60" s="216"/>
      <c r="K60" s="38"/>
      <c r="L60" s="38"/>
      <c r="M60" s="38"/>
    </row>
    <row r="61" spans="1:13">
      <c r="A61" s="55">
        <f t="shared" si="2"/>
        <v>1</v>
      </c>
      <c r="B61" s="239"/>
      <c r="C61" s="199"/>
      <c r="D61" s="198"/>
      <c r="E61" s="193"/>
      <c r="F61" s="193">
        <f t="shared" si="0"/>
        <v>0</v>
      </c>
      <c r="G61" t="str">
        <f>IF(IFERROR(IF(Str_TypeDonneesCpt3=Cpt_Index,Tab_Compteur_3[[#This Row],[Index]]-E60,Tab_Compteur_3[[#This Row],[Quantité]])/Tab_Compteur_3[[#This Row],[Delta Jour]],"")&lt;0,"",IFERROR(IF(Str_TypeDonneesCpt3=Cpt_Index,Tab_Compteur_3[[#This Row],[Index]]-E60,Tab_Compteur_3[[#This Row],[Quantité]])/Tab_Compteur_3[[#This Row],[Delta Jour]],""))</f>
        <v/>
      </c>
      <c r="H61" s="193" t="str">
        <f>IFERROR(Tab_Compteur_3[[#This Row],[Montant]]/Tab_Compteur_3[[#This Row],[Delta Jour]],"")</f>
        <v/>
      </c>
      <c r="I61" s="219" t="str">
        <f t="shared" si="1"/>
        <v/>
      </c>
      <c r="J61" s="216"/>
      <c r="K61" s="38"/>
      <c r="L61" s="38"/>
      <c r="M61" s="38"/>
    </row>
    <row r="62" spans="1:13">
      <c r="A62" s="55">
        <f t="shared" si="2"/>
        <v>1</v>
      </c>
      <c r="B62" s="239"/>
      <c r="C62" s="199"/>
      <c r="D62" s="198"/>
      <c r="E62" s="193"/>
      <c r="F62" s="193">
        <f t="shared" si="0"/>
        <v>0</v>
      </c>
      <c r="G62" t="str">
        <f>IF(IFERROR(IF(Str_TypeDonneesCpt3=Cpt_Index,Tab_Compteur_3[[#This Row],[Index]]-E61,Tab_Compteur_3[[#This Row],[Quantité]])/Tab_Compteur_3[[#This Row],[Delta Jour]],"")&lt;0,"",IFERROR(IF(Str_TypeDonneesCpt3=Cpt_Index,Tab_Compteur_3[[#This Row],[Index]]-E61,Tab_Compteur_3[[#This Row],[Quantité]])/Tab_Compteur_3[[#This Row],[Delta Jour]],""))</f>
        <v/>
      </c>
      <c r="H62" s="193" t="str">
        <f>IFERROR(Tab_Compteur_3[[#This Row],[Montant]]/Tab_Compteur_3[[#This Row],[Delta Jour]],"")</f>
        <v/>
      </c>
      <c r="I62" s="219" t="str">
        <f t="shared" si="1"/>
        <v/>
      </c>
      <c r="J62" s="216"/>
      <c r="K62" s="38"/>
      <c r="L62" s="38"/>
      <c r="M62" s="38"/>
    </row>
    <row r="63" spans="1:13">
      <c r="A63" s="55">
        <f t="shared" si="2"/>
        <v>1</v>
      </c>
      <c r="B63" s="239"/>
      <c r="C63" s="199"/>
      <c r="D63" s="198"/>
      <c r="E63" s="193"/>
      <c r="F63" s="193">
        <f t="shared" si="0"/>
        <v>0</v>
      </c>
      <c r="G63" t="str">
        <f>IF(IFERROR(IF(Str_TypeDonneesCpt3=Cpt_Index,Tab_Compteur_3[[#This Row],[Index]]-E62,Tab_Compteur_3[[#This Row],[Quantité]])/Tab_Compteur_3[[#This Row],[Delta Jour]],"")&lt;0,"",IFERROR(IF(Str_TypeDonneesCpt3=Cpt_Index,Tab_Compteur_3[[#This Row],[Index]]-E62,Tab_Compteur_3[[#This Row],[Quantité]])/Tab_Compteur_3[[#This Row],[Delta Jour]],""))</f>
        <v/>
      </c>
      <c r="H63" s="193" t="str">
        <f>IFERROR(Tab_Compteur_3[[#This Row],[Montant]]/Tab_Compteur_3[[#This Row],[Delta Jour]],"")</f>
        <v/>
      </c>
      <c r="I63" s="219" t="str">
        <f t="shared" si="1"/>
        <v/>
      </c>
      <c r="J63" s="216"/>
      <c r="K63" s="38"/>
      <c r="L63" s="38"/>
      <c r="M63" s="38"/>
    </row>
    <row r="64" spans="1:13">
      <c r="A64" s="55">
        <f t="shared" si="2"/>
        <v>1</v>
      </c>
      <c r="B64" s="239"/>
      <c r="C64" s="199"/>
      <c r="D64" s="198"/>
      <c r="E64" s="193"/>
      <c r="F64" s="193">
        <f t="shared" si="0"/>
        <v>0</v>
      </c>
      <c r="G64" t="str">
        <f>IF(IFERROR(IF(Str_TypeDonneesCpt3=Cpt_Index,Tab_Compteur_3[[#This Row],[Index]]-E63,Tab_Compteur_3[[#This Row],[Quantité]])/Tab_Compteur_3[[#This Row],[Delta Jour]],"")&lt;0,"",IFERROR(IF(Str_TypeDonneesCpt3=Cpt_Index,Tab_Compteur_3[[#This Row],[Index]]-E63,Tab_Compteur_3[[#This Row],[Quantité]])/Tab_Compteur_3[[#This Row],[Delta Jour]],""))</f>
        <v/>
      </c>
      <c r="H64" s="193" t="str">
        <f>IFERROR(Tab_Compteur_3[[#This Row],[Montant]]/Tab_Compteur_3[[#This Row],[Delta Jour]],"")</f>
        <v/>
      </c>
      <c r="I64" s="219" t="str">
        <f t="shared" si="1"/>
        <v/>
      </c>
      <c r="J64" s="216"/>
      <c r="K64" s="38"/>
      <c r="L64" s="38"/>
      <c r="M64" s="38"/>
    </row>
    <row r="65" spans="1:13">
      <c r="A65" s="55">
        <f t="shared" si="2"/>
        <v>1</v>
      </c>
      <c r="B65" s="239"/>
      <c r="C65" s="199"/>
      <c r="D65" s="198"/>
      <c r="E65" s="193"/>
      <c r="F65" s="193">
        <f t="shared" si="0"/>
        <v>0</v>
      </c>
      <c r="G65" t="str">
        <f>IF(IFERROR(IF(Str_TypeDonneesCpt3=Cpt_Index,Tab_Compteur_3[[#This Row],[Index]]-E64,Tab_Compteur_3[[#This Row],[Quantité]])/Tab_Compteur_3[[#This Row],[Delta Jour]],"")&lt;0,"",IFERROR(IF(Str_TypeDonneesCpt3=Cpt_Index,Tab_Compteur_3[[#This Row],[Index]]-E64,Tab_Compteur_3[[#This Row],[Quantité]])/Tab_Compteur_3[[#This Row],[Delta Jour]],""))</f>
        <v/>
      </c>
      <c r="H65" s="193" t="str">
        <f>IFERROR(Tab_Compteur_3[[#This Row],[Montant]]/Tab_Compteur_3[[#This Row],[Delta Jour]],"")</f>
        <v/>
      </c>
      <c r="I65" s="219" t="str">
        <f t="shared" si="1"/>
        <v/>
      </c>
      <c r="J65" s="216"/>
      <c r="K65" s="38"/>
      <c r="L65" s="38"/>
      <c r="M65" s="38"/>
    </row>
    <row r="66" spans="1:13">
      <c r="A66" s="55">
        <f t="shared" si="2"/>
        <v>1</v>
      </c>
      <c r="B66" s="239"/>
      <c r="C66" s="199"/>
      <c r="D66" s="198"/>
      <c r="E66" s="193"/>
      <c r="F66" s="193">
        <f t="shared" si="0"/>
        <v>0</v>
      </c>
      <c r="G66" t="str">
        <f>IF(IFERROR(IF(Str_TypeDonneesCpt3=Cpt_Index,Tab_Compteur_3[[#This Row],[Index]]-E65,Tab_Compteur_3[[#This Row],[Quantité]])/Tab_Compteur_3[[#This Row],[Delta Jour]],"")&lt;0,"",IFERROR(IF(Str_TypeDonneesCpt3=Cpt_Index,Tab_Compteur_3[[#This Row],[Index]]-E65,Tab_Compteur_3[[#This Row],[Quantité]])/Tab_Compteur_3[[#This Row],[Delta Jour]],""))</f>
        <v/>
      </c>
      <c r="H66" s="193" t="str">
        <f>IFERROR(Tab_Compteur_3[[#This Row],[Montant]]/Tab_Compteur_3[[#This Row],[Delta Jour]],"")</f>
        <v/>
      </c>
      <c r="I66" s="219" t="str">
        <f t="shared" si="1"/>
        <v/>
      </c>
      <c r="J66" s="216"/>
      <c r="K66" s="38"/>
      <c r="L66" s="38"/>
      <c r="M66" s="38"/>
    </row>
    <row r="67" spans="1:13">
      <c r="A67" s="55">
        <f t="shared" si="2"/>
        <v>1</v>
      </c>
      <c r="B67" s="239"/>
      <c r="C67" s="199"/>
      <c r="D67" s="198"/>
      <c r="E67" s="193"/>
      <c r="F67" s="193">
        <f t="shared" ref="F67:F130" si="3">IFERROR(B67-A67+1,"")</f>
        <v>0</v>
      </c>
      <c r="G67" t="str">
        <f>IF(IFERROR(IF(Str_TypeDonneesCpt3=Cpt_Index,Tab_Compteur_3[[#This Row],[Index]]-E66,Tab_Compteur_3[[#This Row],[Quantité]])/Tab_Compteur_3[[#This Row],[Delta Jour]],"")&lt;0,"",IFERROR(IF(Str_TypeDonneesCpt3=Cpt_Index,Tab_Compteur_3[[#This Row],[Index]]-E66,Tab_Compteur_3[[#This Row],[Quantité]])/Tab_Compteur_3[[#This Row],[Delta Jour]],""))</f>
        <v/>
      </c>
      <c r="H67" s="193" t="str">
        <f>IFERROR(Tab_Compteur_3[[#This Row],[Montant]]/Tab_Compteur_3[[#This Row],[Delta Jour]],"")</f>
        <v/>
      </c>
      <c r="I67" s="219" t="str">
        <f t="shared" ref="I67:I130" si="4">G67</f>
        <v/>
      </c>
      <c r="J67" s="216"/>
      <c r="K67" s="38"/>
      <c r="L67" s="38"/>
      <c r="M67" s="38"/>
    </row>
    <row r="68" spans="1:13">
      <c r="A68" s="55">
        <f t="shared" si="2"/>
        <v>1</v>
      </c>
      <c r="B68" s="239"/>
      <c r="C68" s="199"/>
      <c r="D68" s="198"/>
      <c r="E68" s="193"/>
      <c r="F68" s="193">
        <f t="shared" si="3"/>
        <v>0</v>
      </c>
      <c r="G68" t="str">
        <f>IF(IFERROR(IF(Str_TypeDonneesCpt3=Cpt_Index,Tab_Compteur_3[[#This Row],[Index]]-E67,Tab_Compteur_3[[#This Row],[Quantité]])/Tab_Compteur_3[[#This Row],[Delta Jour]],"")&lt;0,"",IFERROR(IF(Str_TypeDonneesCpt3=Cpt_Index,Tab_Compteur_3[[#This Row],[Index]]-E67,Tab_Compteur_3[[#This Row],[Quantité]])/Tab_Compteur_3[[#This Row],[Delta Jour]],""))</f>
        <v/>
      </c>
      <c r="H68" s="193" t="str">
        <f>IFERROR(Tab_Compteur_3[[#This Row],[Montant]]/Tab_Compteur_3[[#This Row],[Delta Jour]],"")</f>
        <v/>
      </c>
      <c r="I68" s="219" t="str">
        <f t="shared" si="4"/>
        <v/>
      </c>
      <c r="J68" s="216"/>
      <c r="K68" s="38"/>
      <c r="L68" s="38"/>
      <c r="M68" s="38"/>
    </row>
    <row r="69" spans="1:13">
      <c r="A69" s="55">
        <f t="shared" si="2"/>
        <v>1</v>
      </c>
      <c r="B69" s="239"/>
      <c r="C69" s="199"/>
      <c r="D69" s="198"/>
      <c r="E69" s="193"/>
      <c r="F69" s="193">
        <f t="shared" si="3"/>
        <v>0</v>
      </c>
      <c r="G69" t="str">
        <f>IF(IFERROR(IF(Str_TypeDonneesCpt3=Cpt_Index,Tab_Compteur_3[[#This Row],[Index]]-E68,Tab_Compteur_3[[#This Row],[Quantité]])/Tab_Compteur_3[[#This Row],[Delta Jour]],"")&lt;0,"",IFERROR(IF(Str_TypeDonneesCpt3=Cpt_Index,Tab_Compteur_3[[#This Row],[Index]]-E68,Tab_Compteur_3[[#This Row],[Quantité]])/Tab_Compteur_3[[#This Row],[Delta Jour]],""))</f>
        <v/>
      </c>
      <c r="H69" s="193" t="str">
        <f>IFERROR(Tab_Compteur_3[[#This Row],[Montant]]/Tab_Compteur_3[[#This Row],[Delta Jour]],"")</f>
        <v/>
      </c>
      <c r="I69" s="219" t="str">
        <f t="shared" si="4"/>
        <v/>
      </c>
      <c r="J69" s="216"/>
      <c r="K69" s="38"/>
      <c r="L69" s="38"/>
      <c r="M69" s="38"/>
    </row>
    <row r="70" spans="1:13">
      <c r="A70" s="55">
        <f t="shared" ref="A70:A133" si="5">IFERROR(B69+1,0)</f>
        <v>1</v>
      </c>
      <c r="B70" s="239"/>
      <c r="C70" s="199"/>
      <c r="D70" s="198"/>
      <c r="E70" s="193"/>
      <c r="F70" s="193">
        <f t="shared" si="3"/>
        <v>0</v>
      </c>
      <c r="G70" t="str">
        <f>IF(IFERROR(IF(Str_TypeDonneesCpt3=Cpt_Index,Tab_Compteur_3[[#This Row],[Index]]-E69,Tab_Compteur_3[[#This Row],[Quantité]])/Tab_Compteur_3[[#This Row],[Delta Jour]],"")&lt;0,"",IFERROR(IF(Str_TypeDonneesCpt3=Cpt_Index,Tab_Compteur_3[[#This Row],[Index]]-E69,Tab_Compteur_3[[#This Row],[Quantité]])/Tab_Compteur_3[[#This Row],[Delta Jour]],""))</f>
        <v/>
      </c>
      <c r="H70" s="193" t="str">
        <f>IFERROR(Tab_Compteur_3[[#This Row],[Montant]]/Tab_Compteur_3[[#This Row],[Delta Jour]],"")</f>
        <v/>
      </c>
      <c r="I70" s="219" t="str">
        <f t="shared" si="4"/>
        <v/>
      </c>
      <c r="J70" s="216"/>
      <c r="K70" s="38"/>
      <c r="L70" s="38"/>
      <c r="M70" s="38"/>
    </row>
    <row r="71" spans="1:13">
      <c r="A71" s="55">
        <f t="shared" si="5"/>
        <v>1</v>
      </c>
      <c r="B71" s="239"/>
      <c r="C71" s="199"/>
      <c r="D71" s="198"/>
      <c r="E71" s="193"/>
      <c r="F71" s="193">
        <f t="shared" si="3"/>
        <v>0</v>
      </c>
      <c r="G71" t="str">
        <f>IF(IFERROR(IF(Str_TypeDonneesCpt3=Cpt_Index,Tab_Compteur_3[[#This Row],[Index]]-E70,Tab_Compteur_3[[#This Row],[Quantité]])/Tab_Compteur_3[[#This Row],[Delta Jour]],"")&lt;0,"",IFERROR(IF(Str_TypeDonneesCpt3=Cpt_Index,Tab_Compteur_3[[#This Row],[Index]]-E70,Tab_Compteur_3[[#This Row],[Quantité]])/Tab_Compteur_3[[#This Row],[Delta Jour]],""))</f>
        <v/>
      </c>
      <c r="H71" s="193" t="str">
        <f>IFERROR(Tab_Compteur_3[[#This Row],[Montant]]/Tab_Compteur_3[[#This Row],[Delta Jour]],"")</f>
        <v/>
      </c>
      <c r="I71" s="219" t="str">
        <f t="shared" si="4"/>
        <v/>
      </c>
      <c r="J71" s="216"/>
      <c r="K71" s="38"/>
      <c r="L71" s="38"/>
      <c r="M71" s="38"/>
    </row>
    <row r="72" spans="1:13">
      <c r="A72" s="55">
        <f t="shared" si="5"/>
        <v>1</v>
      </c>
      <c r="B72" s="239"/>
      <c r="C72" s="199"/>
      <c r="D72" s="198"/>
      <c r="E72" s="193"/>
      <c r="F72" s="193">
        <f t="shared" si="3"/>
        <v>0</v>
      </c>
      <c r="G72" t="str">
        <f>IF(IFERROR(IF(Str_TypeDonneesCpt3=Cpt_Index,Tab_Compteur_3[[#This Row],[Index]]-E71,Tab_Compteur_3[[#This Row],[Quantité]])/Tab_Compteur_3[[#This Row],[Delta Jour]],"")&lt;0,"",IFERROR(IF(Str_TypeDonneesCpt3=Cpt_Index,Tab_Compteur_3[[#This Row],[Index]]-E71,Tab_Compteur_3[[#This Row],[Quantité]])/Tab_Compteur_3[[#This Row],[Delta Jour]],""))</f>
        <v/>
      </c>
      <c r="H72" s="193" t="str">
        <f>IFERROR(Tab_Compteur_3[[#This Row],[Montant]]/Tab_Compteur_3[[#This Row],[Delta Jour]],"")</f>
        <v/>
      </c>
      <c r="I72" s="219" t="str">
        <f t="shared" si="4"/>
        <v/>
      </c>
      <c r="J72" s="216"/>
      <c r="K72" s="38"/>
      <c r="L72" s="38"/>
      <c r="M72" s="38"/>
    </row>
    <row r="73" spans="1:13">
      <c r="A73" s="55">
        <f t="shared" si="5"/>
        <v>1</v>
      </c>
      <c r="B73" s="239"/>
      <c r="C73" s="199"/>
      <c r="D73" s="198"/>
      <c r="E73" s="193"/>
      <c r="F73" s="193">
        <f t="shared" si="3"/>
        <v>0</v>
      </c>
      <c r="G73" t="str">
        <f>IF(IFERROR(IF(Str_TypeDonneesCpt3=Cpt_Index,Tab_Compteur_3[[#This Row],[Index]]-E72,Tab_Compteur_3[[#This Row],[Quantité]])/Tab_Compteur_3[[#This Row],[Delta Jour]],"")&lt;0,"",IFERROR(IF(Str_TypeDonneesCpt3=Cpt_Index,Tab_Compteur_3[[#This Row],[Index]]-E72,Tab_Compteur_3[[#This Row],[Quantité]])/Tab_Compteur_3[[#This Row],[Delta Jour]],""))</f>
        <v/>
      </c>
      <c r="H73" s="193" t="str">
        <f>IFERROR(Tab_Compteur_3[[#This Row],[Montant]]/Tab_Compteur_3[[#This Row],[Delta Jour]],"")</f>
        <v/>
      </c>
      <c r="I73" s="219" t="str">
        <f t="shared" si="4"/>
        <v/>
      </c>
      <c r="J73" s="216"/>
      <c r="K73" s="38"/>
      <c r="L73" s="38"/>
      <c r="M73" s="38"/>
    </row>
    <row r="74" spans="1:13">
      <c r="A74" s="55">
        <f t="shared" si="5"/>
        <v>1</v>
      </c>
      <c r="B74" s="239"/>
      <c r="C74" s="199"/>
      <c r="D74" s="198"/>
      <c r="E74" s="193"/>
      <c r="F74" s="193">
        <f t="shared" si="3"/>
        <v>0</v>
      </c>
      <c r="G74" t="str">
        <f>IF(IFERROR(IF(Str_TypeDonneesCpt3=Cpt_Index,Tab_Compteur_3[[#This Row],[Index]]-E73,Tab_Compteur_3[[#This Row],[Quantité]])/Tab_Compteur_3[[#This Row],[Delta Jour]],"")&lt;0,"",IFERROR(IF(Str_TypeDonneesCpt3=Cpt_Index,Tab_Compteur_3[[#This Row],[Index]]-E73,Tab_Compteur_3[[#This Row],[Quantité]])/Tab_Compteur_3[[#This Row],[Delta Jour]],""))</f>
        <v/>
      </c>
      <c r="H74" s="193" t="str">
        <f>IFERROR(Tab_Compteur_3[[#This Row],[Montant]]/Tab_Compteur_3[[#This Row],[Delta Jour]],"")</f>
        <v/>
      </c>
      <c r="I74" s="219" t="str">
        <f t="shared" si="4"/>
        <v/>
      </c>
      <c r="J74" s="216"/>
      <c r="K74" s="38"/>
      <c r="L74" s="38"/>
      <c r="M74" s="38"/>
    </row>
    <row r="75" spans="1:13">
      <c r="A75" s="55">
        <f t="shared" si="5"/>
        <v>1</v>
      </c>
      <c r="B75" s="239"/>
      <c r="C75" s="199"/>
      <c r="D75" s="198"/>
      <c r="E75" s="193"/>
      <c r="F75" s="193">
        <f t="shared" si="3"/>
        <v>0</v>
      </c>
      <c r="G75" t="str">
        <f>IF(IFERROR(IF(Str_TypeDonneesCpt3=Cpt_Index,Tab_Compteur_3[[#This Row],[Index]]-E74,Tab_Compteur_3[[#This Row],[Quantité]])/Tab_Compteur_3[[#This Row],[Delta Jour]],"")&lt;0,"",IFERROR(IF(Str_TypeDonneesCpt3=Cpt_Index,Tab_Compteur_3[[#This Row],[Index]]-E74,Tab_Compteur_3[[#This Row],[Quantité]])/Tab_Compteur_3[[#This Row],[Delta Jour]],""))</f>
        <v/>
      </c>
      <c r="H75" s="193" t="str">
        <f>IFERROR(Tab_Compteur_3[[#This Row],[Montant]]/Tab_Compteur_3[[#This Row],[Delta Jour]],"")</f>
        <v/>
      </c>
      <c r="I75" s="219" t="str">
        <f t="shared" si="4"/>
        <v/>
      </c>
      <c r="J75" s="216"/>
      <c r="K75" s="38"/>
      <c r="L75" s="38"/>
      <c r="M75" s="38"/>
    </row>
    <row r="76" spans="1:13">
      <c r="A76" s="55">
        <f t="shared" si="5"/>
        <v>1</v>
      </c>
      <c r="B76" s="239"/>
      <c r="C76" s="199"/>
      <c r="D76" s="198"/>
      <c r="E76" s="193"/>
      <c r="F76" s="193">
        <f t="shared" si="3"/>
        <v>0</v>
      </c>
      <c r="G76" t="str">
        <f>IF(IFERROR(IF(Str_TypeDonneesCpt3=Cpt_Index,Tab_Compteur_3[[#This Row],[Index]]-E75,Tab_Compteur_3[[#This Row],[Quantité]])/Tab_Compteur_3[[#This Row],[Delta Jour]],"")&lt;0,"",IFERROR(IF(Str_TypeDonneesCpt3=Cpt_Index,Tab_Compteur_3[[#This Row],[Index]]-E75,Tab_Compteur_3[[#This Row],[Quantité]])/Tab_Compteur_3[[#This Row],[Delta Jour]],""))</f>
        <v/>
      </c>
      <c r="H76" s="193" t="str">
        <f>IFERROR(Tab_Compteur_3[[#This Row],[Montant]]/Tab_Compteur_3[[#This Row],[Delta Jour]],"")</f>
        <v/>
      </c>
      <c r="I76" s="219" t="str">
        <f t="shared" si="4"/>
        <v/>
      </c>
      <c r="J76" s="216"/>
      <c r="K76" s="38"/>
      <c r="L76" s="38"/>
      <c r="M76" s="38"/>
    </row>
    <row r="77" spans="1:13">
      <c r="A77" s="55">
        <f t="shared" si="5"/>
        <v>1</v>
      </c>
      <c r="B77" s="239"/>
      <c r="C77" s="199"/>
      <c r="D77" s="198"/>
      <c r="E77" s="193"/>
      <c r="F77" s="193">
        <f t="shared" si="3"/>
        <v>0</v>
      </c>
      <c r="G77" t="str">
        <f>IF(IFERROR(IF(Str_TypeDonneesCpt3=Cpt_Index,Tab_Compteur_3[[#This Row],[Index]]-E76,Tab_Compteur_3[[#This Row],[Quantité]])/Tab_Compteur_3[[#This Row],[Delta Jour]],"")&lt;0,"",IFERROR(IF(Str_TypeDonneesCpt3=Cpt_Index,Tab_Compteur_3[[#This Row],[Index]]-E76,Tab_Compteur_3[[#This Row],[Quantité]])/Tab_Compteur_3[[#This Row],[Delta Jour]],""))</f>
        <v/>
      </c>
      <c r="H77" s="193" t="str">
        <f>IFERROR(Tab_Compteur_3[[#This Row],[Montant]]/Tab_Compteur_3[[#This Row],[Delta Jour]],"")</f>
        <v/>
      </c>
      <c r="I77" s="219" t="str">
        <f t="shared" si="4"/>
        <v/>
      </c>
      <c r="J77" s="216"/>
      <c r="K77" s="38"/>
      <c r="L77" s="38"/>
      <c r="M77" s="38"/>
    </row>
    <row r="78" spans="1:13">
      <c r="A78" s="55">
        <f t="shared" si="5"/>
        <v>1</v>
      </c>
      <c r="B78" s="239"/>
      <c r="C78" s="199"/>
      <c r="D78" s="198"/>
      <c r="E78" s="193"/>
      <c r="F78" s="193">
        <f t="shared" si="3"/>
        <v>0</v>
      </c>
      <c r="G78" t="str">
        <f>IF(IFERROR(IF(Str_TypeDonneesCpt3=Cpt_Index,Tab_Compteur_3[[#This Row],[Index]]-E77,Tab_Compteur_3[[#This Row],[Quantité]])/Tab_Compteur_3[[#This Row],[Delta Jour]],"")&lt;0,"",IFERROR(IF(Str_TypeDonneesCpt3=Cpt_Index,Tab_Compteur_3[[#This Row],[Index]]-E77,Tab_Compteur_3[[#This Row],[Quantité]])/Tab_Compteur_3[[#This Row],[Delta Jour]],""))</f>
        <v/>
      </c>
      <c r="H78" s="193" t="str">
        <f>IFERROR(Tab_Compteur_3[[#This Row],[Montant]]/Tab_Compteur_3[[#This Row],[Delta Jour]],"")</f>
        <v/>
      </c>
      <c r="I78" s="219" t="str">
        <f t="shared" si="4"/>
        <v/>
      </c>
      <c r="J78" s="216"/>
      <c r="K78" s="38"/>
      <c r="L78" s="38"/>
      <c r="M78" s="38"/>
    </row>
    <row r="79" spans="1:13">
      <c r="A79" s="55">
        <f t="shared" si="5"/>
        <v>1</v>
      </c>
      <c r="B79" s="239"/>
      <c r="C79" s="199"/>
      <c r="D79" s="198"/>
      <c r="E79" s="193"/>
      <c r="F79" s="193">
        <f t="shared" si="3"/>
        <v>0</v>
      </c>
      <c r="G79" t="str">
        <f>IF(IFERROR(IF(Str_TypeDonneesCpt3=Cpt_Index,Tab_Compteur_3[[#This Row],[Index]]-E78,Tab_Compteur_3[[#This Row],[Quantité]])/Tab_Compteur_3[[#This Row],[Delta Jour]],"")&lt;0,"",IFERROR(IF(Str_TypeDonneesCpt3=Cpt_Index,Tab_Compteur_3[[#This Row],[Index]]-E78,Tab_Compteur_3[[#This Row],[Quantité]])/Tab_Compteur_3[[#This Row],[Delta Jour]],""))</f>
        <v/>
      </c>
      <c r="H79" s="193" t="str">
        <f>IFERROR(Tab_Compteur_3[[#This Row],[Montant]]/Tab_Compteur_3[[#This Row],[Delta Jour]],"")</f>
        <v/>
      </c>
      <c r="I79" s="219" t="str">
        <f t="shared" si="4"/>
        <v/>
      </c>
      <c r="J79" s="216"/>
      <c r="K79" s="38"/>
      <c r="L79" s="38"/>
      <c r="M79" s="38"/>
    </row>
    <row r="80" spans="1:13">
      <c r="A80" s="55">
        <f t="shared" si="5"/>
        <v>1</v>
      </c>
      <c r="B80" s="239"/>
      <c r="C80" s="199"/>
      <c r="D80" s="198"/>
      <c r="E80" s="193"/>
      <c r="F80" s="193">
        <f t="shared" si="3"/>
        <v>0</v>
      </c>
      <c r="G80" t="str">
        <f>IF(IFERROR(IF(Str_TypeDonneesCpt3=Cpt_Index,Tab_Compteur_3[[#This Row],[Index]]-E79,Tab_Compteur_3[[#This Row],[Quantité]])/Tab_Compteur_3[[#This Row],[Delta Jour]],"")&lt;0,"",IFERROR(IF(Str_TypeDonneesCpt3=Cpt_Index,Tab_Compteur_3[[#This Row],[Index]]-E79,Tab_Compteur_3[[#This Row],[Quantité]])/Tab_Compteur_3[[#This Row],[Delta Jour]],""))</f>
        <v/>
      </c>
      <c r="H80" s="193" t="str">
        <f>IFERROR(Tab_Compteur_3[[#This Row],[Montant]]/Tab_Compteur_3[[#This Row],[Delta Jour]],"")</f>
        <v/>
      </c>
      <c r="I80" s="219" t="str">
        <f t="shared" si="4"/>
        <v/>
      </c>
      <c r="J80" s="216"/>
      <c r="K80" s="38"/>
      <c r="L80" s="38"/>
      <c r="M80" s="38"/>
    </row>
    <row r="81" spans="1:13">
      <c r="A81" s="55">
        <f t="shared" si="5"/>
        <v>1</v>
      </c>
      <c r="B81" s="239"/>
      <c r="C81" s="199"/>
      <c r="D81" s="198"/>
      <c r="E81" s="193"/>
      <c r="F81" s="193">
        <f t="shared" si="3"/>
        <v>0</v>
      </c>
      <c r="G81" t="str">
        <f>IF(IFERROR(IF(Str_TypeDonneesCpt3=Cpt_Index,Tab_Compteur_3[[#This Row],[Index]]-E80,Tab_Compteur_3[[#This Row],[Quantité]])/Tab_Compteur_3[[#This Row],[Delta Jour]],"")&lt;0,"",IFERROR(IF(Str_TypeDonneesCpt3=Cpt_Index,Tab_Compteur_3[[#This Row],[Index]]-E80,Tab_Compteur_3[[#This Row],[Quantité]])/Tab_Compteur_3[[#This Row],[Delta Jour]],""))</f>
        <v/>
      </c>
      <c r="H81" s="193" t="str">
        <f>IFERROR(Tab_Compteur_3[[#This Row],[Montant]]/Tab_Compteur_3[[#This Row],[Delta Jour]],"")</f>
        <v/>
      </c>
      <c r="I81" s="219" t="str">
        <f t="shared" si="4"/>
        <v/>
      </c>
      <c r="J81" s="216"/>
      <c r="K81" s="38"/>
      <c r="L81" s="38"/>
      <c r="M81" s="38"/>
    </row>
    <row r="82" spans="1:13">
      <c r="A82" s="55">
        <f t="shared" si="5"/>
        <v>1</v>
      </c>
      <c r="B82" s="239"/>
      <c r="C82" s="199"/>
      <c r="D82" s="198"/>
      <c r="E82" s="193"/>
      <c r="F82" s="193">
        <f t="shared" si="3"/>
        <v>0</v>
      </c>
      <c r="G82" t="str">
        <f>IF(IFERROR(IF(Str_TypeDonneesCpt3=Cpt_Index,Tab_Compteur_3[[#This Row],[Index]]-E81,Tab_Compteur_3[[#This Row],[Quantité]])/Tab_Compteur_3[[#This Row],[Delta Jour]],"")&lt;0,"",IFERROR(IF(Str_TypeDonneesCpt3=Cpt_Index,Tab_Compteur_3[[#This Row],[Index]]-E81,Tab_Compteur_3[[#This Row],[Quantité]])/Tab_Compteur_3[[#This Row],[Delta Jour]],""))</f>
        <v/>
      </c>
      <c r="H82" s="193" t="str">
        <f>IFERROR(Tab_Compteur_3[[#This Row],[Montant]]/Tab_Compteur_3[[#This Row],[Delta Jour]],"")</f>
        <v/>
      </c>
      <c r="I82" s="219" t="str">
        <f t="shared" si="4"/>
        <v/>
      </c>
      <c r="J82" s="216"/>
      <c r="K82" s="38"/>
      <c r="L82" s="38"/>
      <c r="M82" s="38"/>
    </row>
    <row r="83" spans="1:13">
      <c r="A83" s="55">
        <f t="shared" si="5"/>
        <v>1</v>
      </c>
      <c r="B83" s="239"/>
      <c r="C83" s="199"/>
      <c r="D83" s="198"/>
      <c r="E83" s="193"/>
      <c r="F83" s="193">
        <f t="shared" si="3"/>
        <v>0</v>
      </c>
      <c r="G83" t="str">
        <f>IF(IFERROR(IF(Str_TypeDonneesCpt3=Cpt_Index,Tab_Compteur_3[[#This Row],[Index]]-E82,Tab_Compteur_3[[#This Row],[Quantité]])/Tab_Compteur_3[[#This Row],[Delta Jour]],"")&lt;0,"",IFERROR(IF(Str_TypeDonneesCpt3=Cpt_Index,Tab_Compteur_3[[#This Row],[Index]]-E82,Tab_Compteur_3[[#This Row],[Quantité]])/Tab_Compteur_3[[#This Row],[Delta Jour]],""))</f>
        <v/>
      </c>
      <c r="H83" s="193" t="str">
        <f>IFERROR(Tab_Compteur_3[[#This Row],[Montant]]/Tab_Compteur_3[[#This Row],[Delta Jour]],"")</f>
        <v/>
      </c>
      <c r="I83" s="219" t="str">
        <f t="shared" si="4"/>
        <v/>
      </c>
      <c r="J83" s="216"/>
      <c r="K83" s="38"/>
      <c r="L83" s="38"/>
      <c r="M83" s="38"/>
    </row>
    <row r="84" spans="1:13">
      <c r="A84" s="55">
        <f t="shared" si="5"/>
        <v>1</v>
      </c>
      <c r="B84" s="239"/>
      <c r="C84" s="199"/>
      <c r="D84" s="198"/>
      <c r="E84" s="193"/>
      <c r="F84" s="193">
        <f t="shared" si="3"/>
        <v>0</v>
      </c>
      <c r="G84" t="str">
        <f>IF(IFERROR(IF(Str_TypeDonneesCpt3=Cpt_Index,Tab_Compteur_3[[#This Row],[Index]]-E83,Tab_Compteur_3[[#This Row],[Quantité]])/Tab_Compteur_3[[#This Row],[Delta Jour]],"")&lt;0,"",IFERROR(IF(Str_TypeDonneesCpt3=Cpt_Index,Tab_Compteur_3[[#This Row],[Index]]-E83,Tab_Compteur_3[[#This Row],[Quantité]])/Tab_Compteur_3[[#This Row],[Delta Jour]],""))</f>
        <v/>
      </c>
      <c r="H84" s="193" t="str">
        <f>IFERROR(Tab_Compteur_3[[#This Row],[Montant]]/Tab_Compteur_3[[#This Row],[Delta Jour]],"")</f>
        <v/>
      </c>
      <c r="I84" s="219" t="str">
        <f t="shared" si="4"/>
        <v/>
      </c>
      <c r="J84" s="216"/>
      <c r="K84" s="38"/>
      <c r="L84" s="38"/>
      <c r="M84" s="38"/>
    </row>
    <row r="85" spans="1:13">
      <c r="A85" s="55">
        <f t="shared" si="5"/>
        <v>1</v>
      </c>
      <c r="B85" s="239"/>
      <c r="C85" s="199"/>
      <c r="D85" s="198"/>
      <c r="E85" s="193"/>
      <c r="F85" s="193">
        <f t="shared" si="3"/>
        <v>0</v>
      </c>
      <c r="G85" t="str">
        <f>IF(IFERROR(IF(Str_TypeDonneesCpt3=Cpt_Index,Tab_Compteur_3[[#This Row],[Index]]-E84,Tab_Compteur_3[[#This Row],[Quantité]])/Tab_Compteur_3[[#This Row],[Delta Jour]],"")&lt;0,"",IFERROR(IF(Str_TypeDonneesCpt3=Cpt_Index,Tab_Compteur_3[[#This Row],[Index]]-E84,Tab_Compteur_3[[#This Row],[Quantité]])/Tab_Compteur_3[[#This Row],[Delta Jour]],""))</f>
        <v/>
      </c>
      <c r="H85" s="193" t="str">
        <f>IFERROR(Tab_Compteur_3[[#This Row],[Montant]]/Tab_Compteur_3[[#This Row],[Delta Jour]],"")</f>
        <v/>
      </c>
      <c r="I85" s="219" t="str">
        <f t="shared" si="4"/>
        <v/>
      </c>
      <c r="J85" s="216"/>
      <c r="K85" s="38"/>
      <c r="L85" s="38"/>
      <c r="M85" s="38"/>
    </row>
    <row r="86" spans="1:13">
      <c r="A86" s="55">
        <f t="shared" si="5"/>
        <v>1</v>
      </c>
      <c r="B86" s="239"/>
      <c r="C86" s="199"/>
      <c r="D86" s="198"/>
      <c r="E86" s="193"/>
      <c r="F86" s="193">
        <f t="shared" si="3"/>
        <v>0</v>
      </c>
      <c r="G86" t="str">
        <f>IF(IFERROR(IF(Str_TypeDonneesCpt3=Cpt_Index,Tab_Compteur_3[[#This Row],[Index]]-E85,Tab_Compteur_3[[#This Row],[Quantité]])/Tab_Compteur_3[[#This Row],[Delta Jour]],"")&lt;0,"",IFERROR(IF(Str_TypeDonneesCpt3=Cpt_Index,Tab_Compteur_3[[#This Row],[Index]]-E85,Tab_Compteur_3[[#This Row],[Quantité]])/Tab_Compteur_3[[#This Row],[Delta Jour]],""))</f>
        <v/>
      </c>
      <c r="H86" s="193" t="str">
        <f>IFERROR(Tab_Compteur_3[[#This Row],[Montant]]/Tab_Compteur_3[[#This Row],[Delta Jour]],"")</f>
        <v/>
      </c>
      <c r="I86" s="219" t="str">
        <f t="shared" si="4"/>
        <v/>
      </c>
      <c r="J86" s="216"/>
      <c r="K86" s="38"/>
      <c r="L86" s="38"/>
      <c r="M86" s="38"/>
    </row>
    <row r="87" spans="1:13">
      <c r="A87" s="55">
        <f t="shared" si="5"/>
        <v>1</v>
      </c>
      <c r="B87" s="239"/>
      <c r="C87" s="199"/>
      <c r="D87" s="198"/>
      <c r="E87" s="193"/>
      <c r="F87" s="193">
        <f t="shared" si="3"/>
        <v>0</v>
      </c>
      <c r="G87" t="str">
        <f>IF(IFERROR(IF(Str_TypeDonneesCpt3=Cpt_Index,Tab_Compteur_3[[#This Row],[Index]]-E86,Tab_Compteur_3[[#This Row],[Quantité]])/Tab_Compteur_3[[#This Row],[Delta Jour]],"")&lt;0,"",IFERROR(IF(Str_TypeDonneesCpt3=Cpt_Index,Tab_Compteur_3[[#This Row],[Index]]-E86,Tab_Compteur_3[[#This Row],[Quantité]])/Tab_Compteur_3[[#This Row],[Delta Jour]],""))</f>
        <v/>
      </c>
      <c r="H87" s="193" t="str">
        <f>IFERROR(Tab_Compteur_3[[#This Row],[Montant]]/Tab_Compteur_3[[#This Row],[Delta Jour]],"")</f>
        <v/>
      </c>
      <c r="I87" s="219" t="str">
        <f t="shared" si="4"/>
        <v/>
      </c>
      <c r="J87" s="216"/>
      <c r="K87" s="38"/>
      <c r="L87" s="38"/>
      <c r="M87" s="38"/>
    </row>
    <row r="88" spans="1:13">
      <c r="A88" s="55">
        <f t="shared" si="5"/>
        <v>1</v>
      </c>
      <c r="B88" s="239"/>
      <c r="C88" s="199"/>
      <c r="D88" s="198"/>
      <c r="E88" s="193"/>
      <c r="F88" s="193">
        <f t="shared" si="3"/>
        <v>0</v>
      </c>
      <c r="G88" t="str">
        <f>IF(IFERROR(IF(Str_TypeDonneesCpt3=Cpt_Index,Tab_Compteur_3[[#This Row],[Index]]-E87,Tab_Compteur_3[[#This Row],[Quantité]])/Tab_Compteur_3[[#This Row],[Delta Jour]],"")&lt;0,"",IFERROR(IF(Str_TypeDonneesCpt3=Cpt_Index,Tab_Compteur_3[[#This Row],[Index]]-E87,Tab_Compteur_3[[#This Row],[Quantité]])/Tab_Compteur_3[[#This Row],[Delta Jour]],""))</f>
        <v/>
      </c>
      <c r="H88" s="193" t="str">
        <f>IFERROR(Tab_Compteur_3[[#This Row],[Montant]]/Tab_Compteur_3[[#This Row],[Delta Jour]],"")</f>
        <v/>
      </c>
      <c r="I88" s="219" t="str">
        <f t="shared" si="4"/>
        <v/>
      </c>
      <c r="J88" s="216"/>
      <c r="K88" s="38"/>
      <c r="L88" s="38"/>
      <c r="M88" s="38"/>
    </row>
    <row r="89" spans="1:13">
      <c r="A89" s="55">
        <f t="shared" si="5"/>
        <v>1</v>
      </c>
      <c r="B89" s="239"/>
      <c r="C89" s="199"/>
      <c r="D89" s="198"/>
      <c r="E89" s="193"/>
      <c r="F89" s="193">
        <f t="shared" si="3"/>
        <v>0</v>
      </c>
      <c r="G89" t="str">
        <f>IF(IFERROR(IF(Str_TypeDonneesCpt3=Cpt_Index,Tab_Compteur_3[[#This Row],[Index]]-E88,Tab_Compteur_3[[#This Row],[Quantité]])/Tab_Compteur_3[[#This Row],[Delta Jour]],"")&lt;0,"",IFERROR(IF(Str_TypeDonneesCpt3=Cpt_Index,Tab_Compteur_3[[#This Row],[Index]]-E88,Tab_Compteur_3[[#This Row],[Quantité]])/Tab_Compteur_3[[#This Row],[Delta Jour]],""))</f>
        <v/>
      </c>
      <c r="H89" s="193" t="str">
        <f>IFERROR(Tab_Compteur_3[[#This Row],[Montant]]/Tab_Compteur_3[[#This Row],[Delta Jour]],"")</f>
        <v/>
      </c>
      <c r="I89" s="219" t="str">
        <f t="shared" si="4"/>
        <v/>
      </c>
      <c r="J89" s="216"/>
      <c r="K89" s="38"/>
      <c r="L89" s="38"/>
      <c r="M89" s="38"/>
    </row>
    <row r="90" spans="1:13">
      <c r="A90" s="55">
        <f t="shared" si="5"/>
        <v>1</v>
      </c>
      <c r="B90" s="239"/>
      <c r="C90" s="199"/>
      <c r="D90" s="198"/>
      <c r="E90" s="193"/>
      <c r="F90" s="193">
        <f t="shared" si="3"/>
        <v>0</v>
      </c>
      <c r="G90" t="str">
        <f>IF(IFERROR(IF(Str_TypeDonneesCpt3=Cpt_Index,Tab_Compteur_3[[#This Row],[Index]]-E89,Tab_Compteur_3[[#This Row],[Quantité]])/Tab_Compteur_3[[#This Row],[Delta Jour]],"")&lt;0,"",IFERROR(IF(Str_TypeDonneesCpt3=Cpt_Index,Tab_Compteur_3[[#This Row],[Index]]-E89,Tab_Compteur_3[[#This Row],[Quantité]])/Tab_Compteur_3[[#This Row],[Delta Jour]],""))</f>
        <v/>
      </c>
      <c r="H90" s="193" t="str">
        <f>IFERROR(Tab_Compteur_3[[#This Row],[Montant]]/Tab_Compteur_3[[#This Row],[Delta Jour]],"")</f>
        <v/>
      </c>
      <c r="I90" s="219" t="str">
        <f t="shared" si="4"/>
        <v/>
      </c>
      <c r="J90" s="216"/>
      <c r="K90" s="38"/>
      <c r="L90" s="38"/>
      <c r="M90" s="38"/>
    </row>
    <row r="91" spans="1:13">
      <c r="A91" s="55">
        <f t="shared" si="5"/>
        <v>1</v>
      </c>
      <c r="B91" s="239"/>
      <c r="C91" s="199"/>
      <c r="D91" s="198"/>
      <c r="E91" s="193"/>
      <c r="F91" s="193">
        <f t="shared" si="3"/>
        <v>0</v>
      </c>
      <c r="G91" t="str">
        <f>IF(IFERROR(IF(Str_TypeDonneesCpt3=Cpt_Index,Tab_Compteur_3[[#This Row],[Index]]-E90,Tab_Compteur_3[[#This Row],[Quantité]])/Tab_Compteur_3[[#This Row],[Delta Jour]],"")&lt;0,"",IFERROR(IF(Str_TypeDonneesCpt3=Cpt_Index,Tab_Compteur_3[[#This Row],[Index]]-E90,Tab_Compteur_3[[#This Row],[Quantité]])/Tab_Compteur_3[[#This Row],[Delta Jour]],""))</f>
        <v/>
      </c>
      <c r="H91" s="193" t="str">
        <f>IFERROR(Tab_Compteur_3[[#This Row],[Montant]]/Tab_Compteur_3[[#This Row],[Delta Jour]],"")</f>
        <v/>
      </c>
      <c r="I91" s="219" t="str">
        <f t="shared" si="4"/>
        <v/>
      </c>
      <c r="J91" s="216"/>
      <c r="K91" s="38"/>
      <c r="L91" s="38"/>
      <c r="M91" s="38"/>
    </row>
    <row r="92" spans="1:13">
      <c r="A92" s="55">
        <f t="shared" si="5"/>
        <v>1</v>
      </c>
      <c r="B92" s="239"/>
      <c r="C92" s="199"/>
      <c r="D92" s="198"/>
      <c r="E92" s="193"/>
      <c r="F92" s="193">
        <f t="shared" si="3"/>
        <v>0</v>
      </c>
      <c r="G92" t="str">
        <f>IF(IFERROR(IF(Str_TypeDonneesCpt3=Cpt_Index,Tab_Compteur_3[[#This Row],[Index]]-E91,Tab_Compteur_3[[#This Row],[Quantité]])/Tab_Compteur_3[[#This Row],[Delta Jour]],"")&lt;0,"",IFERROR(IF(Str_TypeDonneesCpt3=Cpt_Index,Tab_Compteur_3[[#This Row],[Index]]-E91,Tab_Compteur_3[[#This Row],[Quantité]])/Tab_Compteur_3[[#This Row],[Delta Jour]],""))</f>
        <v/>
      </c>
      <c r="H92" s="193" t="str">
        <f>IFERROR(Tab_Compteur_3[[#This Row],[Montant]]/Tab_Compteur_3[[#This Row],[Delta Jour]],"")</f>
        <v/>
      </c>
      <c r="I92" s="219" t="str">
        <f t="shared" si="4"/>
        <v/>
      </c>
      <c r="J92" s="216"/>
      <c r="K92" s="38"/>
      <c r="L92" s="38"/>
      <c r="M92" s="38"/>
    </row>
    <row r="93" spans="1:13">
      <c r="A93" s="55">
        <f t="shared" si="5"/>
        <v>1</v>
      </c>
      <c r="B93" s="239"/>
      <c r="C93" s="199"/>
      <c r="D93" s="198"/>
      <c r="E93" s="193"/>
      <c r="F93" s="193">
        <f t="shared" si="3"/>
        <v>0</v>
      </c>
      <c r="G93" t="str">
        <f>IF(IFERROR(IF(Str_TypeDonneesCpt3=Cpt_Index,Tab_Compteur_3[[#This Row],[Index]]-E92,Tab_Compteur_3[[#This Row],[Quantité]])/Tab_Compteur_3[[#This Row],[Delta Jour]],"")&lt;0,"",IFERROR(IF(Str_TypeDonneesCpt3=Cpt_Index,Tab_Compteur_3[[#This Row],[Index]]-E92,Tab_Compteur_3[[#This Row],[Quantité]])/Tab_Compteur_3[[#This Row],[Delta Jour]],""))</f>
        <v/>
      </c>
      <c r="H93" s="193" t="str">
        <f>IFERROR(Tab_Compteur_3[[#This Row],[Montant]]/Tab_Compteur_3[[#This Row],[Delta Jour]],"")</f>
        <v/>
      </c>
      <c r="I93" s="219" t="str">
        <f t="shared" si="4"/>
        <v/>
      </c>
      <c r="J93" s="216"/>
      <c r="K93" s="38"/>
      <c r="L93" s="38"/>
      <c r="M93" s="38"/>
    </row>
    <row r="94" spans="1:13">
      <c r="A94" s="55">
        <f t="shared" si="5"/>
        <v>1</v>
      </c>
      <c r="B94" s="239"/>
      <c r="C94" s="199"/>
      <c r="D94" s="198"/>
      <c r="E94" s="193"/>
      <c r="F94" s="193">
        <f t="shared" si="3"/>
        <v>0</v>
      </c>
      <c r="G94" t="str">
        <f>IF(IFERROR(IF(Str_TypeDonneesCpt3=Cpt_Index,Tab_Compteur_3[[#This Row],[Index]]-E93,Tab_Compteur_3[[#This Row],[Quantité]])/Tab_Compteur_3[[#This Row],[Delta Jour]],"")&lt;0,"",IFERROR(IF(Str_TypeDonneesCpt3=Cpt_Index,Tab_Compteur_3[[#This Row],[Index]]-E93,Tab_Compteur_3[[#This Row],[Quantité]])/Tab_Compteur_3[[#This Row],[Delta Jour]],""))</f>
        <v/>
      </c>
      <c r="H94" s="193" t="str">
        <f>IFERROR(Tab_Compteur_3[[#This Row],[Montant]]/Tab_Compteur_3[[#This Row],[Delta Jour]],"")</f>
        <v/>
      </c>
      <c r="I94" s="219" t="str">
        <f t="shared" si="4"/>
        <v/>
      </c>
      <c r="J94" s="216"/>
      <c r="K94" s="38"/>
      <c r="L94" s="38"/>
      <c r="M94" s="38"/>
    </row>
    <row r="95" spans="1:13">
      <c r="A95" s="55">
        <f t="shared" si="5"/>
        <v>1</v>
      </c>
      <c r="B95" s="239"/>
      <c r="C95" s="199"/>
      <c r="D95" s="198"/>
      <c r="E95" s="193"/>
      <c r="F95" s="193">
        <f t="shared" si="3"/>
        <v>0</v>
      </c>
      <c r="G95" t="str">
        <f>IF(IFERROR(IF(Str_TypeDonneesCpt3=Cpt_Index,Tab_Compteur_3[[#This Row],[Index]]-E94,Tab_Compteur_3[[#This Row],[Quantité]])/Tab_Compteur_3[[#This Row],[Delta Jour]],"")&lt;0,"",IFERROR(IF(Str_TypeDonneesCpt3=Cpt_Index,Tab_Compteur_3[[#This Row],[Index]]-E94,Tab_Compteur_3[[#This Row],[Quantité]])/Tab_Compteur_3[[#This Row],[Delta Jour]],""))</f>
        <v/>
      </c>
      <c r="H95" s="193" t="str">
        <f>IFERROR(Tab_Compteur_3[[#This Row],[Montant]]/Tab_Compteur_3[[#This Row],[Delta Jour]],"")</f>
        <v/>
      </c>
      <c r="I95" s="219" t="str">
        <f t="shared" si="4"/>
        <v/>
      </c>
      <c r="J95" s="216"/>
      <c r="K95" s="38"/>
      <c r="L95" s="38"/>
      <c r="M95" s="38"/>
    </row>
    <row r="96" spans="1:13">
      <c r="A96" s="55">
        <f t="shared" si="5"/>
        <v>1</v>
      </c>
      <c r="B96" s="239"/>
      <c r="C96" s="199"/>
      <c r="D96" s="198"/>
      <c r="E96" s="193"/>
      <c r="F96" s="193">
        <f t="shared" si="3"/>
        <v>0</v>
      </c>
      <c r="G96" t="str">
        <f>IF(IFERROR(IF(Str_TypeDonneesCpt3=Cpt_Index,Tab_Compteur_3[[#This Row],[Index]]-E95,Tab_Compteur_3[[#This Row],[Quantité]])/Tab_Compteur_3[[#This Row],[Delta Jour]],"")&lt;0,"",IFERROR(IF(Str_TypeDonneesCpt3=Cpt_Index,Tab_Compteur_3[[#This Row],[Index]]-E95,Tab_Compteur_3[[#This Row],[Quantité]])/Tab_Compteur_3[[#This Row],[Delta Jour]],""))</f>
        <v/>
      </c>
      <c r="H96" s="193" t="str">
        <f>IFERROR(Tab_Compteur_3[[#This Row],[Montant]]/Tab_Compteur_3[[#This Row],[Delta Jour]],"")</f>
        <v/>
      </c>
      <c r="I96" s="219" t="str">
        <f t="shared" si="4"/>
        <v/>
      </c>
      <c r="J96" s="216"/>
      <c r="K96" s="38"/>
      <c r="L96" s="38"/>
      <c r="M96" s="38"/>
    </row>
    <row r="97" spans="1:13">
      <c r="A97" s="55">
        <f t="shared" si="5"/>
        <v>1</v>
      </c>
      <c r="B97" s="239"/>
      <c r="C97" s="199"/>
      <c r="D97" s="198"/>
      <c r="E97" s="193"/>
      <c r="F97" s="193">
        <f t="shared" si="3"/>
        <v>0</v>
      </c>
      <c r="G97" t="str">
        <f>IF(IFERROR(IF(Str_TypeDonneesCpt3=Cpt_Index,Tab_Compteur_3[[#This Row],[Index]]-E96,Tab_Compteur_3[[#This Row],[Quantité]])/Tab_Compteur_3[[#This Row],[Delta Jour]],"")&lt;0,"",IFERROR(IF(Str_TypeDonneesCpt3=Cpt_Index,Tab_Compteur_3[[#This Row],[Index]]-E96,Tab_Compteur_3[[#This Row],[Quantité]])/Tab_Compteur_3[[#This Row],[Delta Jour]],""))</f>
        <v/>
      </c>
      <c r="H97" s="193" t="str">
        <f>IFERROR(Tab_Compteur_3[[#This Row],[Montant]]/Tab_Compteur_3[[#This Row],[Delta Jour]],"")</f>
        <v/>
      </c>
      <c r="I97" s="219" t="str">
        <f t="shared" si="4"/>
        <v/>
      </c>
      <c r="J97" s="216"/>
      <c r="K97" s="38"/>
      <c r="L97" s="38"/>
      <c r="M97" s="38"/>
    </row>
    <row r="98" spans="1:13">
      <c r="A98" s="55">
        <f t="shared" si="5"/>
        <v>1</v>
      </c>
      <c r="B98" s="239"/>
      <c r="C98" s="199"/>
      <c r="D98" s="198"/>
      <c r="E98" s="193"/>
      <c r="F98" s="193">
        <f t="shared" si="3"/>
        <v>0</v>
      </c>
      <c r="G98" t="str">
        <f>IF(IFERROR(IF(Str_TypeDonneesCpt3=Cpt_Index,Tab_Compteur_3[[#This Row],[Index]]-E97,Tab_Compteur_3[[#This Row],[Quantité]])/Tab_Compteur_3[[#This Row],[Delta Jour]],"")&lt;0,"",IFERROR(IF(Str_TypeDonneesCpt3=Cpt_Index,Tab_Compteur_3[[#This Row],[Index]]-E97,Tab_Compteur_3[[#This Row],[Quantité]])/Tab_Compteur_3[[#This Row],[Delta Jour]],""))</f>
        <v/>
      </c>
      <c r="H98" s="193" t="str">
        <f>IFERROR(Tab_Compteur_3[[#This Row],[Montant]]/Tab_Compteur_3[[#This Row],[Delta Jour]],"")</f>
        <v/>
      </c>
      <c r="I98" s="219" t="str">
        <f t="shared" si="4"/>
        <v/>
      </c>
      <c r="J98" s="216"/>
      <c r="K98" s="38"/>
      <c r="L98" s="38"/>
      <c r="M98" s="38"/>
    </row>
    <row r="99" spans="1:13">
      <c r="A99" s="55">
        <f t="shared" si="5"/>
        <v>1</v>
      </c>
      <c r="B99" s="239"/>
      <c r="C99" s="199"/>
      <c r="D99" s="198"/>
      <c r="E99" s="193"/>
      <c r="F99" s="193">
        <f t="shared" si="3"/>
        <v>0</v>
      </c>
      <c r="G99" t="str">
        <f>IF(IFERROR(IF(Str_TypeDonneesCpt3=Cpt_Index,Tab_Compteur_3[[#This Row],[Index]]-E98,Tab_Compteur_3[[#This Row],[Quantité]])/Tab_Compteur_3[[#This Row],[Delta Jour]],"")&lt;0,"",IFERROR(IF(Str_TypeDonneesCpt3=Cpt_Index,Tab_Compteur_3[[#This Row],[Index]]-E98,Tab_Compteur_3[[#This Row],[Quantité]])/Tab_Compteur_3[[#This Row],[Delta Jour]],""))</f>
        <v/>
      </c>
      <c r="H99" s="193" t="str">
        <f>IFERROR(Tab_Compteur_3[[#This Row],[Montant]]/Tab_Compteur_3[[#This Row],[Delta Jour]],"")</f>
        <v/>
      </c>
      <c r="I99" s="219" t="str">
        <f t="shared" si="4"/>
        <v/>
      </c>
      <c r="J99" s="216"/>
      <c r="K99" s="38"/>
      <c r="L99" s="38"/>
      <c r="M99" s="38"/>
    </row>
    <row r="100" spans="1:13">
      <c r="A100" s="55">
        <f t="shared" si="5"/>
        <v>1</v>
      </c>
      <c r="B100" s="239"/>
      <c r="C100" s="199"/>
      <c r="D100" s="198"/>
      <c r="E100" s="193"/>
      <c r="F100" s="193">
        <f t="shared" si="3"/>
        <v>0</v>
      </c>
      <c r="G100" t="str">
        <f>IF(IFERROR(IF(Str_TypeDonneesCpt3=Cpt_Index,Tab_Compteur_3[[#This Row],[Index]]-E99,Tab_Compteur_3[[#This Row],[Quantité]])/Tab_Compteur_3[[#This Row],[Delta Jour]],"")&lt;0,"",IFERROR(IF(Str_TypeDonneesCpt3=Cpt_Index,Tab_Compteur_3[[#This Row],[Index]]-E99,Tab_Compteur_3[[#This Row],[Quantité]])/Tab_Compteur_3[[#This Row],[Delta Jour]],""))</f>
        <v/>
      </c>
      <c r="H100" s="193" t="str">
        <f>IFERROR(Tab_Compteur_3[[#This Row],[Montant]]/Tab_Compteur_3[[#This Row],[Delta Jour]],"")</f>
        <v/>
      </c>
      <c r="I100" s="219" t="str">
        <f t="shared" si="4"/>
        <v/>
      </c>
      <c r="J100" s="216"/>
      <c r="K100" s="38"/>
      <c r="L100" s="38"/>
      <c r="M100" s="38"/>
    </row>
    <row r="101" spans="1:13">
      <c r="A101" s="55">
        <f t="shared" si="5"/>
        <v>1</v>
      </c>
      <c r="B101" s="239"/>
      <c r="C101" s="199"/>
      <c r="D101" s="198"/>
      <c r="E101" s="193"/>
      <c r="F101" s="193">
        <f t="shared" si="3"/>
        <v>0</v>
      </c>
      <c r="G101" t="str">
        <f>IF(IFERROR(IF(Str_TypeDonneesCpt3=Cpt_Index,Tab_Compteur_3[[#This Row],[Index]]-E100,Tab_Compteur_3[[#This Row],[Quantité]])/Tab_Compteur_3[[#This Row],[Delta Jour]],"")&lt;0,"",IFERROR(IF(Str_TypeDonneesCpt3=Cpt_Index,Tab_Compteur_3[[#This Row],[Index]]-E100,Tab_Compteur_3[[#This Row],[Quantité]])/Tab_Compteur_3[[#This Row],[Delta Jour]],""))</f>
        <v/>
      </c>
      <c r="H101" s="193" t="str">
        <f>IFERROR(Tab_Compteur_3[[#This Row],[Montant]]/Tab_Compteur_3[[#This Row],[Delta Jour]],"")</f>
        <v/>
      </c>
      <c r="I101" s="219" t="str">
        <f t="shared" si="4"/>
        <v/>
      </c>
      <c r="J101" s="216"/>
      <c r="K101" s="38"/>
      <c r="L101" s="38"/>
      <c r="M101" s="38"/>
    </row>
    <row r="102" spans="1:13">
      <c r="A102" s="55">
        <f t="shared" si="5"/>
        <v>1</v>
      </c>
      <c r="B102" s="239"/>
      <c r="C102" s="199"/>
      <c r="D102" s="198"/>
      <c r="E102" s="193"/>
      <c r="F102" s="193">
        <f t="shared" si="3"/>
        <v>0</v>
      </c>
      <c r="G102" t="str">
        <f>IF(IFERROR(IF(Str_TypeDonneesCpt3=Cpt_Index,Tab_Compteur_3[[#This Row],[Index]]-E101,Tab_Compteur_3[[#This Row],[Quantité]])/Tab_Compteur_3[[#This Row],[Delta Jour]],"")&lt;0,"",IFERROR(IF(Str_TypeDonneesCpt3=Cpt_Index,Tab_Compteur_3[[#This Row],[Index]]-E101,Tab_Compteur_3[[#This Row],[Quantité]])/Tab_Compteur_3[[#This Row],[Delta Jour]],""))</f>
        <v/>
      </c>
      <c r="H102" s="193" t="str">
        <f>IFERROR(Tab_Compteur_3[[#This Row],[Montant]]/Tab_Compteur_3[[#This Row],[Delta Jour]],"")</f>
        <v/>
      </c>
      <c r="I102" s="219" t="str">
        <f t="shared" si="4"/>
        <v/>
      </c>
      <c r="J102" s="216"/>
      <c r="K102" s="38"/>
      <c r="L102" s="38"/>
      <c r="M102" s="38"/>
    </row>
    <row r="103" spans="1:13">
      <c r="A103" s="55">
        <f t="shared" si="5"/>
        <v>1</v>
      </c>
      <c r="B103" s="239"/>
      <c r="C103" s="199"/>
      <c r="D103" s="198"/>
      <c r="E103" s="193"/>
      <c r="F103" s="193">
        <f t="shared" si="3"/>
        <v>0</v>
      </c>
      <c r="G103" t="str">
        <f>IF(IFERROR(IF(Str_TypeDonneesCpt3=Cpt_Index,Tab_Compteur_3[[#This Row],[Index]]-E102,Tab_Compteur_3[[#This Row],[Quantité]])/Tab_Compteur_3[[#This Row],[Delta Jour]],"")&lt;0,"",IFERROR(IF(Str_TypeDonneesCpt3=Cpt_Index,Tab_Compteur_3[[#This Row],[Index]]-E102,Tab_Compteur_3[[#This Row],[Quantité]])/Tab_Compteur_3[[#This Row],[Delta Jour]],""))</f>
        <v/>
      </c>
      <c r="H103" s="193" t="str">
        <f>IFERROR(Tab_Compteur_3[[#This Row],[Montant]]/Tab_Compteur_3[[#This Row],[Delta Jour]],"")</f>
        <v/>
      </c>
      <c r="I103" s="219" t="str">
        <f t="shared" si="4"/>
        <v/>
      </c>
      <c r="J103" s="216"/>
      <c r="K103" s="38"/>
      <c r="L103" s="38"/>
      <c r="M103" s="38"/>
    </row>
    <row r="104" spans="1:13">
      <c r="A104" s="55">
        <f t="shared" si="5"/>
        <v>1</v>
      </c>
      <c r="B104" s="239"/>
      <c r="C104" s="199"/>
      <c r="D104" s="198"/>
      <c r="E104" s="193"/>
      <c r="F104" s="193">
        <f t="shared" si="3"/>
        <v>0</v>
      </c>
      <c r="G104" t="str">
        <f>IF(IFERROR(IF(Str_TypeDonneesCpt3=Cpt_Index,Tab_Compteur_3[[#This Row],[Index]]-E103,Tab_Compteur_3[[#This Row],[Quantité]])/Tab_Compteur_3[[#This Row],[Delta Jour]],"")&lt;0,"",IFERROR(IF(Str_TypeDonneesCpt3=Cpt_Index,Tab_Compteur_3[[#This Row],[Index]]-E103,Tab_Compteur_3[[#This Row],[Quantité]])/Tab_Compteur_3[[#This Row],[Delta Jour]],""))</f>
        <v/>
      </c>
      <c r="H104" s="193" t="str">
        <f>IFERROR(Tab_Compteur_3[[#This Row],[Montant]]/Tab_Compteur_3[[#This Row],[Delta Jour]],"")</f>
        <v/>
      </c>
      <c r="I104" s="219" t="str">
        <f t="shared" si="4"/>
        <v/>
      </c>
      <c r="J104" s="216"/>
      <c r="K104" s="38"/>
      <c r="L104" s="38"/>
      <c r="M104" s="38"/>
    </row>
    <row r="105" spans="1:13">
      <c r="A105" s="55">
        <f t="shared" si="5"/>
        <v>1</v>
      </c>
      <c r="B105" s="239"/>
      <c r="C105" s="199"/>
      <c r="D105" s="198"/>
      <c r="E105" s="193"/>
      <c r="F105" s="193">
        <f t="shared" si="3"/>
        <v>0</v>
      </c>
      <c r="G105" t="str">
        <f>IF(IFERROR(IF(Str_TypeDonneesCpt3=Cpt_Index,Tab_Compteur_3[[#This Row],[Index]]-E104,Tab_Compteur_3[[#This Row],[Quantité]])/Tab_Compteur_3[[#This Row],[Delta Jour]],"")&lt;0,"",IFERROR(IF(Str_TypeDonneesCpt3=Cpt_Index,Tab_Compteur_3[[#This Row],[Index]]-E104,Tab_Compteur_3[[#This Row],[Quantité]])/Tab_Compteur_3[[#This Row],[Delta Jour]],""))</f>
        <v/>
      </c>
      <c r="H105" s="193" t="str">
        <f>IFERROR(Tab_Compteur_3[[#This Row],[Montant]]/Tab_Compteur_3[[#This Row],[Delta Jour]],"")</f>
        <v/>
      </c>
      <c r="I105" s="219" t="str">
        <f t="shared" si="4"/>
        <v/>
      </c>
      <c r="J105" s="216"/>
      <c r="K105" s="38"/>
      <c r="L105" s="38"/>
      <c r="M105" s="38"/>
    </row>
    <row r="106" spans="1:13">
      <c r="A106" s="55">
        <f t="shared" si="5"/>
        <v>1</v>
      </c>
      <c r="B106" s="239"/>
      <c r="C106" s="199"/>
      <c r="D106" s="198"/>
      <c r="E106" s="193"/>
      <c r="F106" s="193">
        <f t="shared" si="3"/>
        <v>0</v>
      </c>
      <c r="G106" t="str">
        <f>IF(IFERROR(IF(Str_TypeDonneesCpt3=Cpt_Index,Tab_Compteur_3[[#This Row],[Index]]-E105,Tab_Compteur_3[[#This Row],[Quantité]])/Tab_Compteur_3[[#This Row],[Delta Jour]],"")&lt;0,"",IFERROR(IF(Str_TypeDonneesCpt3=Cpt_Index,Tab_Compteur_3[[#This Row],[Index]]-E105,Tab_Compteur_3[[#This Row],[Quantité]])/Tab_Compteur_3[[#This Row],[Delta Jour]],""))</f>
        <v/>
      </c>
      <c r="H106" s="193" t="str">
        <f>IFERROR(Tab_Compteur_3[[#This Row],[Montant]]/Tab_Compteur_3[[#This Row],[Delta Jour]],"")</f>
        <v/>
      </c>
      <c r="I106" s="219" t="str">
        <f t="shared" si="4"/>
        <v/>
      </c>
      <c r="J106" s="216"/>
      <c r="K106" s="38"/>
      <c r="L106" s="38"/>
      <c r="M106" s="38"/>
    </row>
    <row r="107" spans="1:13">
      <c r="A107" s="55">
        <f t="shared" si="5"/>
        <v>1</v>
      </c>
      <c r="B107" s="239"/>
      <c r="C107" s="199"/>
      <c r="D107" s="198"/>
      <c r="E107" s="193"/>
      <c r="F107" s="193">
        <f t="shared" si="3"/>
        <v>0</v>
      </c>
      <c r="G107" t="str">
        <f>IF(IFERROR(IF(Str_TypeDonneesCpt3=Cpt_Index,Tab_Compteur_3[[#This Row],[Index]]-E106,Tab_Compteur_3[[#This Row],[Quantité]])/Tab_Compteur_3[[#This Row],[Delta Jour]],"")&lt;0,"",IFERROR(IF(Str_TypeDonneesCpt3=Cpt_Index,Tab_Compteur_3[[#This Row],[Index]]-E106,Tab_Compteur_3[[#This Row],[Quantité]])/Tab_Compteur_3[[#This Row],[Delta Jour]],""))</f>
        <v/>
      </c>
      <c r="H107" s="193" t="str">
        <f>IFERROR(Tab_Compteur_3[[#This Row],[Montant]]/Tab_Compteur_3[[#This Row],[Delta Jour]],"")</f>
        <v/>
      </c>
      <c r="I107" s="219" t="str">
        <f t="shared" si="4"/>
        <v/>
      </c>
      <c r="J107" s="216"/>
      <c r="K107" s="38"/>
      <c r="L107" s="38"/>
      <c r="M107" s="38"/>
    </row>
    <row r="108" spans="1:13">
      <c r="A108" s="55">
        <f t="shared" si="5"/>
        <v>1</v>
      </c>
      <c r="B108" s="239"/>
      <c r="C108" s="199"/>
      <c r="D108" s="198"/>
      <c r="E108" s="193"/>
      <c r="F108" s="193">
        <f t="shared" si="3"/>
        <v>0</v>
      </c>
      <c r="G108" t="str">
        <f>IF(IFERROR(IF(Str_TypeDonneesCpt3=Cpt_Index,Tab_Compteur_3[[#This Row],[Index]]-E107,Tab_Compteur_3[[#This Row],[Quantité]])/Tab_Compteur_3[[#This Row],[Delta Jour]],"")&lt;0,"",IFERROR(IF(Str_TypeDonneesCpt3=Cpt_Index,Tab_Compteur_3[[#This Row],[Index]]-E107,Tab_Compteur_3[[#This Row],[Quantité]])/Tab_Compteur_3[[#This Row],[Delta Jour]],""))</f>
        <v/>
      </c>
      <c r="H108" s="193" t="str">
        <f>IFERROR(Tab_Compteur_3[[#This Row],[Montant]]/Tab_Compteur_3[[#This Row],[Delta Jour]],"")</f>
        <v/>
      </c>
      <c r="I108" s="219" t="str">
        <f t="shared" si="4"/>
        <v/>
      </c>
      <c r="J108" s="216"/>
      <c r="K108" s="38"/>
      <c r="L108" s="38"/>
      <c r="M108" s="38"/>
    </row>
    <row r="109" spans="1:13">
      <c r="A109" s="55">
        <f t="shared" si="5"/>
        <v>1</v>
      </c>
      <c r="B109" s="239"/>
      <c r="C109" s="199"/>
      <c r="D109" s="198"/>
      <c r="E109" s="193"/>
      <c r="F109" s="193">
        <f t="shared" si="3"/>
        <v>0</v>
      </c>
      <c r="G109" t="str">
        <f>IF(IFERROR(IF(Str_TypeDonneesCpt3=Cpt_Index,Tab_Compteur_3[[#This Row],[Index]]-E108,Tab_Compteur_3[[#This Row],[Quantité]])/Tab_Compteur_3[[#This Row],[Delta Jour]],"")&lt;0,"",IFERROR(IF(Str_TypeDonneesCpt3=Cpt_Index,Tab_Compteur_3[[#This Row],[Index]]-E108,Tab_Compteur_3[[#This Row],[Quantité]])/Tab_Compteur_3[[#This Row],[Delta Jour]],""))</f>
        <v/>
      </c>
      <c r="H109" s="193" t="str">
        <f>IFERROR(Tab_Compteur_3[[#This Row],[Montant]]/Tab_Compteur_3[[#This Row],[Delta Jour]],"")</f>
        <v/>
      </c>
      <c r="I109" s="219" t="str">
        <f t="shared" si="4"/>
        <v/>
      </c>
      <c r="J109" s="216"/>
      <c r="K109" s="38"/>
      <c r="L109" s="38"/>
      <c r="M109" s="38"/>
    </row>
    <row r="110" spans="1:13">
      <c r="A110" s="55">
        <f t="shared" si="5"/>
        <v>1</v>
      </c>
      <c r="B110" s="239"/>
      <c r="C110" s="199"/>
      <c r="D110" s="198"/>
      <c r="E110" s="193"/>
      <c r="F110" s="193">
        <f t="shared" si="3"/>
        <v>0</v>
      </c>
      <c r="G110" t="str">
        <f>IF(IFERROR(IF(Str_TypeDonneesCpt3=Cpt_Index,Tab_Compteur_3[[#This Row],[Index]]-E109,Tab_Compteur_3[[#This Row],[Quantité]])/Tab_Compteur_3[[#This Row],[Delta Jour]],"")&lt;0,"",IFERROR(IF(Str_TypeDonneesCpt3=Cpt_Index,Tab_Compteur_3[[#This Row],[Index]]-E109,Tab_Compteur_3[[#This Row],[Quantité]])/Tab_Compteur_3[[#This Row],[Delta Jour]],""))</f>
        <v/>
      </c>
      <c r="H110" s="193" t="str">
        <f>IFERROR(Tab_Compteur_3[[#This Row],[Montant]]/Tab_Compteur_3[[#This Row],[Delta Jour]],"")</f>
        <v/>
      </c>
      <c r="I110" s="219" t="str">
        <f t="shared" si="4"/>
        <v/>
      </c>
      <c r="J110" s="216"/>
      <c r="K110" s="38"/>
      <c r="L110" s="38"/>
      <c r="M110" s="38"/>
    </row>
    <row r="111" spans="1:13">
      <c r="A111" s="55">
        <f t="shared" si="5"/>
        <v>1</v>
      </c>
      <c r="B111" s="239"/>
      <c r="C111" s="199"/>
      <c r="D111" s="198"/>
      <c r="E111" s="193"/>
      <c r="F111" s="193">
        <f t="shared" si="3"/>
        <v>0</v>
      </c>
      <c r="G111" t="str">
        <f>IF(IFERROR(IF(Str_TypeDonneesCpt3=Cpt_Index,Tab_Compteur_3[[#This Row],[Index]]-E110,Tab_Compteur_3[[#This Row],[Quantité]])/Tab_Compteur_3[[#This Row],[Delta Jour]],"")&lt;0,"",IFERROR(IF(Str_TypeDonneesCpt3=Cpt_Index,Tab_Compteur_3[[#This Row],[Index]]-E110,Tab_Compteur_3[[#This Row],[Quantité]])/Tab_Compteur_3[[#This Row],[Delta Jour]],""))</f>
        <v/>
      </c>
      <c r="H111" s="193" t="str">
        <f>IFERROR(Tab_Compteur_3[[#This Row],[Montant]]/Tab_Compteur_3[[#This Row],[Delta Jour]],"")</f>
        <v/>
      </c>
      <c r="I111" s="219" t="str">
        <f t="shared" si="4"/>
        <v/>
      </c>
      <c r="J111" s="216"/>
      <c r="K111" s="38"/>
      <c r="L111" s="38"/>
      <c r="M111" s="38"/>
    </row>
    <row r="112" spans="1:13">
      <c r="A112" s="55">
        <f t="shared" si="5"/>
        <v>1</v>
      </c>
      <c r="B112" s="239"/>
      <c r="C112" s="199"/>
      <c r="D112" s="198"/>
      <c r="E112" s="193"/>
      <c r="F112" s="193">
        <f t="shared" si="3"/>
        <v>0</v>
      </c>
      <c r="G112" t="str">
        <f>IF(IFERROR(IF(Str_TypeDonneesCpt3=Cpt_Index,Tab_Compteur_3[[#This Row],[Index]]-E111,Tab_Compteur_3[[#This Row],[Quantité]])/Tab_Compteur_3[[#This Row],[Delta Jour]],"")&lt;0,"",IFERROR(IF(Str_TypeDonneesCpt3=Cpt_Index,Tab_Compteur_3[[#This Row],[Index]]-E111,Tab_Compteur_3[[#This Row],[Quantité]])/Tab_Compteur_3[[#This Row],[Delta Jour]],""))</f>
        <v/>
      </c>
      <c r="H112" s="193" t="str">
        <f>IFERROR(Tab_Compteur_3[[#This Row],[Montant]]/Tab_Compteur_3[[#This Row],[Delta Jour]],"")</f>
        <v/>
      </c>
      <c r="I112" s="219" t="str">
        <f t="shared" si="4"/>
        <v/>
      </c>
      <c r="J112" s="216"/>
      <c r="K112" s="38"/>
      <c r="L112" s="38"/>
      <c r="M112" s="38"/>
    </row>
    <row r="113" spans="1:13">
      <c r="A113" s="55">
        <f t="shared" si="5"/>
        <v>1</v>
      </c>
      <c r="B113" s="239"/>
      <c r="C113" s="199"/>
      <c r="D113" s="198"/>
      <c r="E113" s="193"/>
      <c r="F113" s="193">
        <f t="shared" si="3"/>
        <v>0</v>
      </c>
      <c r="G113" t="str">
        <f>IF(IFERROR(IF(Str_TypeDonneesCpt3=Cpt_Index,Tab_Compteur_3[[#This Row],[Index]]-E112,Tab_Compteur_3[[#This Row],[Quantité]])/Tab_Compteur_3[[#This Row],[Delta Jour]],"")&lt;0,"",IFERROR(IF(Str_TypeDonneesCpt3=Cpt_Index,Tab_Compteur_3[[#This Row],[Index]]-E112,Tab_Compteur_3[[#This Row],[Quantité]])/Tab_Compteur_3[[#This Row],[Delta Jour]],""))</f>
        <v/>
      </c>
      <c r="H113" s="193" t="str">
        <f>IFERROR(Tab_Compteur_3[[#This Row],[Montant]]/Tab_Compteur_3[[#This Row],[Delta Jour]],"")</f>
        <v/>
      </c>
      <c r="I113" s="219" t="str">
        <f t="shared" si="4"/>
        <v/>
      </c>
      <c r="J113" s="216"/>
      <c r="K113" s="38"/>
      <c r="L113" s="38"/>
      <c r="M113" s="38"/>
    </row>
    <row r="114" spans="1:13">
      <c r="A114" s="55">
        <f t="shared" si="5"/>
        <v>1</v>
      </c>
      <c r="B114" s="239"/>
      <c r="C114" s="199"/>
      <c r="D114" s="198"/>
      <c r="E114" s="193"/>
      <c r="F114" s="193">
        <f t="shared" si="3"/>
        <v>0</v>
      </c>
      <c r="G114" t="str">
        <f>IF(IFERROR(IF(Str_TypeDonneesCpt3=Cpt_Index,Tab_Compteur_3[[#This Row],[Index]]-E113,Tab_Compteur_3[[#This Row],[Quantité]])/Tab_Compteur_3[[#This Row],[Delta Jour]],"")&lt;0,"",IFERROR(IF(Str_TypeDonneesCpt3=Cpt_Index,Tab_Compteur_3[[#This Row],[Index]]-E113,Tab_Compteur_3[[#This Row],[Quantité]])/Tab_Compteur_3[[#This Row],[Delta Jour]],""))</f>
        <v/>
      </c>
      <c r="H114" s="193" t="str">
        <f>IFERROR(Tab_Compteur_3[[#This Row],[Montant]]/Tab_Compteur_3[[#This Row],[Delta Jour]],"")</f>
        <v/>
      </c>
      <c r="I114" s="219" t="str">
        <f t="shared" si="4"/>
        <v/>
      </c>
      <c r="J114" s="216"/>
      <c r="K114" s="38"/>
      <c r="L114" s="38"/>
      <c r="M114" s="38"/>
    </row>
    <row r="115" spans="1:13">
      <c r="A115" s="55">
        <f t="shared" si="5"/>
        <v>1</v>
      </c>
      <c r="B115" s="239"/>
      <c r="C115" s="199"/>
      <c r="D115" s="198"/>
      <c r="E115" s="193"/>
      <c r="F115" s="193">
        <f t="shared" si="3"/>
        <v>0</v>
      </c>
      <c r="G115" t="str">
        <f>IF(IFERROR(IF(Str_TypeDonneesCpt3=Cpt_Index,Tab_Compteur_3[[#This Row],[Index]]-E114,Tab_Compteur_3[[#This Row],[Quantité]])/Tab_Compteur_3[[#This Row],[Delta Jour]],"")&lt;0,"",IFERROR(IF(Str_TypeDonneesCpt3=Cpt_Index,Tab_Compteur_3[[#This Row],[Index]]-E114,Tab_Compteur_3[[#This Row],[Quantité]])/Tab_Compteur_3[[#This Row],[Delta Jour]],""))</f>
        <v/>
      </c>
      <c r="H115" s="193" t="str">
        <f>IFERROR(Tab_Compteur_3[[#This Row],[Montant]]/Tab_Compteur_3[[#This Row],[Delta Jour]],"")</f>
        <v/>
      </c>
      <c r="I115" s="219" t="str">
        <f t="shared" si="4"/>
        <v/>
      </c>
      <c r="J115" s="216"/>
      <c r="K115" s="38"/>
      <c r="L115" s="38"/>
      <c r="M115" s="38"/>
    </row>
    <row r="116" spans="1:13">
      <c r="A116" s="55">
        <f t="shared" si="5"/>
        <v>1</v>
      </c>
      <c r="B116" s="239"/>
      <c r="C116" s="199"/>
      <c r="D116" s="198"/>
      <c r="E116" s="193"/>
      <c r="F116" s="193">
        <f t="shared" si="3"/>
        <v>0</v>
      </c>
      <c r="G116" t="str">
        <f>IF(IFERROR(IF(Str_TypeDonneesCpt3=Cpt_Index,Tab_Compteur_3[[#This Row],[Index]]-E115,Tab_Compteur_3[[#This Row],[Quantité]])/Tab_Compteur_3[[#This Row],[Delta Jour]],"")&lt;0,"",IFERROR(IF(Str_TypeDonneesCpt3=Cpt_Index,Tab_Compteur_3[[#This Row],[Index]]-E115,Tab_Compteur_3[[#This Row],[Quantité]])/Tab_Compteur_3[[#This Row],[Delta Jour]],""))</f>
        <v/>
      </c>
      <c r="H116" s="193" t="str">
        <f>IFERROR(Tab_Compteur_3[[#This Row],[Montant]]/Tab_Compteur_3[[#This Row],[Delta Jour]],"")</f>
        <v/>
      </c>
      <c r="I116" s="219" t="str">
        <f t="shared" si="4"/>
        <v/>
      </c>
      <c r="J116" s="216"/>
      <c r="K116" s="38"/>
      <c r="L116" s="38"/>
      <c r="M116" s="38"/>
    </row>
    <row r="117" spans="1:13">
      <c r="A117" s="55">
        <f t="shared" si="5"/>
        <v>1</v>
      </c>
      <c r="B117" s="239"/>
      <c r="C117" s="199"/>
      <c r="D117" s="198"/>
      <c r="E117" s="193"/>
      <c r="F117" s="193">
        <f t="shared" si="3"/>
        <v>0</v>
      </c>
      <c r="G117" t="str">
        <f>IF(IFERROR(IF(Str_TypeDonneesCpt3=Cpt_Index,Tab_Compteur_3[[#This Row],[Index]]-E116,Tab_Compteur_3[[#This Row],[Quantité]])/Tab_Compteur_3[[#This Row],[Delta Jour]],"")&lt;0,"",IFERROR(IF(Str_TypeDonneesCpt3=Cpt_Index,Tab_Compteur_3[[#This Row],[Index]]-E116,Tab_Compteur_3[[#This Row],[Quantité]])/Tab_Compteur_3[[#This Row],[Delta Jour]],""))</f>
        <v/>
      </c>
      <c r="H117" s="193" t="str">
        <f>IFERROR(Tab_Compteur_3[[#This Row],[Montant]]/Tab_Compteur_3[[#This Row],[Delta Jour]],"")</f>
        <v/>
      </c>
      <c r="I117" s="219" t="str">
        <f t="shared" si="4"/>
        <v/>
      </c>
      <c r="J117" s="216"/>
      <c r="K117" s="38"/>
      <c r="L117" s="38"/>
      <c r="M117" s="38"/>
    </row>
    <row r="118" spans="1:13">
      <c r="A118" s="55">
        <f t="shared" si="5"/>
        <v>1</v>
      </c>
      <c r="B118" s="239"/>
      <c r="C118" s="199"/>
      <c r="D118" s="198"/>
      <c r="E118" s="193"/>
      <c r="F118" s="193">
        <f t="shared" si="3"/>
        <v>0</v>
      </c>
      <c r="G118" t="str">
        <f>IF(IFERROR(IF(Str_TypeDonneesCpt3=Cpt_Index,Tab_Compteur_3[[#This Row],[Index]]-E117,Tab_Compteur_3[[#This Row],[Quantité]])/Tab_Compteur_3[[#This Row],[Delta Jour]],"")&lt;0,"",IFERROR(IF(Str_TypeDonneesCpt3=Cpt_Index,Tab_Compteur_3[[#This Row],[Index]]-E117,Tab_Compteur_3[[#This Row],[Quantité]])/Tab_Compteur_3[[#This Row],[Delta Jour]],""))</f>
        <v/>
      </c>
      <c r="H118" s="193" t="str">
        <f>IFERROR(Tab_Compteur_3[[#This Row],[Montant]]/Tab_Compteur_3[[#This Row],[Delta Jour]],"")</f>
        <v/>
      </c>
      <c r="I118" s="219" t="str">
        <f t="shared" si="4"/>
        <v/>
      </c>
      <c r="J118" s="216"/>
      <c r="K118" s="38"/>
      <c r="L118" s="38"/>
      <c r="M118" s="38"/>
    </row>
    <row r="119" spans="1:13">
      <c r="A119" s="55">
        <f t="shared" si="5"/>
        <v>1</v>
      </c>
      <c r="B119" s="239"/>
      <c r="C119" s="199"/>
      <c r="D119" s="198"/>
      <c r="E119" s="193"/>
      <c r="F119" s="193">
        <f t="shared" si="3"/>
        <v>0</v>
      </c>
      <c r="G119" t="str">
        <f>IF(IFERROR(IF(Str_TypeDonneesCpt3=Cpt_Index,Tab_Compteur_3[[#This Row],[Index]]-E118,Tab_Compteur_3[[#This Row],[Quantité]])/Tab_Compteur_3[[#This Row],[Delta Jour]],"")&lt;0,"",IFERROR(IF(Str_TypeDonneesCpt3=Cpt_Index,Tab_Compteur_3[[#This Row],[Index]]-E118,Tab_Compteur_3[[#This Row],[Quantité]])/Tab_Compteur_3[[#This Row],[Delta Jour]],""))</f>
        <v/>
      </c>
      <c r="H119" s="193" t="str">
        <f>IFERROR(Tab_Compteur_3[[#This Row],[Montant]]/Tab_Compteur_3[[#This Row],[Delta Jour]],"")</f>
        <v/>
      </c>
      <c r="I119" s="219" t="str">
        <f t="shared" si="4"/>
        <v/>
      </c>
      <c r="J119" s="216"/>
      <c r="K119" s="38"/>
      <c r="L119" s="38"/>
      <c r="M119" s="38"/>
    </row>
    <row r="120" spans="1:13">
      <c r="A120" s="55">
        <f t="shared" si="5"/>
        <v>1</v>
      </c>
      <c r="B120" s="239"/>
      <c r="C120" s="199"/>
      <c r="D120" s="198"/>
      <c r="E120" s="193"/>
      <c r="F120" s="193">
        <f t="shared" si="3"/>
        <v>0</v>
      </c>
      <c r="G120" t="str">
        <f>IF(IFERROR(IF(Str_TypeDonneesCpt3=Cpt_Index,Tab_Compteur_3[[#This Row],[Index]]-E119,Tab_Compteur_3[[#This Row],[Quantité]])/Tab_Compteur_3[[#This Row],[Delta Jour]],"")&lt;0,"",IFERROR(IF(Str_TypeDonneesCpt3=Cpt_Index,Tab_Compteur_3[[#This Row],[Index]]-E119,Tab_Compteur_3[[#This Row],[Quantité]])/Tab_Compteur_3[[#This Row],[Delta Jour]],""))</f>
        <v/>
      </c>
      <c r="H120" s="193" t="str">
        <f>IFERROR(Tab_Compteur_3[[#This Row],[Montant]]/Tab_Compteur_3[[#This Row],[Delta Jour]],"")</f>
        <v/>
      </c>
      <c r="I120" s="219" t="str">
        <f t="shared" si="4"/>
        <v/>
      </c>
      <c r="J120" s="216"/>
      <c r="K120" s="38"/>
      <c r="L120" s="38"/>
      <c r="M120" s="38"/>
    </row>
    <row r="121" spans="1:13">
      <c r="A121" s="55">
        <f t="shared" si="5"/>
        <v>1</v>
      </c>
      <c r="B121" s="239"/>
      <c r="C121" s="199"/>
      <c r="D121" s="198"/>
      <c r="E121" s="193"/>
      <c r="F121" s="193">
        <f t="shared" si="3"/>
        <v>0</v>
      </c>
      <c r="G121" t="str">
        <f>IF(IFERROR(IF(Str_TypeDonneesCpt3=Cpt_Index,Tab_Compteur_3[[#This Row],[Index]]-E120,Tab_Compteur_3[[#This Row],[Quantité]])/Tab_Compteur_3[[#This Row],[Delta Jour]],"")&lt;0,"",IFERROR(IF(Str_TypeDonneesCpt3=Cpt_Index,Tab_Compteur_3[[#This Row],[Index]]-E120,Tab_Compteur_3[[#This Row],[Quantité]])/Tab_Compteur_3[[#This Row],[Delta Jour]],""))</f>
        <v/>
      </c>
      <c r="H121" s="193" t="str">
        <f>IFERROR(Tab_Compteur_3[[#This Row],[Montant]]/Tab_Compteur_3[[#This Row],[Delta Jour]],"")</f>
        <v/>
      </c>
      <c r="I121" s="219" t="str">
        <f t="shared" si="4"/>
        <v/>
      </c>
      <c r="J121" s="216"/>
      <c r="K121" s="38"/>
      <c r="L121" s="38"/>
      <c r="M121" s="38"/>
    </row>
    <row r="122" spans="1:13">
      <c r="A122" s="55">
        <f t="shared" si="5"/>
        <v>1</v>
      </c>
      <c r="B122" s="239"/>
      <c r="C122" s="199"/>
      <c r="D122" s="198"/>
      <c r="E122" s="193"/>
      <c r="F122" s="193">
        <f t="shared" si="3"/>
        <v>0</v>
      </c>
      <c r="G122" t="str">
        <f>IF(IFERROR(IF(Str_TypeDonneesCpt3=Cpt_Index,Tab_Compteur_3[[#This Row],[Index]]-E121,Tab_Compteur_3[[#This Row],[Quantité]])/Tab_Compteur_3[[#This Row],[Delta Jour]],"")&lt;0,"",IFERROR(IF(Str_TypeDonneesCpt3=Cpt_Index,Tab_Compteur_3[[#This Row],[Index]]-E121,Tab_Compteur_3[[#This Row],[Quantité]])/Tab_Compteur_3[[#This Row],[Delta Jour]],""))</f>
        <v/>
      </c>
      <c r="H122" s="193" t="str">
        <f>IFERROR(Tab_Compteur_3[[#This Row],[Montant]]/Tab_Compteur_3[[#This Row],[Delta Jour]],"")</f>
        <v/>
      </c>
      <c r="I122" s="219" t="str">
        <f t="shared" si="4"/>
        <v/>
      </c>
      <c r="J122" s="216"/>
      <c r="K122" s="38"/>
      <c r="L122" s="38"/>
      <c r="M122" s="38"/>
    </row>
    <row r="123" spans="1:13">
      <c r="A123" s="55">
        <f t="shared" si="5"/>
        <v>1</v>
      </c>
      <c r="B123" s="239"/>
      <c r="C123" s="199"/>
      <c r="D123" s="198"/>
      <c r="E123" s="193"/>
      <c r="F123" s="193">
        <f t="shared" si="3"/>
        <v>0</v>
      </c>
      <c r="G123" t="str">
        <f>IF(IFERROR(IF(Str_TypeDonneesCpt3=Cpt_Index,Tab_Compteur_3[[#This Row],[Index]]-E122,Tab_Compteur_3[[#This Row],[Quantité]])/Tab_Compteur_3[[#This Row],[Delta Jour]],"")&lt;0,"",IFERROR(IF(Str_TypeDonneesCpt3=Cpt_Index,Tab_Compteur_3[[#This Row],[Index]]-E122,Tab_Compteur_3[[#This Row],[Quantité]])/Tab_Compteur_3[[#This Row],[Delta Jour]],""))</f>
        <v/>
      </c>
      <c r="H123" s="193" t="str">
        <f>IFERROR(Tab_Compteur_3[[#This Row],[Montant]]/Tab_Compteur_3[[#This Row],[Delta Jour]],"")</f>
        <v/>
      </c>
      <c r="I123" s="219" t="str">
        <f t="shared" si="4"/>
        <v/>
      </c>
      <c r="J123" s="216"/>
      <c r="K123" s="38"/>
      <c r="L123" s="38"/>
      <c r="M123" s="38"/>
    </row>
    <row r="124" spans="1:13">
      <c r="A124" s="55">
        <f t="shared" si="5"/>
        <v>1</v>
      </c>
      <c r="B124" s="239"/>
      <c r="C124" s="199"/>
      <c r="D124" s="198"/>
      <c r="E124" s="193"/>
      <c r="F124" s="193">
        <f t="shared" si="3"/>
        <v>0</v>
      </c>
      <c r="G124" t="str">
        <f>IF(IFERROR(IF(Str_TypeDonneesCpt3=Cpt_Index,Tab_Compteur_3[[#This Row],[Index]]-E123,Tab_Compteur_3[[#This Row],[Quantité]])/Tab_Compteur_3[[#This Row],[Delta Jour]],"")&lt;0,"",IFERROR(IF(Str_TypeDonneesCpt3=Cpt_Index,Tab_Compteur_3[[#This Row],[Index]]-E123,Tab_Compteur_3[[#This Row],[Quantité]])/Tab_Compteur_3[[#This Row],[Delta Jour]],""))</f>
        <v/>
      </c>
      <c r="H124" s="193" t="str">
        <f>IFERROR(Tab_Compteur_3[[#This Row],[Montant]]/Tab_Compteur_3[[#This Row],[Delta Jour]],"")</f>
        <v/>
      </c>
      <c r="I124" s="219" t="str">
        <f t="shared" si="4"/>
        <v/>
      </c>
      <c r="J124" s="216"/>
      <c r="K124" s="38"/>
      <c r="L124" s="38"/>
      <c r="M124" s="38"/>
    </row>
    <row r="125" spans="1:13">
      <c r="A125" s="55">
        <f t="shared" si="5"/>
        <v>1</v>
      </c>
      <c r="B125" s="239"/>
      <c r="C125" s="199"/>
      <c r="D125" s="198"/>
      <c r="E125" s="193"/>
      <c r="F125" s="193">
        <f t="shared" si="3"/>
        <v>0</v>
      </c>
      <c r="G125" t="str">
        <f>IF(IFERROR(IF(Str_TypeDonneesCpt3=Cpt_Index,Tab_Compteur_3[[#This Row],[Index]]-E124,Tab_Compteur_3[[#This Row],[Quantité]])/Tab_Compteur_3[[#This Row],[Delta Jour]],"")&lt;0,"",IFERROR(IF(Str_TypeDonneesCpt3=Cpt_Index,Tab_Compteur_3[[#This Row],[Index]]-E124,Tab_Compteur_3[[#This Row],[Quantité]])/Tab_Compteur_3[[#This Row],[Delta Jour]],""))</f>
        <v/>
      </c>
      <c r="H125" s="193" t="str">
        <f>IFERROR(Tab_Compteur_3[[#This Row],[Montant]]/Tab_Compteur_3[[#This Row],[Delta Jour]],"")</f>
        <v/>
      </c>
      <c r="I125" s="219" t="str">
        <f t="shared" si="4"/>
        <v/>
      </c>
      <c r="J125" s="216"/>
      <c r="K125" s="38"/>
      <c r="L125" s="38"/>
      <c r="M125" s="38"/>
    </row>
    <row r="126" spans="1:13">
      <c r="A126" s="55">
        <f t="shared" si="5"/>
        <v>1</v>
      </c>
      <c r="B126" s="239"/>
      <c r="C126" s="199"/>
      <c r="D126" s="198"/>
      <c r="E126" s="193"/>
      <c r="F126" s="193">
        <f t="shared" si="3"/>
        <v>0</v>
      </c>
      <c r="G126" t="str">
        <f>IF(IFERROR(IF(Str_TypeDonneesCpt3=Cpt_Index,Tab_Compteur_3[[#This Row],[Index]]-E125,Tab_Compteur_3[[#This Row],[Quantité]])/Tab_Compteur_3[[#This Row],[Delta Jour]],"")&lt;0,"",IFERROR(IF(Str_TypeDonneesCpt3=Cpt_Index,Tab_Compteur_3[[#This Row],[Index]]-E125,Tab_Compteur_3[[#This Row],[Quantité]])/Tab_Compteur_3[[#This Row],[Delta Jour]],""))</f>
        <v/>
      </c>
      <c r="H126" s="193" t="str">
        <f>IFERROR(Tab_Compteur_3[[#This Row],[Montant]]/Tab_Compteur_3[[#This Row],[Delta Jour]],"")</f>
        <v/>
      </c>
      <c r="I126" s="219" t="str">
        <f t="shared" si="4"/>
        <v/>
      </c>
      <c r="J126" s="216"/>
      <c r="K126" s="38"/>
      <c r="L126" s="38"/>
      <c r="M126" s="38"/>
    </row>
    <row r="127" spans="1:13">
      <c r="A127" s="55">
        <f t="shared" si="5"/>
        <v>1</v>
      </c>
      <c r="B127" s="239"/>
      <c r="C127" s="199"/>
      <c r="D127" s="198"/>
      <c r="E127" s="193"/>
      <c r="F127" s="193">
        <f t="shared" si="3"/>
        <v>0</v>
      </c>
      <c r="G127" t="str">
        <f>IF(IFERROR(IF(Str_TypeDonneesCpt3=Cpt_Index,Tab_Compteur_3[[#This Row],[Index]]-E126,Tab_Compteur_3[[#This Row],[Quantité]])/Tab_Compteur_3[[#This Row],[Delta Jour]],"")&lt;0,"",IFERROR(IF(Str_TypeDonneesCpt3=Cpt_Index,Tab_Compteur_3[[#This Row],[Index]]-E126,Tab_Compteur_3[[#This Row],[Quantité]])/Tab_Compteur_3[[#This Row],[Delta Jour]],""))</f>
        <v/>
      </c>
      <c r="H127" s="193" t="str">
        <f>IFERROR(Tab_Compteur_3[[#This Row],[Montant]]/Tab_Compteur_3[[#This Row],[Delta Jour]],"")</f>
        <v/>
      </c>
      <c r="I127" s="219" t="str">
        <f t="shared" si="4"/>
        <v/>
      </c>
      <c r="J127" s="216"/>
      <c r="K127" s="38"/>
      <c r="L127" s="38"/>
      <c r="M127" s="38"/>
    </row>
    <row r="128" spans="1:13">
      <c r="A128" s="55">
        <f t="shared" si="5"/>
        <v>1</v>
      </c>
      <c r="B128" s="239"/>
      <c r="C128" s="199"/>
      <c r="D128" s="198"/>
      <c r="E128" s="193"/>
      <c r="F128" s="193">
        <f t="shared" si="3"/>
        <v>0</v>
      </c>
      <c r="G128" t="str">
        <f>IF(IFERROR(IF(Str_TypeDonneesCpt3=Cpt_Index,Tab_Compteur_3[[#This Row],[Index]]-E127,Tab_Compteur_3[[#This Row],[Quantité]])/Tab_Compteur_3[[#This Row],[Delta Jour]],"")&lt;0,"",IFERROR(IF(Str_TypeDonneesCpt3=Cpt_Index,Tab_Compteur_3[[#This Row],[Index]]-E127,Tab_Compteur_3[[#This Row],[Quantité]])/Tab_Compteur_3[[#This Row],[Delta Jour]],""))</f>
        <v/>
      </c>
      <c r="H128" s="193" t="str">
        <f>IFERROR(Tab_Compteur_3[[#This Row],[Montant]]/Tab_Compteur_3[[#This Row],[Delta Jour]],"")</f>
        <v/>
      </c>
      <c r="I128" s="219" t="str">
        <f t="shared" si="4"/>
        <v/>
      </c>
      <c r="J128" s="216"/>
      <c r="K128" s="38"/>
      <c r="L128" s="38"/>
      <c r="M128" s="38"/>
    </row>
    <row r="129" spans="1:13">
      <c r="A129" s="55">
        <f t="shared" si="5"/>
        <v>1</v>
      </c>
      <c r="B129" s="239"/>
      <c r="C129" s="199"/>
      <c r="D129" s="198"/>
      <c r="E129" s="193"/>
      <c r="F129" s="193">
        <f t="shared" si="3"/>
        <v>0</v>
      </c>
      <c r="G129" t="str">
        <f>IF(IFERROR(IF(Str_TypeDonneesCpt3=Cpt_Index,Tab_Compteur_3[[#This Row],[Index]]-E128,Tab_Compteur_3[[#This Row],[Quantité]])/Tab_Compteur_3[[#This Row],[Delta Jour]],"")&lt;0,"",IFERROR(IF(Str_TypeDonneesCpt3=Cpt_Index,Tab_Compteur_3[[#This Row],[Index]]-E128,Tab_Compteur_3[[#This Row],[Quantité]])/Tab_Compteur_3[[#This Row],[Delta Jour]],""))</f>
        <v/>
      </c>
      <c r="H129" s="193" t="str">
        <f>IFERROR(Tab_Compteur_3[[#This Row],[Montant]]/Tab_Compteur_3[[#This Row],[Delta Jour]],"")</f>
        <v/>
      </c>
      <c r="I129" s="219" t="str">
        <f t="shared" si="4"/>
        <v/>
      </c>
      <c r="J129" s="216"/>
      <c r="K129" s="38"/>
      <c r="L129" s="38"/>
      <c r="M129" s="38"/>
    </row>
    <row r="130" spans="1:13">
      <c r="A130" s="55">
        <f t="shared" si="5"/>
        <v>1</v>
      </c>
      <c r="B130" s="239"/>
      <c r="C130" s="199"/>
      <c r="D130" s="198"/>
      <c r="E130" s="193"/>
      <c r="F130" s="193">
        <f t="shared" si="3"/>
        <v>0</v>
      </c>
      <c r="G130" t="str">
        <f>IF(IFERROR(IF(Str_TypeDonneesCpt3=Cpt_Index,Tab_Compteur_3[[#This Row],[Index]]-E129,Tab_Compteur_3[[#This Row],[Quantité]])/Tab_Compteur_3[[#This Row],[Delta Jour]],"")&lt;0,"",IFERROR(IF(Str_TypeDonneesCpt3=Cpt_Index,Tab_Compteur_3[[#This Row],[Index]]-E129,Tab_Compteur_3[[#This Row],[Quantité]])/Tab_Compteur_3[[#This Row],[Delta Jour]],""))</f>
        <v/>
      </c>
      <c r="H130" s="193" t="str">
        <f>IFERROR(Tab_Compteur_3[[#This Row],[Montant]]/Tab_Compteur_3[[#This Row],[Delta Jour]],"")</f>
        <v/>
      </c>
      <c r="I130" s="219" t="str">
        <f t="shared" si="4"/>
        <v/>
      </c>
      <c r="J130" s="216"/>
      <c r="K130" s="38"/>
      <c r="L130" s="38"/>
      <c r="M130" s="38"/>
    </row>
    <row r="131" spans="1:13">
      <c r="A131" s="55">
        <f t="shared" si="5"/>
        <v>1</v>
      </c>
      <c r="B131" s="239"/>
      <c r="C131" s="199"/>
      <c r="D131" s="198"/>
      <c r="E131" s="193"/>
      <c r="F131" s="193">
        <f t="shared" ref="F131:F194" si="6">IFERROR(B131-A131+1,"")</f>
        <v>0</v>
      </c>
      <c r="G131" t="str">
        <f>IF(IFERROR(IF(Str_TypeDonneesCpt3=Cpt_Index,Tab_Compteur_3[[#This Row],[Index]]-E130,Tab_Compteur_3[[#This Row],[Quantité]])/Tab_Compteur_3[[#This Row],[Delta Jour]],"")&lt;0,"",IFERROR(IF(Str_TypeDonneesCpt3=Cpt_Index,Tab_Compteur_3[[#This Row],[Index]]-E130,Tab_Compteur_3[[#This Row],[Quantité]])/Tab_Compteur_3[[#This Row],[Delta Jour]],""))</f>
        <v/>
      </c>
      <c r="H131" s="193" t="str">
        <f>IFERROR(Tab_Compteur_3[[#This Row],[Montant]]/Tab_Compteur_3[[#This Row],[Delta Jour]],"")</f>
        <v/>
      </c>
      <c r="I131" s="219" t="str">
        <f t="shared" ref="I131:I194" si="7">G131</f>
        <v/>
      </c>
      <c r="J131" s="216"/>
      <c r="K131" s="38"/>
      <c r="L131" s="38"/>
      <c r="M131" s="38"/>
    </row>
    <row r="132" spans="1:13">
      <c r="A132" s="55">
        <f t="shared" si="5"/>
        <v>1</v>
      </c>
      <c r="B132" s="239"/>
      <c r="C132" s="199"/>
      <c r="D132" s="198"/>
      <c r="E132" s="193"/>
      <c r="F132" s="193">
        <f t="shared" si="6"/>
        <v>0</v>
      </c>
      <c r="G132" t="str">
        <f>IF(IFERROR(IF(Str_TypeDonneesCpt3=Cpt_Index,Tab_Compteur_3[[#This Row],[Index]]-E131,Tab_Compteur_3[[#This Row],[Quantité]])/Tab_Compteur_3[[#This Row],[Delta Jour]],"")&lt;0,"",IFERROR(IF(Str_TypeDonneesCpt3=Cpt_Index,Tab_Compteur_3[[#This Row],[Index]]-E131,Tab_Compteur_3[[#This Row],[Quantité]])/Tab_Compteur_3[[#This Row],[Delta Jour]],""))</f>
        <v/>
      </c>
      <c r="H132" s="193" t="str">
        <f>IFERROR(Tab_Compteur_3[[#This Row],[Montant]]/Tab_Compteur_3[[#This Row],[Delta Jour]],"")</f>
        <v/>
      </c>
      <c r="I132" s="219" t="str">
        <f t="shared" si="7"/>
        <v/>
      </c>
      <c r="J132" s="216"/>
      <c r="K132" s="38"/>
      <c r="L132" s="38"/>
      <c r="M132" s="38"/>
    </row>
    <row r="133" spans="1:13">
      <c r="A133" s="55">
        <f t="shared" si="5"/>
        <v>1</v>
      </c>
      <c r="B133" s="239"/>
      <c r="C133" s="199"/>
      <c r="D133" s="198"/>
      <c r="E133" s="193"/>
      <c r="F133" s="193">
        <f t="shared" si="6"/>
        <v>0</v>
      </c>
      <c r="G133" t="str">
        <f>IF(IFERROR(IF(Str_TypeDonneesCpt3=Cpt_Index,Tab_Compteur_3[[#This Row],[Index]]-E132,Tab_Compteur_3[[#This Row],[Quantité]])/Tab_Compteur_3[[#This Row],[Delta Jour]],"")&lt;0,"",IFERROR(IF(Str_TypeDonneesCpt3=Cpt_Index,Tab_Compteur_3[[#This Row],[Index]]-E132,Tab_Compteur_3[[#This Row],[Quantité]])/Tab_Compteur_3[[#This Row],[Delta Jour]],""))</f>
        <v/>
      </c>
      <c r="H133" s="193" t="str">
        <f>IFERROR(Tab_Compteur_3[[#This Row],[Montant]]/Tab_Compteur_3[[#This Row],[Delta Jour]],"")</f>
        <v/>
      </c>
      <c r="I133" s="219" t="str">
        <f t="shared" si="7"/>
        <v/>
      </c>
      <c r="J133" s="216"/>
      <c r="K133" s="38"/>
      <c r="L133" s="38"/>
      <c r="M133" s="38"/>
    </row>
    <row r="134" spans="1:13">
      <c r="A134" s="55">
        <f t="shared" ref="A134:A197" si="8">IFERROR(B133+1,0)</f>
        <v>1</v>
      </c>
      <c r="B134" s="239"/>
      <c r="C134" s="199"/>
      <c r="D134" s="198"/>
      <c r="E134" s="193"/>
      <c r="F134" s="193">
        <f t="shared" si="6"/>
        <v>0</v>
      </c>
      <c r="G134" t="str">
        <f>IF(IFERROR(IF(Str_TypeDonneesCpt3=Cpt_Index,Tab_Compteur_3[[#This Row],[Index]]-E133,Tab_Compteur_3[[#This Row],[Quantité]])/Tab_Compteur_3[[#This Row],[Delta Jour]],"")&lt;0,"",IFERROR(IF(Str_TypeDonneesCpt3=Cpt_Index,Tab_Compteur_3[[#This Row],[Index]]-E133,Tab_Compteur_3[[#This Row],[Quantité]])/Tab_Compteur_3[[#This Row],[Delta Jour]],""))</f>
        <v/>
      </c>
      <c r="H134" s="193" t="str">
        <f>IFERROR(Tab_Compteur_3[[#This Row],[Montant]]/Tab_Compteur_3[[#This Row],[Delta Jour]],"")</f>
        <v/>
      </c>
      <c r="I134" s="219" t="str">
        <f t="shared" si="7"/>
        <v/>
      </c>
      <c r="J134" s="216"/>
      <c r="K134" s="38"/>
      <c r="L134" s="38"/>
      <c r="M134" s="38"/>
    </row>
    <row r="135" spans="1:13">
      <c r="A135" s="55">
        <f t="shared" si="8"/>
        <v>1</v>
      </c>
      <c r="B135" s="239"/>
      <c r="C135" s="199"/>
      <c r="D135" s="198"/>
      <c r="E135" s="193"/>
      <c r="F135" s="193">
        <f t="shared" si="6"/>
        <v>0</v>
      </c>
      <c r="G135" t="str">
        <f>IF(IFERROR(IF(Str_TypeDonneesCpt3=Cpt_Index,Tab_Compteur_3[[#This Row],[Index]]-E134,Tab_Compteur_3[[#This Row],[Quantité]])/Tab_Compteur_3[[#This Row],[Delta Jour]],"")&lt;0,"",IFERROR(IF(Str_TypeDonneesCpt3=Cpt_Index,Tab_Compteur_3[[#This Row],[Index]]-E134,Tab_Compteur_3[[#This Row],[Quantité]])/Tab_Compteur_3[[#This Row],[Delta Jour]],""))</f>
        <v/>
      </c>
      <c r="H135" s="193" t="str">
        <f>IFERROR(Tab_Compteur_3[[#This Row],[Montant]]/Tab_Compteur_3[[#This Row],[Delta Jour]],"")</f>
        <v/>
      </c>
      <c r="I135" s="219" t="str">
        <f t="shared" si="7"/>
        <v/>
      </c>
      <c r="J135" s="216"/>
      <c r="K135" s="38"/>
      <c r="L135" s="38"/>
      <c r="M135" s="38"/>
    </row>
    <row r="136" spans="1:13">
      <c r="A136" s="55">
        <f t="shared" si="8"/>
        <v>1</v>
      </c>
      <c r="B136" s="239"/>
      <c r="C136" s="199"/>
      <c r="D136" s="198"/>
      <c r="E136" s="193"/>
      <c r="F136" s="193">
        <f t="shared" si="6"/>
        <v>0</v>
      </c>
      <c r="G136" t="str">
        <f>IF(IFERROR(IF(Str_TypeDonneesCpt3=Cpt_Index,Tab_Compteur_3[[#This Row],[Index]]-E135,Tab_Compteur_3[[#This Row],[Quantité]])/Tab_Compteur_3[[#This Row],[Delta Jour]],"")&lt;0,"",IFERROR(IF(Str_TypeDonneesCpt3=Cpt_Index,Tab_Compteur_3[[#This Row],[Index]]-E135,Tab_Compteur_3[[#This Row],[Quantité]])/Tab_Compteur_3[[#This Row],[Delta Jour]],""))</f>
        <v/>
      </c>
      <c r="H136" s="193" t="str">
        <f>IFERROR(Tab_Compteur_3[[#This Row],[Montant]]/Tab_Compteur_3[[#This Row],[Delta Jour]],"")</f>
        <v/>
      </c>
      <c r="I136" s="219" t="str">
        <f t="shared" si="7"/>
        <v/>
      </c>
      <c r="J136" s="216"/>
      <c r="K136" s="38"/>
      <c r="L136" s="38"/>
      <c r="M136" s="38"/>
    </row>
    <row r="137" spans="1:13">
      <c r="A137" s="55">
        <f t="shared" si="8"/>
        <v>1</v>
      </c>
      <c r="B137" s="239"/>
      <c r="C137" s="199"/>
      <c r="D137" s="198"/>
      <c r="E137" s="193"/>
      <c r="F137" s="193">
        <f t="shared" si="6"/>
        <v>0</v>
      </c>
      <c r="G137" t="str">
        <f>IF(IFERROR(IF(Str_TypeDonneesCpt3=Cpt_Index,Tab_Compteur_3[[#This Row],[Index]]-E136,Tab_Compteur_3[[#This Row],[Quantité]])/Tab_Compteur_3[[#This Row],[Delta Jour]],"")&lt;0,"",IFERROR(IF(Str_TypeDonneesCpt3=Cpt_Index,Tab_Compteur_3[[#This Row],[Index]]-E136,Tab_Compteur_3[[#This Row],[Quantité]])/Tab_Compteur_3[[#This Row],[Delta Jour]],""))</f>
        <v/>
      </c>
      <c r="H137" s="193" t="str">
        <f>IFERROR(Tab_Compteur_3[[#This Row],[Montant]]/Tab_Compteur_3[[#This Row],[Delta Jour]],"")</f>
        <v/>
      </c>
      <c r="I137" s="219" t="str">
        <f t="shared" si="7"/>
        <v/>
      </c>
      <c r="J137" s="216"/>
      <c r="K137" s="38"/>
      <c r="L137" s="38"/>
      <c r="M137" s="38"/>
    </row>
    <row r="138" spans="1:13">
      <c r="A138" s="55">
        <f t="shared" si="8"/>
        <v>1</v>
      </c>
      <c r="B138" s="239"/>
      <c r="C138" s="199"/>
      <c r="D138" s="198"/>
      <c r="E138" s="193"/>
      <c r="F138" s="193">
        <f t="shared" si="6"/>
        <v>0</v>
      </c>
      <c r="G138" t="str">
        <f>IF(IFERROR(IF(Str_TypeDonneesCpt3=Cpt_Index,Tab_Compteur_3[[#This Row],[Index]]-E137,Tab_Compteur_3[[#This Row],[Quantité]])/Tab_Compteur_3[[#This Row],[Delta Jour]],"")&lt;0,"",IFERROR(IF(Str_TypeDonneesCpt3=Cpt_Index,Tab_Compteur_3[[#This Row],[Index]]-E137,Tab_Compteur_3[[#This Row],[Quantité]])/Tab_Compteur_3[[#This Row],[Delta Jour]],""))</f>
        <v/>
      </c>
      <c r="H138" s="193" t="str">
        <f>IFERROR(Tab_Compteur_3[[#This Row],[Montant]]/Tab_Compteur_3[[#This Row],[Delta Jour]],"")</f>
        <v/>
      </c>
      <c r="I138" s="219" t="str">
        <f t="shared" si="7"/>
        <v/>
      </c>
      <c r="J138" s="216"/>
      <c r="K138" s="38"/>
      <c r="L138" s="38"/>
      <c r="M138" s="38"/>
    </row>
    <row r="139" spans="1:13">
      <c r="A139" s="55">
        <f t="shared" si="8"/>
        <v>1</v>
      </c>
      <c r="B139" s="239"/>
      <c r="C139" s="199"/>
      <c r="D139" s="198"/>
      <c r="E139" s="193"/>
      <c r="F139" s="193">
        <f t="shared" si="6"/>
        <v>0</v>
      </c>
      <c r="G139" t="str">
        <f>IF(IFERROR(IF(Str_TypeDonneesCpt3=Cpt_Index,Tab_Compteur_3[[#This Row],[Index]]-E138,Tab_Compteur_3[[#This Row],[Quantité]])/Tab_Compteur_3[[#This Row],[Delta Jour]],"")&lt;0,"",IFERROR(IF(Str_TypeDonneesCpt3=Cpt_Index,Tab_Compteur_3[[#This Row],[Index]]-E138,Tab_Compteur_3[[#This Row],[Quantité]])/Tab_Compteur_3[[#This Row],[Delta Jour]],""))</f>
        <v/>
      </c>
      <c r="H139" s="193" t="str">
        <f>IFERROR(Tab_Compteur_3[[#This Row],[Montant]]/Tab_Compteur_3[[#This Row],[Delta Jour]],"")</f>
        <v/>
      </c>
      <c r="I139" s="219" t="str">
        <f t="shared" si="7"/>
        <v/>
      </c>
      <c r="J139" s="216"/>
      <c r="K139" s="38"/>
      <c r="L139" s="38"/>
      <c r="M139" s="38"/>
    </row>
    <row r="140" spans="1:13">
      <c r="A140" s="55">
        <f t="shared" si="8"/>
        <v>1</v>
      </c>
      <c r="B140" s="239"/>
      <c r="C140" s="199"/>
      <c r="D140" s="198"/>
      <c r="E140" s="193"/>
      <c r="F140" s="193">
        <f t="shared" si="6"/>
        <v>0</v>
      </c>
      <c r="G140" t="str">
        <f>IF(IFERROR(IF(Str_TypeDonneesCpt3=Cpt_Index,Tab_Compteur_3[[#This Row],[Index]]-E139,Tab_Compteur_3[[#This Row],[Quantité]])/Tab_Compteur_3[[#This Row],[Delta Jour]],"")&lt;0,"",IFERROR(IF(Str_TypeDonneesCpt3=Cpt_Index,Tab_Compteur_3[[#This Row],[Index]]-E139,Tab_Compteur_3[[#This Row],[Quantité]])/Tab_Compteur_3[[#This Row],[Delta Jour]],""))</f>
        <v/>
      </c>
      <c r="H140" s="193" t="str">
        <f>IFERROR(Tab_Compteur_3[[#This Row],[Montant]]/Tab_Compteur_3[[#This Row],[Delta Jour]],"")</f>
        <v/>
      </c>
      <c r="I140" s="219" t="str">
        <f t="shared" si="7"/>
        <v/>
      </c>
      <c r="J140" s="216"/>
      <c r="K140" s="38"/>
      <c r="L140" s="38"/>
      <c r="M140" s="38"/>
    </row>
    <row r="141" spans="1:13">
      <c r="A141" s="55">
        <f t="shared" si="8"/>
        <v>1</v>
      </c>
      <c r="B141" s="239"/>
      <c r="C141" s="199"/>
      <c r="D141" s="198"/>
      <c r="E141" s="193"/>
      <c r="F141" s="193">
        <f t="shared" si="6"/>
        <v>0</v>
      </c>
      <c r="G141" t="str">
        <f>IF(IFERROR(IF(Str_TypeDonneesCpt3=Cpt_Index,Tab_Compteur_3[[#This Row],[Index]]-E140,Tab_Compteur_3[[#This Row],[Quantité]])/Tab_Compteur_3[[#This Row],[Delta Jour]],"")&lt;0,"",IFERROR(IF(Str_TypeDonneesCpt3=Cpt_Index,Tab_Compteur_3[[#This Row],[Index]]-E140,Tab_Compteur_3[[#This Row],[Quantité]])/Tab_Compteur_3[[#This Row],[Delta Jour]],""))</f>
        <v/>
      </c>
      <c r="H141" s="193" t="str">
        <f>IFERROR(Tab_Compteur_3[[#This Row],[Montant]]/Tab_Compteur_3[[#This Row],[Delta Jour]],"")</f>
        <v/>
      </c>
      <c r="I141" s="219" t="str">
        <f t="shared" si="7"/>
        <v/>
      </c>
      <c r="J141" s="216"/>
      <c r="K141" s="38"/>
      <c r="L141" s="38"/>
      <c r="M141" s="38"/>
    </row>
    <row r="142" spans="1:13">
      <c r="A142" s="55">
        <f t="shared" si="8"/>
        <v>1</v>
      </c>
      <c r="B142" s="239"/>
      <c r="C142" s="199"/>
      <c r="D142" s="198"/>
      <c r="E142" s="193"/>
      <c r="F142" s="193">
        <f t="shared" si="6"/>
        <v>0</v>
      </c>
      <c r="G142" t="str">
        <f>IF(IFERROR(IF(Str_TypeDonneesCpt3=Cpt_Index,Tab_Compteur_3[[#This Row],[Index]]-E141,Tab_Compteur_3[[#This Row],[Quantité]])/Tab_Compteur_3[[#This Row],[Delta Jour]],"")&lt;0,"",IFERROR(IF(Str_TypeDonneesCpt3=Cpt_Index,Tab_Compteur_3[[#This Row],[Index]]-E141,Tab_Compteur_3[[#This Row],[Quantité]])/Tab_Compteur_3[[#This Row],[Delta Jour]],""))</f>
        <v/>
      </c>
      <c r="H142" s="193" t="str">
        <f>IFERROR(Tab_Compteur_3[[#This Row],[Montant]]/Tab_Compteur_3[[#This Row],[Delta Jour]],"")</f>
        <v/>
      </c>
      <c r="I142" s="219" t="str">
        <f t="shared" si="7"/>
        <v/>
      </c>
      <c r="J142" s="216"/>
      <c r="K142" s="38"/>
      <c r="L142" s="38"/>
      <c r="M142" s="38"/>
    </row>
    <row r="143" spans="1:13">
      <c r="A143" s="55">
        <f t="shared" si="8"/>
        <v>1</v>
      </c>
      <c r="B143" s="239"/>
      <c r="C143" s="199"/>
      <c r="D143" s="198"/>
      <c r="E143" s="193"/>
      <c r="F143" s="193">
        <f t="shared" si="6"/>
        <v>0</v>
      </c>
      <c r="G143" t="str">
        <f>IF(IFERROR(IF(Str_TypeDonneesCpt3=Cpt_Index,Tab_Compteur_3[[#This Row],[Index]]-E142,Tab_Compteur_3[[#This Row],[Quantité]])/Tab_Compteur_3[[#This Row],[Delta Jour]],"")&lt;0,"",IFERROR(IF(Str_TypeDonneesCpt3=Cpt_Index,Tab_Compteur_3[[#This Row],[Index]]-E142,Tab_Compteur_3[[#This Row],[Quantité]])/Tab_Compteur_3[[#This Row],[Delta Jour]],""))</f>
        <v/>
      </c>
      <c r="H143" s="193" t="str">
        <f>IFERROR(Tab_Compteur_3[[#This Row],[Montant]]/Tab_Compteur_3[[#This Row],[Delta Jour]],"")</f>
        <v/>
      </c>
      <c r="I143" s="219" t="str">
        <f t="shared" si="7"/>
        <v/>
      </c>
      <c r="J143" s="216"/>
      <c r="K143" s="38"/>
      <c r="L143" s="38"/>
      <c r="M143" s="38"/>
    </row>
    <row r="144" spans="1:13">
      <c r="A144" s="55">
        <f t="shared" si="8"/>
        <v>1</v>
      </c>
      <c r="B144" s="239"/>
      <c r="C144" s="199"/>
      <c r="D144" s="198"/>
      <c r="E144" s="193"/>
      <c r="F144" s="193">
        <f t="shared" si="6"/>
        <v>0</v>
      </c>
      <c r="G144" t="str">
        <f>IF(IFERROR(IF(Str_TypeDonneesCpt3=Cpt_Index,Tab_Compteur_3[[#This Row],[Index]]-E143,Tab_Compteur_3[[#This Row],[Quantité]])/Tab_Compteur_3[[#This Row],[Delta Jour]],"")&lt;0,"",IFERROR(IF(Str_TypeDonneesCpt3=Cpt_Index,Tab_Compteur_3[[#This Row],[Index]]-E143,Tab_Compteur_3[[#This Row],[Quantité]])/Tab_Compteur_3[[#This Row],[Delta Jour]],""))</f>
        <v/>
      </c>
      <c r="H144" s="193" t="str">
        <f>IFERROR(Tab_Compteur_3[[#This Row],[Montant]]/Tab_Compteur_3[[#This Row],[Delta Jour]],"")</f>
        <v/>
      </c>
      <c r="I144" s="219" t="str">
        <f t="shared" si="7"/>
        <v/>
      </c>
      <c r="J144" s="216"/>
      <c r="K144" s="38"/>
      <c r="L144" s="38"/>
      <c r="M144" s="38"/>
    </row>
    <row r="145" spans="1:13">
      <c r="A145" s="55">
        <f t="shared" si="8"/>
        <v>1</v>
      </c>
      <c r="B145" s="239"/>
      <c r="C145" s="199"/>
      <c r="D145" s="198"/>
      <c r="E145" s="193"/>
      <c r="F145" s="193">
        <f t="shared" si="6"/>
        <v>0</v>
      </c>
      <c r="G145" t="str">
        <f>IF(IFERROR(IF(Str_TypeDonneesCpt3=Cpt_Index,Tab_Compteur_3[[#This Row],[Index]]-E144,Tab_Compteur_3[[#This Row],[Quantité]])/Tab_Compteur_3[[#This Row],[Delta Jour]],"")&lt;0,"",IFERROR(IF(Str_TypeDonneesCpt3=Cpt_Index,Tab_Compteur_3[[#This Row],[Index]]-E144,Tab_Compteur_3[[#This Row],[Quantité]])/Tab_Compteur_3[[#This Row],[Delta Jour]],""))</f>
        <v/>
      </c>
      <c r="H145" s="193" t="str">
        <f>IFERROR(Tab_Compteur_3[[#This Row],[Montant]]/Tab_Compteur_3[[#This Row],[Delta Jour]],"")</f>
        <v/>
      </c>
      <c r="I145" s="219" t="str">
        <f t="shared" si="7"/>
        <v/>
      </c>
      <c r="J145" s="216"/>
      <c r="K145" s="38"/>
      <c r="L145" s="38"/>
      <c r="M145" s="38"/>
    </row>
    <row r="146" spans="1:13">
      <c r="A146" s="55">
        <f t="shared" si="8"/>
        <v>1</v>
      </c>
      <c r="B146" s="239"/>
      <c r="C146" s="199"/>
      <c r="D146" s="198"/>
      <c r="E146" s="193"/>
      <c r="F146" s="193">
        <f t="shared" si="6"/>
        <v>0</v>
      </c>
      <c r="G146" t="str">
        <f>IF(IFERROR(IF(Str_TypeDonneesCpt3=Cpt_Index,Tab_Compteur_3[[#This Row],[Index]]-E145,Tab_Compteur_3[[#This Row],[Quantité]])/Tab_Compteur_3[[#This Row],[Delta Jour]],"")&lt;0,"",IFERROR(IF(Str_TypeDonneesCpt3=Cpt_Index,Tab_Compteur_3[[#This Row],[Index]]-E145,Tab_Compteur_3[[#This Row],[Quantité]])/Tab_Compteur_3[[#This Row],[Delta Jour]],""))</f>
        <v/>
      </c>
      <c r="H146" s="193" t="str">
        <f>IFERROR(Tab_Compteur_3[[#This Row],[Montant]]/Tab_Compteur_3[[#This Row],[Delta Jour]],"")</f>
        <v/>
      </c>
      <c r="I146" s="219" t="str">
        <f t="shared" si="7"/>
        <v/>
      </c>
      <c r="J146" s="216"/>
      <c r="K146" s="38"/>
      <c r="L146" s="38"/>
      <c r="M146" s="38"/>
    </row>
    <row r="147" spans="1:13">
      <c r="A147" s="55">
        <f t="shared" si="8"/>
        <v>1</v>
      </c>
      <c r="B147" s="239"/>
      <c r="C147" s="199"/>
      <c r="D147" s="198"/>
      <c r="E147" s="193"/>
      <c r="F147" s="193">
        <f t="shared" si="6"/>
        <v>0</v>
      </c>
      <c r="G147" t="str">
        <f>IF(IFERROR(IF(Str_TypeDonneesCpt3=Cpt_Index,Tab_Compteur_3[[#This Row],[Index]]-E146,Tab_Compteur_3[[#This Row],[Quantité]])/Tab_Compteur_3[[#This Row],[Delta Jour]],"")&lt;0,"",IFERROR(IF(Str_TypeDonneesCpt3=Cpt_Index,Tab_Compteur_3[[#This Row],[Index]]-E146,Tab_Compteur_3[[#This Row],[Quantité]])/Tab_Compteur_3[[#This Row],[Delta Jour]],""))</f>
        <v/>
      </c>
      <c r="H147" s="193" t="str">
        <f>IFERROR(Tab_Compteur_3[[#This Row],[Montant]]/Tab_Compteur_3[[#This Row],[Delta Jour]],"")</f>
        <v/>
      </c>
      <c r="I147" s="219" t="str">
        <f t="shared" si="7"/>
        <v/>
      </c>
      <c r="J147" s="216"/>
      <c r="K147" s="38"/>
      <c r="L147" s="38"/>
      <c r="M147" s="38"/>
    </row>
    <row r="148" spans="1:13">
      <c r="A148" s="55">
        <f t="shared" si="8"/>
        <v>1</v>
      </c>
      <c r="B148" s="239"/>
      <c r="C148" s="196"/>
      <c r="D148" s="198"/>
      <c r="E148" s="193"/>
      <c r="F148" s="193">
        <f t="shared" si="6"/>
        <v>0</v>
      </c>
      <c r="G148" t="str">
        <f>IF(IFERROR(IF(Str_TypeDonneesCpt3=Cpt_Index,Tab_Compteur_3[[#This Row],[Index]]-E147,Tab_Compteur_3[[#This Row],[Quantité]])/Tab_Compteur_3[[#This Row],[Delta Jour]],"")&lt;0,"",IFERROR(IF(Str_TypeDonneesCpt3=Cpt_Index,Tab_Compteur_3[[#This Row],[Index]]-E147,Tab_Compteur_3[[#This Row],[Quantité]])/Tab_Compteur_3[[#This Row],[Delta Jour]],""))</f>
        <v/>
      </c>
      <c r="H148" s="193" t="str">
        <f>IFERROR(Tab_Compteur_3[[#This Row],[Montant]]/Tab_Compteur_3[[#This Row],[Delta Jour]],"")</f>
        <v/>
      </c>
      <c r="I148" s="219" t="str">
        <f t="shared" si="7"/>
        <v/>
      </c>
      <c r="J148" s="216"/>
      <c r="K148" s="38"/>
      <c r="L148" s="38"/>
      <c r="M148" s="38"/>
    </row>
    <row r="149" spans="1:13">
      <c r="A149" s="55">
        <f t="shared" si="8"/>
        <v>1</v>
      </c>
      <c r="B149" s="239"/>
      <c r="C149" s="196"/>
      <c r="D149" s="198"/>
      <c r="E149" s="193"/>
      <c r="F149" s="193">
        <f t="shared" si="6"/>
        <v>0</v>
      </c>
      <c r="G149" t="str">
        <f>IF(IFERROR(IF(Str_TypeDonneesCpt3=Cpt_Index,Tab_Compteur_3[[#This Row],[Index]]-E148,Tab_Compteur_3[[#This Row],[Quantité]])/Tab_Compteur_3[[#This Row],[Delta Jour]],"")&lt;0,"",IFERROR(IF(Str_TypeDonneesCpt3=Cpt_Index,Tab_Compteur_3[[#This Row],[Index]]-E148,Tab_Compteur_3[[#This Row],[Quantité]])/Tab_Compteur_3[[#This Row],[Delta Jour]],""))</f>
        <v/>
      </c>
      <c r="H149" s="193" t="str">
        <f>IFERROR(Tab_Compteur_3[[#This Row],[Montant]]/Tab_Compteur_3[[#This Row],[Delta Jour]],"")</f>
        <v/>
      </c>
      <c r="I149" s="219" t="str">
        <f t="shared" si="7"/>
        <v/>
      </c>
      <c r="J149" s="216"/>
      <c r="K149" s="38"/>
      <c r="L149" s="38"/>
      <c r="M149" s="38"/>
    </row>
    <row r="150" spans="1:13">
      <c r="A150" s="55">
        <f t="shared" si="8"/>
        <v>1</v>
      </c>
      <c r="B150" s="239"/>
      <c r="C150" s="196"/>
      <c r="D150" s="198"/>
      <c r="E150" s="193"/>
      <c r="F150" s="193">
        <f t="shared" si="6"/>
        <v>0</v>
      </c>
      <c r="G150" t="str">
        <f>IF(IFERROR(IF(Str_TypeDonneesCpt3=Cpt_Index,Tab_Compteur_3[[#This Row],[Index]]-E149,Tab_Compteur_3[[#This Row],[Quantité]])/Tab_Compteur_3[[#This Row],[Delta Jour]],"")&lt;0,"",IFERROR(IF(Str_TypeDonneesCpt3=Cpt_Index,Tab_Compteur_3[[#This Row],[Index]]-E149,Tab_Compteur_3[[#This Row],[Quantité]])/Tab_Compteur_3[[#This Row],[Delta Jour]],""))</f>
        <v/>
      </c>
      <c r="H150" s="193" t="str">
        <f>IFERROR(Tab_Compteur_3[[#This Row],[Montant]]/Tab_Compteur_3[[#This Row],[Delta Jour]],"")</f>
        <v/>
      </c>
      <c r="I150" s="219" t="str">
        <f t="shared" si="7"/>
        <v/>
      </c>
      <c r="J150" s="216"/>
      <c r="K150" s="38"/>
      <c r="L150" s="38"/>
      <c r="M150" s="38"/>
    </row>
    <row r="151" spans="1:13">
      <c r="A151" s="55">
        <f t="shared" si="8"/>
        <v>1</v>
      </c>
      <c r="B151" s="239"/>
      <c r="C151" s="196"/>
      <c r="D151" s="198"/>
      <c r="E151" s="193"/>
      <c r="F151" s="193">
        <f t="shared" si="6"/>
        <v>0</v>
      </c>
      <c r="G151" t="str">
        <f>IF(IFERROR(IF(Str_TypeDonneesCpt3=Cpt_Index,Tab_Compteur_3[[#This Row],[Index]]-E150,Tab_Compteur_3[[#This Row],[Quantité]])/Tab_Compteur_3[[#This Row],[Delta Jour]],"")&lt;0,"",IFERROR(IF(Str_TypeDonneesCpt3=Cpt_Index,Tab_Compteur_3[[#This Row],[Index]]-E150,Tab_Compteur_3[[#This Row],[Quantité]])/Tab_Compteur_3[[#This Row],[Delta Jour]],""))</f>
        <v/>
      </c>
      <c r="H151" s="193" t="str">
        <f>IFERROR(Tab_Compteur_3[[#This Row],[Montant]]/Tab_Compteur_3[[#This Row],[Delta Jour]],"")</f>
        <v/>
      </c>
      <c r="I151" s="219" t="str">
        <f t="shared" si="7"/>
        <v/>
      </c>
      <c r="J151" s="216"/>
      <c r="K151" s="38"/>
      <c r="L151" s="38"/>
      <c r="M151" s="38"/>
    </row>
    <row r="152" spans="1:13">
      <c r="A152" s="55">
        <f t="shared" si="8"/>
        <v>1</v>
      </c>
      <c r="B152" s="239"/>
      <c r="C152" s="196"/>
      <c r="D152" s="198"/>
      <c r="E152" s="193"/>
      <c r="F152" s="193">
        <f t="shared" si="6"/>
        <v>0</v>
      </c>
      <c r="G152" t="str">
        <f>IF(IFERROR(IF(Str_TypeDonneesCpt3=Cpt_Index,Tab_Compteur_3[[#This Row],[Index]]-E151,Tab_Compteur_3[[#This Row],[Quantité]])/Tab_Compteur_3[[#This Row],[Delta Jour]],"")&lt;0,"",IFERROR(IF(Str_TypeDonneesCpt3=Cpt_Index,Tab_Compteur_3[[#This Row],[Index]]-E151,Tab_Compteur_3[[#This Row],[Quantité]])/Tab_Compteur_3[[#This Row],[Delta Jour]],""))</f>
        <v/>
      </c>
      <c r="H152" s="193" t="str">
        <f>IFERROR(Tab_Compteur_3[[#This Row],[Montant]]/Tab_Compteur_3[[#This Row],[Delta Jour]],"")</f>
        <v/>
      </c>
      <c r="I152" s="219" t="str">
        <f t="shared" si="7"/>
        <v/>
      </c>
      <c r="J152" s="216"/>
      <c r="K152" s="38"/>
      <c r="L152" s="38"/>
      <c r="M152" s="38"/>
    </row>
    <row r="153" spans="1:13">
      <c r="A153" s="55">
        <f t="shared" si="8"/>
        <v>1</v>
      </c>
      <c r="B153" s="239"/>
      <c r="C153" s="196"/>
      <c r="D153" s="198"/>
      <c r="E153" s="193"/>
      <c r="F153" s="193">
        <f t="shared" si="6"/>
        <v>0</v>
      </c>
      <c r="G153" t="str">
        <f>IF(IFERROR(IF(Str_TypeDonneesCpt3=Cpt_Index,Tab_Compteur_3[[#This Row],[Index]]-E152,Tab_Compteur_3[[#This Row],[Quantité]])/Tab_Compteur_3[[#This Row],[Delta Jour]],"")&lt;0,"",IFERROR(IF(Str_TypeDonneesCpt3=Cpt_Index,Tab_Compteur_3[[#This Row],[Index]]-E152,Tab_Compteur_3[[#This Row],[Quantité]])/Tab_Compteur_3[[#This Row],[Delta Jour]],""))</f>
        <v/>
      </c>
      <c r="H153" s="193" t="str">
        <f>IFERROR(Tab_Compteur_3[[#This Row],[Montant]]/Tab_Compteur_3[[#This Row],[Delta Jour]],"")</f>
        <v/>
      </c>
      <c r="I153" s="219" t="str">
        <f t="shared" si="7"/>
        <v/>
      </c>
      <c r="J153" s="216"/>
      <c r="K153" s="38"/>
      <c r="L153" s="38"/>
      <c r="M153" s="38"/>
    </row>
    <row r="154" spans="1:13">
      <c r="A154" s="55">
        <f t="shared" si="8"/>
        <v>1</v>
      </c>
      <c r="B154" s="239"/>
      <c r="C154" s="196"/>
      <c r="D154" s="198"/>
      <c r="E154" s="193"/>
      <c r="F154" s="193">
        <f t="shared" si="6"/>
        <v>0</v>
      </c>
      <c r="G154" t="str">
        <f>IF(IFERROR(IF(Str_TypeDonneesCpt3=Cpt_Index,Tab_Compteur_3[[#This Row],[Index]]-E153,Tab_Compteur_3[[#This Row],[Quantité]])/Tab_Compteur_3[[#This Row],[Delta Jour]],"")&lt;0,"",IFERROR(IF(Str_TypeDonneesCpt3=Cpt_Index,Tab_Compteur_3[[#This Row],[Index]]-E153,Tab_Compteur_3[[#This Row],[Quantité]])/Tab_Compteur_3[[#This Row],[Delta Jour]],""))</f>
        <v/>
      </c>
      <c r="H154" s="193" t="str">
        <f>IFERROR(Tab_Compteur_3[[#This Row],[Montant]]/Tab_Compteur_3[[#This Row],[Delta Jour]],"")</f>
        <v/>
      </c>
      <c r="I154" s="219" t="str">
        <f t="shared" si="7"/>
        <v/>
      </c>
      <c r="J154" s="216"/>
      <c r="K154" s="38"/>
      <c r="L154" s="38"/>
      <c r="M154" s="38"/>
    </row>
    <row r="155" spans="1:13">
      <c r="A155" s="55">
        <f t="shared" si="8"/>
        <v>1</v>
      </c>
      <c r="B155" s="239"/>
      <c r="C155" s="196"/>
      <c r="D155" s="198"/>
      <c r="E155" s="193"/>
      <c r="F155" s="193">
        <f t="shared" si="6"/>
        <v>0</v>
      </c>
      <c r="G155" t="str">
        <f>IF(IFERROR(IF(Str_TypeDonneesCpt3=Cpt_Index,Tab_Compteur_3[[#This Row],[Index]]-E154,Tab_Compteur_3[[#This Row],[Quantité]])/Tab_Compteur_3[[#This Row],[Delta Jour]],"")&lt;0,"",IFERROR(IF(Str_TypeDonneesCpt3=Cpt_Index,Tab_Compteur_3[[#This Row],[Index]]-E154,Tab_Compteur_3[[#This Row],[Quantité]])/Tab_Compteur_3[[#This Row],[Delta Jour]],""))</f>
        <v/>
      </c>
      <c r="H155" s="193" t="str">
        <f>IFERROR(Tab_Compteur_3[[#This Row],[Montant]]/Tab_Compteur_3[[#This Row],[Delta Jour]],"")</f>
        <v/>
      </c>
      <c r="I155" s="219" t="str">
        <f t="shared" si="7"/>
        <v/>
      </c>
      <c r="J155" s="216"/>
      <c r="K155" s="38"/>
      <c r="L155" s="38"/>
      <c r="M155" s="38"/>
    </row>
    <row r="156" spans="1:13">
      <c r="A156" s="55">
        <f t="shared" si="8"/>
        <v>1</v>
      </c>
      <c r="B156" s="239"/>
      <c r="C156" s="196"/>
      <c r="D156" s="198"/>
      <c r="E156" s="193"/>
      <c r="F156" s="193">
        <f t="shared" si="6"/>
        <v>0</v>
      </c>
      <c r="G156" t="str">
        <f>IF(IFERROR(IF(Str_TypeDonneesCpt3=Cpt_Index,Tab_Compteur_3[[#This Row],[Index]]-E155,Tab_Compteur_3[[#This Row],[Quantité]])/Tab_Compteur_3[[#This Row],[Delta Jour]],"")&lt;0,"",IFERROR(IF(Str_TypeDonneesCpt3=Cpt_Index,Tab_Compteur_3[[#This Row],[Index]]-E155,Tab_Compteur_3[[#This Row],[Quantité]])/Tab_Compteur_3[[#This Row],[Delta Jour]],""))</f>
        <v/>
      </c>
      <c r="H156" s="193" t="str">
        <f>IFERROR(Tab_Compteur_3[[#This Row],[Montant]]/Tab_Compteur_3[[#This Row],[Delta Jour]],"")</f>
        <v/>
      </c>
      <c r="I156" s="219" t="str">
        <f t="shared" si="7"/>
        <v/>
      </c>
      <c r="J156" s="216"/>
      <c r="K156" s="38"/>
      <c r="L156" s="38"/>
      <c r="M156" s="38"/>
    </row>
    <row r="157" spans="1:13">
      <c r="A157" s="55">
        <f t="shared" si="8"/>
        <v>1</v>
      </c>
      <c r="B157" s="239"/>
      <c r="C157" s="196"/>
      <c r="D157" s="198"/>
      <c r="E157" s="193"/>
      <c r="F157" s="193">
        <f t="shared" si="6"/>
        <v>0</v>
      </c>
      <c r="G157" t="str">
        <f>IF(IFERROR(IF(Str_TypeDonneesCpt3=Cpt_Index,Tab_Compteur_3[[#This Row],[Index]]-E156,Tab_Compteur_3[[#This Row],[Quantité]])/Tab_Compteur_3[[#This Row],[Delta Jour]],"")&lt;0,"",IFERROR(IF(Str_TypeDonneesCpt3=Cpt_Index,Tab_Compteur_3[[#This Row],[Index]]-E156,Tab_Compteur_3[[#This Row],[Quantité]])/Tab_Compteur_3[[#This Row],[Delta Jour]],""))</f>
        <v/>
      </c>
      <c r="H157" s="193" t="str">
        <f>IFERROR(Tab_Compteur_3[[#This Row],[Montant]]/Tab_Compteur_3[[#This Row],[Delta Jour]],"")</f>
        <v/>
      </c>
      <c r="I157" s="219" t="str">
        <f t="shared" si="7"/>
        <v/>
      </c>
      <c r="J157" s="216"/>
      <c r="K157" s="38"/>
      <c r="L157" s="38"/>
      <c r="M157" s="38"/>
    </row>
    <row r="158" spans="1:13">
      <c r="A158" s="55">
        <f t="shared" si="8"/>
        <v>1</v>
      </c>
      <c r="B158" s="239"/>
      <c r="C158" s="196"/>
      <c r="D158" s="198"/>
      <c r="E158" s="193"/>
      <c r="F158" s="193">
        <f t="shared" si="6"/>
        <v>0</v>
      </c>
      <c r="G158" t="str">
        <f>IF(IFERROR(IF(Str_TypeDonneesCpt3=Cpt_Index,Tab_Compteur_3[[#This Row],[Index]]-E157,Tab_Compteur_3[[#This Row],[Quantité]])/Tab_Compteur_3[[#This Row],[Delta Jour]],"")&lt;0,"",IFERROR(IF(Str_TypeDonneesCpt3=Cpt_Index,Tab_Compteur_3[[#This Row],[Index]]-E157,Tab_Compteur_3[[#This Row],[Quantité]])/Tab_Compteur_3[[#This Row],[Delta Jour]],""))</f>
        <v/>
      </c>
      <c r="H158" s="193" t="str">
        <f>IFERROR(Tab_Compteur_3[[#This Row],[Montant]]/Tab_Compteur_3[[#This Row],[Delta Jour]],"")</f>
        <v/>
      </c>
      <c r="I158" s="219" t="str">
        <f t="shared" si="7"/>
        <v/>
      </c>
      <c r="J158" s="216"/>
      <c r="K158" s="38"/>
      <c r="L158" s="38"/>
      <c r="M158" s="38"/>
    </row>
    <row r="159" spans="1:13">
      <c r="A159" s="55">
        <f t="shared" si="8"/>
        <v>1</v>
      </c>
      <c r="B159" s="239"/>
      <c r="C159" s="196"/>
      <c r="D159" s="198"/>
      <c r="E159" s="193"/>
      <c r="F159" s="193">
        <f t="shared" si="6"/>
        <v>0</v>
      </c>
      <c r="G159" t="str">
        <f>IF(IFERROR(IF(Str_TypeDonneesCpt3=Cpt_Index,Tab_Compteur_3[[#This Row],[Index]]-E158,Tab_Compteur_3[[#This Row],[Quantité]])/Tab_Compteur_3[[#This Row],[Delta Jour]],"")&lt;0,"",IFERROR(IF(Str_TypeDonneesCpt3=Cpt_Index,Tab_Compteur_3[[#This Row],[Index]]-E158,Tab_Compteur_3[[#This Row],[Quantité]])/Tab_Compteur_3[[#This Row],[Delta Jour]],""))</f>
        <v/>
      </c>
      <c r="H159" s="193" t="str">
        <f>IFERROR(Tab_Compteur_3[[#This Row],[Montant]]/Tab_Compteur_3[[#This Row],[Delta Jour]],"")</f>
        <v/>
      </c>
      <c r="I159" s="219" t="str">
        <f t="shared" si="7"/>
        <v/>
      </c>
      <c r="J159" s="216"/>
      <c r="K159" s="38"/>
      <c r="L159" s="38"/>
      <c r="M159" s="38"/>
    </row>
    <row r="160" spans="1:13">
      <c r="A160" s="55">
        <f t="shared" si="8"/>
        <v>1</v>
      </c>
      <c r="B160" s="239"/>
      <c r="C160" s="207"/>
      <c r="D160" s="208"/>
      <c r="E160" s="193"/>
      <c r="F160" s="193">
        <f t="shared" si="6"/>
        <v>0</v>
      </c>
      <c r="G160" t="str">
        <f>IF(IFERROR(IF(Str_TypeDonneesCpt3=Cpt_Index,Tab_Compteur_3[[#This Row],[Index]]-E159,Tab_Compteur_3[[#This Row],[Quantité]])/Tab_Compteur_3[[#This Row],[Delta Jour]],"")&lt;0,"",IFERROR(IF(Str_TypeDonneesCpt3=Cpt_Index,Tab_Compteur_3[[#This Row],[Index]]-E159,Tab_Compteur_3[[#This Row],[Quantité]])/Tab_Compteur_3[[#This Row],[Delta Jour]],""))</f>
        <v/>
      </c>
      <c r="H160" s="193" t="str">
        <f>IFERROR(Tab_Compteur_3[[#This Row],[Montant]]/Tab_Compteur_3[[#This Row],[Delta Jour]],"")</f>
        <v/>
      </c>
      <c r="I160" s="219" t="str">
        <f t="shared" si="7"/>
        <v/>
      </c>
      <c r="J160" s="216"/>
      <c r="K160" s="38"/>
      <c r="L160" s="38"/>
      <c r="M160" s="38"/>
    </row>
    <row r="161" spans="1:13">
      <c r="A161" s="55">
        <f t="shared" si="8"/>
        <v>1</v>
      </c>
      <c r="B161" s="239"/>
      <c r="C161" s="207"/>
      <c r="D161" s="208"/>
      <c r="E161" s="193"/>
      <c r="F161" s="193">
        <f t="shared" si="6"/>
        <v>0</v>
      </c>
      <c r="G161" t="str">
        <f>IF(IFERROR(IF(Str_TypeDonneesCpt3=Cpt_Index,Tab_Compteur_3[[#This Row],[Index]]-E160,Tab_Compteur_3[[#This Row],[Quantité]])/Tab_Compteur_3[[#This Row],[Delta Jour]],"")&lt;0,"",IFERROR(IF(Str_TypeDonneesCpt3=Cpt_Index,Tab_Compteur_3[[#This Row],[Index]]-E160,Tab_Compteur_3[[#This Row],[Quantité]])/Tab_Compteur_3[[#This Row],[Delta Jour]],""))</f>
        <v/>
      </c>
      <c r="H161" s="193" t="str">
        <f>IFERROR(Tab_Compteur_3[[#This Row],[Montant]]/Tab_Compteur_3[[#This Row],[Delta Jour]],"")</f>
        <v/>
      </c>
      <c r="I161" s="219" t="str">
        <f t="shared" si="7"/>
        <v/>
      </c>
      <c r="J161" s="216"/>
      <c r="K161" s="38"/>
      <c r="L161" s="38"/>
      <c r="M161" s="38"/>
    </row>
    <row r="162" spans="1:13">
      <c r="A162" s="55">
        <f t="shared" si="8"/>
        <v>1</v>
      </c>
      <c r="B162" s="239"/>
      <c r="C162" s="207"/>
      <c r="D162" s="208"/>
      <c r="E162" s="193"/>
      <c r="F162" s="193">
        <f t="shared" si="6"/>
        <v>0</v>
      </c>
      <c r="G162" t="str">
        <f>IF(IFERROR(IF(Str_TypeDonneesCpt3=Cpt_Index,Tab_Compteur_3[[#This Row],[Index]]-E161,Tab_Compteur_3[[#This Row],[Quantité]])/Tab_Compteur_3[[#This Row],[Delta Jour]],"")&lt;0,"",IFERROR(IF(Str_TypeDonneesCpt3=Cpt_Index,Tab_Compteur_3[[#This Row],[Index]]-E161,Tab_Compteur_3[[#This Row],[Quantité]])/Tab_Compteur_3[[#This Row],[Delta Jour]],""))</f>
        <v/>
      </c>
      <c r="H162" s="193" t="str">
        <f>IFERROR(Tab_Compteur_3[[#This Row],[Montant]]/Tab_Compteur_3[[#This Row],[Delta Jour]],"")</f>
        <v/>
      </c>
      <c r="I162" s="219" t="str">
        <f t="shared" si="7"/>
        <v/>
      </c>
      <c r="J162" s="216"/>
      <c r="K162" s="38"/>
      <c r="L162" s="38"/>
      <c r="M162" s="38"/>
    </row>
    <row r="163" spans="1:13">
      <c r="A163" s="55">
        <f t="shared" si="8"/>
        <v>1</v>
      </c>
      <c r="B163" s="239"/>
      <c r="C163" s="207"/>
      <c r="D163" s="208"/>
      <c r="E163" s="193"/>
      <c r="F163" s="193">
        <f t="shared" si="6"/>
        <v>0</v>
      </c>
      <c r="G163" t="str">
        <f>IF(IFERROR(IF(Str_TypeDonneesCpt3=Cpt_Index,Tab_Compteur_3[[#This Row],[Index]]-E162,Tab_Compteur_3[[#This Row],[Quantité]])/Tab_Compteur_3[[#This Row],[Delta Jour]],"")&lt;0,"",IFERROR(IF(Str_TypeDonneesCpt3=Cpt_Index,Tab_Compteur_3[[#This Row],[Index]]-E162,Tab_Compteur_3[[#This Row],[Quantité]])/Tab_Compteur_3[[#This Row],[Delta Jour]],""))</f>
        <v/>
      </c>
      <c r="H163" s="193" t="str">
        <f>IFERROR(Tab_Compteur_3[[#This Row],[Montant]]/Tab_Compteur_3[[#This Row],[Delta Jour]],"")</f>
        <v/>
      </c>
      <c r="I163" s="219" t="str">
        <f t="shared" si="7"/>
        <v/>
      </c>
      <c r="J163" s="216"/>
      <c r="K163" s="38"/>
      <c r="L163" s="38"/>
      <c r="M163" s="38"/>
    </row>
    <row r="164" spans="1:13">
      <c r="A164" s="55">
        <f t="shared" si="8"/>
        <v>1</v>
      </c>
      <c r="B164" s="239"/>
      <c r="C164" s="207"/>
      <c r="D164" s="208"/>
      <c r="E164" s="193"/>
      <c r="F164" s="193">
        <f t="shared" si="6"/>
        <v>0</v>
      </c>
      <c r="G164" t="str">
        <f>IF(IFERROR(IF(Str_TypeDonneesCpt3=Cpt_Index,Tab_Compteur_3[[#This Row],[Index]]-E163,Tab_Compteur_3[[#This Row],[Quantité]])/Tab_Compteur_3[[#This Row],[Delta Jour]],"")&lt;0,"",IFERROR(IF(Str_TypeDonneesCpt3=Cpt_Index,Tab_Compteur_3[[#This Row],[Index]]-E163,Tab_Compteur_3[[#This Row],[Quantité]])/Tab_Compteur_3[[#This Row],[Delta Jour]],""))</f>
        <v/>
      </c>
      <c r="H164" s="193" t="str">
        <f>IFERROR(Tab_Compteur_3[[#This Row],[Montant]]/Tab_Compteur_3[[#This Row],[Delta Jour]],"")</f>
        <v/>
      </c>
      <c r="I164" s="219" t="str">
        <f t="shared" si="7"/>
        <v/>
      </c>
      <c r="J164" s="216"/>
      <c r="K164" s="38"/>
      <c r="L164" s="38"/>
      <c r="M164" s="38"/>
    </row>
    <row r="165" spans="1:13">
      <c r="A165" s="55">
        <f t="shared" si="8"/>
        <v>1</v>
      </c>
      <c r="B165" s="239"/>
      <c r="C165" s="207"/>
      <c r="D165" s="208"/>
      <c r="E165" s="193"/>
      <c r="F165" s="193">
        <f t="shared" si="6"/>
        <v>0</v>
      </c>
      <c r="G165" t="str">
        <f>IF(IFERROR(IF(Str_TypeDonneesCpt3=Cpt_Index,Tab_Compteur_3[[#This Row],[Index]]-E164,Tab_Compteur_3[[#This Row],[Quantité]])/Tab_Compteur_3[[#This Row],[Delta Jour]],"")&lt;0,"",IFERROR(IF(Str_TypeDonneesCpt3=Cpt_Index,Tab_Compteur_3[[#This Row],[Index]]-E164,Tab_Compteur_3[[#This Row],[Quantité]])/Tab_Compteur_3[[#This Row],[Delta Jour]],""))</f>
        <v/>
      </c>
      <c r="H165" s="193" t="str">
        <f>IFERROR(Tab_Compteur_3[[#This Row],[Montant]]/Tab_Compteur_3[[#This Row],[Delta Jour]],"")</f>
        <v/>
      </c>
      <c r="I165" s="219" t="str">
        <f t="shared" si="7"/>
        <v/>
      </c>
      <c r="J165" s="216"/>
      <c r="K165" s="38"/>
      <c r="L165" s="38"/>
      <c r="M165" s="38"/>
    </row>
    <row r="166" spans="1:13">
      <c r="A166" s="55">
        <f t="shared" si="8"/>
        <v>1</v>
      </c>
      <c r="B166" s="239"/>
      <c r="C166" s="207"/>
      <c r="D166" s="208"/>
      <c r="E166" s="193"/>
      <c r="F166" s="193">
        <f t="shared" si="6"/>
        <v>0</v>
      </c>
      <c r="G166" t="str">
        <f>IF(IFERROR(IF(Str_TypeDonneesCpt3=Cpt_Index,Tab_Compteur_3[[#This Row],[Index]]-E165,Tab_Compteur_3[[#This Row],[Quantité]])/Tab_Compteur_3[[#This Row],[Delta Jour]],"")&lt;0,"",IFERROR(IF(Str_TypeDonneesCpt3=Cpt_Index,Tab_Compteur_3[[#This Row],[Index]]-E165,Tab_Compteur_3[[#This Row],[Quantité]])/Tab_Compteur_3[[#This Row],[Delta Jour]],""))</f>
        <v/>
      </c>
      <c r="H166" s="193" t="str">
        <f>IFERROR(Tab_Compteur_3[[#This Row],[Montant]]/Tab_Compteur_3[[#This Row],[Delta Jour]],"")</f>
        <v/>
      </c>
      <c r="I166" s="219" t="str">
        <f t="shared" si="7"/>
        <v/>
      </c>
      <c r="J166" s="216"/>
      <c r="K166" s="38"/>
      <c r="L166" s="38"/>
      <c r="M166" s="38"/>
    </row>
    <row r="167" spans="1:13">
      <c r="A167" s="55">
        <f t="shared" si="8"/>
        <v>1</v>
      </c>
      <c r="B167" s="239"/>
      <c r="C167" s="207"/>
      <c r="D167" s="208"/>
      <c r="E167" s="193"/>
      <c r="F167" s="193">
        <f t="shared" si="6"/>
        <v>0</v>
      </c>
      <c r="G167" t="str">
        <f>IF(IFERROR(IF(Str_TypeDonneesCpt3=Cpt_Index,Tab_Compteur_3[[#This Row],[Index]]-E166,Tab_Compteur_3[[#This Row],[Quantité]])/Tab_Compteur_3[[#This Row],[Delta Jour]],"")&lt;0,"",IFERROR(IF(Str_TypeDonneesCpt3=Cpt_Index,Tab_Compteur_3[[#This Row],[Index]]-E166,Tab_Compteur_3[[#This Row],[Quantité]])/Tab_Compteur_3[[#This Row],[Delta Jour]],""))</f>
        <v/>
      </c>
      <c r="H167" s="193" t="str">
        <f>IFERROR(Tab_Compteur_3[[#This Row],[Montant]]/Tab_Compteur_3[[#This Row],[Delta Jour]],"")</f>
        <v/>
      </c>
      <c r="I167" s="219" t="str">
        <f t="shared" si="7"/>
        <v/>
      </c>
      <c r="J167" s="216"/>
      <c r="K167" s="38"/>
      <c r="L167" s="38"/>
      <c r="M167" s="38"/>
    </row>
    <row r="168" spans="1:13">
      <c r="A168" s="55">
        <f t="shared" si="8"/>
        <v>1</v>
      </c>
      <c r="B168" s="239"/>
      <c r="C168" s="207"/>
      <c r="D168" s="208"/>
      <c r="E168" s="193"/>
      <c r="F168" s="193">
        <f t="shared" si="6"/>
        <v>0</v>
      </c>
      <c r="G168" t="str">
        <f>IF(IFERROR(IF(Str_TypeDonneesCpt3=Cpt_Index,Tab_Compteur_3[[#This Row],[Index]]-E167,Tab_Compteur_3[[#This Row],[Quantité]])/Tab_Compteur_3[[#This Row],[Delta Jour]],"")&lt;0,"",IFERROR(IF(Str_TypeDonneesCpt3=Cpt_Index,Tab_Compteur_3[[#This Row],[Index]]-E167,Tab_Compteur_3[[#This Row],[Quantité]])/Tab_Compteur_3[[#This Row],[Delta Jour]],""))</f>
        <v/>
      </c>
      <c r="H168" s="193" t="str">
        <f>IFERROR(Tab_Compteur_3[[#This Row],[Montant]]/Tab_Compteur_3[[#This Row],[Delta Jour]],"")</f>
        <v/>
      </c>
      <c r="I168" s="219" t="str">
        <f t="shared" si="7"/>
        <v/>
      </c>
      <c r="J168" s="216"/>
      <c r="K168" s="38"/>
      <c r="L168" s="38"/>
      <c r="M168" s="38"/>
    </row>
    <row r="169" spans="1:13">
      <c r="A169" s="55">
        <f t="shared" si="8"/>
        <v>1</v>
      </c>
      <c r="B169" s="239"/>
      <c r="C169" s="207"/>
      <c r="D169" s="208"/>
      <c r="E169" s="193"/>
      <c r="F169" s="193">
        <f t="shared" si="6"/>
        <v>0</v>
      </c>
      <c r="G169" t="str">
        <f>IF(IFERROR(IF(Str_TypeDonneesCpt3=Cpt_Index,Tab_Compteur_3[[#This Row],[Index]]-E168,Tab_Compteur_3[[#This Row],[Quantité]])/Tab_Compteur_3[[#This Row],[Delta Jour]],"")&lt;0,"",IFERROR(IF(Str_TypeDonneesCpt3=Cpt_Index,Tab_Compteur_3[[#This Row],[Index]]-E168,Tab_Compteur_3[[#This Row],[Quantité]])/Tab_Compteur_3[[#This Row],[Delta Jour]],""))</f>
        <v/>
      </c>
      <c r="H169" s="193" t="str">
        <f>IFERROR(Tab_Compteur_3[[#This Row],[Montant]]/Tab_Compteur_3[[#This Row],[Delta Jour]],"")</f>
        <v/>
      </c>
      <c r="I169" s="219" t="str">
        <f t="shared" si="7"/>
        <v/>
      </c>
      <c r="J169" s="216"/>
      <c r="K169" s="38"/>
      <c r="L169" s="38"/>
      <c r="M169" s="38"/>
    </row>
    <row r="170" spans="1:13">
      <c r="A170" s="55">
        <f t="shared" si="8"/>
        <v>1</v>
      </c>
      <c r="B170" s="239"/>
      <c r="C170" s="207"/>
      <c r="D170" s="208"/>
      <c r="E170" s="193"/>
      <c r="F170" s="193">
        <f t="shared" si="6"/>
        <v>0</v>
      </c>
      <c r="G170" t="str">
        <f>IF(IFERROR(IF(Str_TypeDonneesCpt3=Cpt_Index,Tab_Compteur_3[[#This Row],[Index]]-E169,Tab_Compteur_3[[#This Row],[Quantité]])/Tab_Compteur_3[[#This Row],[Delta Jour]],"")&lt;0,"",IFERROR(IF(Str_TypeDonneesCpt3=Cpt_Index,Tab_Compteur_3[[#This Row],[Index]]-E169,Tab_Compteur_3[[#This Row],[Quantité]])/Tab_Compteur_3[[#This Row],[Delta Jour]],""))</f>
        <v/>
      </c>
      <c r="H170" s="193" t="str">
        <f>IFERROR(Tab_Compteur_3[[#This Row],[Montant]]/Tab_Compteur_3[[#This Row],[Delta Jour]],"")</f>
        <v/>
      </c>
      <c r="I170" s="219" t="str">
        <f t="shared" si="7"/>
        <v/>
      </c>
      <c r="J170" s="216"/>
      <c r="K170" s="38"/>
      <c r="L170" s="38"/>
      <c r="M170" s="38"/>
    </row>
    <row r="171" spans="1:13">
      <c r="A171" s="55">
        <f t="shared" si="8"/>
        <v>1</v>
      </c>
      <c r="B171" s="239"/>
      <c r="C171" s="207"/>
      <c r="D171" s="208"/>
      <c r="E171" s="193"/>
      <c r="F171" s="193">
        <f t="shared" si="6"/>
        <v>0</v>
      </c>
      <c r="G171" t="str">
        <f>IF(IFERROR(IF(Str_TypeDonneesCpt3=Cpt_Index,Tab_Compteur_3[[#This Row],[Index]]-E170,Tab_Compteur_3[[#This Row],[Quantité]])/Tab_Compteur_3[[#This Row],[Delta Jour]],"")&lt;0,"",IFERROR(IF(Str_TypeDonneesCpt3=Cpt_Index,Tab_Compteur_3[[#This Row],[Index]]-E170,Tab_Compteur_3[[#This Row],[Quantité]])/Tab_Compteur_3[[#This Row],[Delta Jour]],""))</f>
        <v/>
      </c>
      <c r="H171" s="193" t="str">
        <f>IFERROR(Tab_Compteur_3[[#This Row],[Montant]]/Tab_Compteur_3[[#This Row],[Delta Jour]],"")</f>
        <v/>
      </c>
      <c r="I171" s="219" t="str">
        <f t="shared" si="7"/>
        <v/>
      </c>
      <c r="J171" s="216"/>
      <c r="K171" s="38"/>
      <c r="L171" s="38"/>
      <c r="M171" s="38"/>
    </row>
    <row r="172" spans="1:13">
      <c r="A172" s="55">
        <f t="shared" si="8"/>
        <v>1</v>
      </c>
      <c r="B172" s="239"/>
      <c r="C172" s="207"/>
      <c r="D172" s="208"/>
      <c r="E172" s="193"/>
      <c r="F172" s="193">
        <f t="shared" si="6"/>
        <v>0</v>
      </c>
      <c r="G172" t="str">
        <f>IF(IFERROR(IF(Str_TypeDonneesCpt3=Cpt_Index,Tab_Compteur_3[[#This Row],[Index]]-E171,Tab_Compteur_3[[#This Row],[Quantité]])/Tab_Compteur_3[[#This Row],[Delta Jour]],"")&lt;0,"",IFERROR(IF(Str_TypeDonneesCpt3=Cpt_Index,Tab_Compteur_3[[#This Row],[Index]]-E171,Tab_Compteur_3[[#This Row],[Quantité]])/Tab_Compteur_3[[#This Row],[Delta Jour]],""))</f>
        <v/>
      </c>
      <c r="H172" s="193" t="str">
        <f>IFERROR(Tab_Compteur_3[[#This Row],[Montant]]/Tab_Compteur_3[[#This Row],[Delta Jour]],"")</f>
        <v/>
      </c>
      <c r="I172" s="219" t="str">
        <f t="shared" si="7"/>
        <v/>
      </c>
      <c r="J172" s="216"/>
      <c r="K172" s="38"/>
      <c r="L172" s="38"/>
      <c r="M172" s="38"/>
    </row>
    <row r="173" spans="1:13">
      <c r="A173" s="55">
        <f t="shared" si="8"/>
        <v>1</v>
      </c>
      <c r="B173" s="239"/>
      <c r="C173" s="207"/>
      <c r="D173" s="208"/>
      <c r="E173" s="193"/>
      <c r="F173" s="193">
        <f t="shared" si="6"/>
        <v>0</v>
      </c>
      <c r="G173" t="str">
        <f>IF(IFERROR(IF(Str_TypeDonneesCpt3=Cpt_Index,Tab_Compteur_3[[#This Row],[Index]]-E172,Tab_Compteur_3[[#This Row],[Quantité]])/Tab_Compteur_3[[#This Row],[Delta Jour]],"")&lt;0,"",IFERROR(IF(Str_TypeDonneesCpt3=Cpt_Index,Tab_Compteur_3[[#This Row],[Index]]-E172,Tab_Compteur_3[[#This Row],[Quantité]])/Tab_Compteur_3[[#This Row],[Delta Jour]],""))</f>
        <v/>
      </c>
      <c r="H173" s="193" t="str">
        <f>IFERROR(Tab_Compteur_3[[#This Row],[Montant]]/Tab_Compteur_3[[#This Row],[Delta Jour]],"")</f>
        <v/>
      </c>
      <c r="I173" s="219" t="str">
        <f t="shared" si="7"/>
        <v/>
      </c>
      <c r="J173" s="216"/>
      <c r="K173" s="38"/>
      <c r="L173" s="38"/>
      <c r="M173" s="38"/>
    </row>
    <row r="174" spans="1:13">
      <c r="A174" s="55">
        <f t="shared" si="8"/>
        <v>1</v>
      </c>
      <c r="B174" s="239"/>
      <c r="C174" s="207"/>
      <c r="D174" s="208"/>
      <c r="E174" s="193"/>
      <c r="F174" s="193">
        <f t="shared" si="6"/>
        <v>0</v>
      </c>
      <c r="G174" t="str">
        <f>IF(IFERROR(IF(Str_TypeDonneesCpt3=Cpt_Index,Tab_Compteur_3[[#This Row],[Index]]-E173,Tab_Compteur_3[[#This Row],[Quantité]])/Tab_Compteur_3[[#This Row],[Delta Jour]],"")&lt;0,"",IFERROR(IF(Str_TypeDonneesCpt3=Cpt_Index,Tab_Compteur_3[[#This Row],[Index]]-E173,Tab_Compteur_3[[#This Row],[Quantité]])/Tab_Compteur_3[[#This Row],[Delta Jour]],""))</f>
        <v/>
      </c>
      <c r="H174" s="193" t="str">
        <f>IFERROR(Tab_Compteur_3[[#This Row],[Montant]]/Tab_Compteur_3[[#This Row],[Delta Jour]],"")</f>
        <v/>
      </c>
      <c r="I174" s="219" t="str">
        <f t="shared" si="7"/>
        <v/>
      </c>
      <c r="J174" s="216"/>
      <c r="K174" s="38"/>
      <c r="L174" s="38"/>
      <c r="M174" s="38"/>
    </row>
    <row r="175" spans="1:13">
      <c r="A175" s="55">
        <f t="shared" si="8"/>
        <v>1</v>
      </c>
      <c r="B175" s="239"/>
      <c r="C175" s="207"/>
      <c r="D175" s="208"/>
      <c r="E175" s="193"/>
      <c r="F175" s="193">
        <f t="shared" si="6"/>
        <v>0</v>
      </c>
      <c r="G175" t="str">
        <f>IF(IFERROR(IF(Str_TypeDonneesCpt3=Cpt_Index,Tab_Compteur_3[[#This Row],[Index]]-E174,Tab_Compteur_3[[#This Row],[Quantité]])/Tab_Compteur_3[[#This Row],[Delta Jour]],"")&lt;0,"",IFERROR(IF(Str_TypeDonneesCpt3=Cpt_Index,Tab_Compteur_3[[#This Row],[Index]]-E174,Tab_Compteur_3[[#This Row],[Quantité]])/Tab_Compteur_3[[#This Row],[Delta Jour]],""))</f>
        <v/>
      </c>
      <c r="H175" s="193" t="str">
        <f>IFERROR(Tab_Compteur_3[[#This Row],[Montant]]/Tab_Compteur_3[[#This Row],[Delta Jour]],"")</f>
        <v/>
      </c>
      <c r="I175" s="219" t="str">
        <f t="shared" si="7"/>
        <v/>
      </c>
      <c r="J175" s="216"/>
      <c r="K175" s="38"/>
      <c r="L175" s="38"/>
      <c r="M175" s="38"/>
    </row>
    <row r="176" spans="1:13">
      <c r="A176" s="55">
        <f t="shared" si="8"/>
        <v>1</v>
      </c>
      <c r="B176" s="239"/>
      <c r="C176" s="207"/>
      <c r="D176" s="208"/>
      <c r="E176" s="193"/>
      <c r="F176" s="193">
        <f t="shared" si="6"/>
        <v>0</v>
      </c>
      <c r="G176" t="str">
        <f>IF(IFERROR(IF(Str_TypeDonneesCpt3=Cpt_Index,Tab_Compteur_3[[#This Row],[Index]]-E175,Tab_Compteur_3[[#This Row],[Quantité]])/Tab_Compteur_3[[#This Row],[Delta Jour]],"")&lt;0,"",IFERROR(IF(Str_TypeDonneesCpt3=Cpt_Index,Tab_Compteur_3[[#This Row],[Index]]-E175,Tab_Compteur_3[[#This Row],[Quantité]])/Tab_Compteur_3[[#This Row],[Delta Jour]],""))</f>
        <v/>
      </c>
      <c r="H176" s="193" t="str">
        <f>IFERROR(Tab_Compteur_3[[#This Row],[Montant]]/Tab_Compteur_3[[#This Row],[Delta Jour]],"")</f>
        <v/>
      </c>
      <c r="I176" s="219" t="str">
        <f t="shared" si="7"/>
        <v/>
      </c>
      <c r="J176" s="216"/>
      <c r="K176" s="38"/>
      <c r="L176" s="38"/>
      <c r="M176" s="38"/>
    </row>
    <row r="177" spans="1:13">
      <c r="A177" s="55">
        <f t="shared" si="8"/>
        <v>1</v>
      </c>
      <c r="B177" s="239"/>
      <c r="C177" s="207"/>
      <c r="D177" s="208"/>
      <c r="E177" s="193"/>
      <c r="F177" s="193">
        <f t="shared" si="6"/>
        <v>0</v>
      </c>
      <c r="G177" t="str">
        <f>IF(IFERROR(IF(Str_TypeDonneesCpt3=Cpt_Index,Tab_Compteur_3[[#This Row],[Index]]-E176,Tab_Compteur_3[[#This Row],[Quantité]])/Tab_Compteur_3[[#This Row],[Delta Jour]],"")&lt;0,"",IFERROR(IF(Str_TypeDonneesCpt3=Cpt_Index,Tab_Compteur_3[[#This Row],[Index]]-E176,Tab_Compteur_3[[#This Row],[Quantité]])/Tab_Compteur_3[[#This Row],[Delta Jour]],""))</f>
        <v/>
      </c>
      <c r="H177" s="193" t="str">
        <f>IFERROR(Tab_Compteur_3[[#This Row],[Montant]]/Tab_Compteur_3[[#This Row],[Delta Jour]],"")</f>
        <v/>
      </c>
      <c r="I177" s="219" t="str">
        <f t="shared" si="7"/>
        <v/>
      </c>
      <c r="J177" s="216"/>
      <c r="K177" s="38"/>
      <c r="L177" s="38"/>
      <c r="M177" s="38"/>
    </row>
    <row r="178" spans="1:13">
      <c r="A178" s="55">
        <f t="shared" si="8"/>
        <v>1</v>
      </c>
      <c r="B178" s="239"/>
      <c r="C178" s="207"/>
      <c r="D178" s="208"/>
      <c r="E178" s="193"/>
      <c r="F178" s="193">
        <f t="shared" si="6"/>
        <v>0</v>
      </c>
      <c r="G178" t="str">
        <f>IF(IFERROR(IF(Str_TypeDonneesCpt3=Cpt_Index,Tab_Compteur_3[[#This Row],[Index]]-E177,Tab_Compteur_3[[#This Row],[Quantité]])/Tab_Compteur_3[[#This Row],[Delta Jour]],"")&lt;0,"",IFERROR(IF(Str_TypeDonneesCpt3=Cpt_Index,Tab_Compteur_3[[#This Row],[Index]]-E177,Tab_Compteur_3[[#This Row],[Quantité]])/Tab_Compteur_3[[#This Row],[Delta Jour]],""))</f>
        <v/>
      </c>
      <c r="H178" s="193" t="str">
        <f>IFERROR(Tab_Compteur_3[[#This Row],[Montant]]/Tab_Compteur_3[[#This Row],[Delta Jour]],"")</f>
        <v/>
      </c>
      <c r="I178" s="219" t="str">
        <f t="shared" si="7"/>
        <v/>
      </c>
      <c r="J178" s="216"/>
      <c r="K178" s="38"/>
      <c r="L178" s="38"/>
      <c r="M178" s="38"/>
    </row>
    <row r="179" spans="1:13">
      <c r="A179" s="55">
        <f t="shared" si="8"/>
        <v>1</v>
      </c>
      <c r="B179" s="239"/>
      <c r="C179" s="207"/>
      <c r="D179" s="208"/>
      <c r="E179" s="193"/>
      <c r="F179" s="193">
        <f t="shared" si="6"/>
        <v>0</v>
      </c>
      <c r="G179" t="str">
        <f>IF(IFERROR(IF(Str_TypeDonneesCpt3=Cpt_Index,Tab_Compteur_3[[#This Row],[Index]]-E178,Tab_Compteur_3[[#This Row],[Quantité]])/Tab_Compteur_3[[#This Row],[Delta Jour]],"")&lt;0,"",IFERROR(IF(Str_TypeDonneesCpt3=Cpt_Index,Tab_Compteur_3[[#This Row],[Index]]-E178,Tab_Compteur_3[[#This Row],[Quantité]])/Tab_Compteur_3[[#This Row],[Delta Jour]],""))</f>
        <v/>
      </c>
      <c r="H179" s="193" t="str">
        <f>IFERROR(Tab_Compteur_3[[#This Row],[Montant]]/Tab_Compteur_3[[#This Row],[Delta Jour]],"")</f>
        <v/>
      </c>
      <c r="I179" s="219" t="str">
        <f t="shared" si="7"/>
        <v/>
      </c>
      <c r="J179" s="216"/>
      <c r="K179" s="38"/>
      <c r="L179" s="38"/>
      <c r="M179" s="38"/>
    </row>
    <row r="180" spans="1:13">
      <c r="A180" s="55">
        <f t="shared" si="8"/>
        <v>1</v>
      </c>
      <c r="B180" s="239"/>
      <c r="C180" s="207"/>
      <c r="D180" s="208"/>
      <c r="E180" s="193"/>
      <c r="F180" s="193">
        <f t="shared" si="6"/>
        <v>0</v>
      </c>
      <c r="G180" t="str">
        <f>IF(IFERROR(IF(Str_TypeDonneesCpt3=Cpt_Index,Tab_Compteur_3[[#This Row],[Index]]-E179,Tab_Compteur_3[[#This Row],[Quantité]])/Tab_Compteur_3[[#This Row],[Delta Jour]],"")&lt;0,"",IFERROR(IF(Str_TypeDonneesCpt3=Cpt_Index,Tab_Compteur_3[[#This Row],[Index]]-E179,Tab_Compteur_3[[#This Row],[Quantité]])/Tab_Compteur_3[[#This Row],[Delta Jour]],""))</f>
        <v/>
      </c>
      <c r="H180" s="193" t="str">
        <f>IFERROR(Tab_Compteur_3[[#This Row],[Montant]]/Tab_Compteur_3[[#This Row],[Delta Jour]],"")</f>
        <v/>
      </c>
      <c r="I180" s="219" t="str">
        <f t="shared" si="7"/>
        <v/>
      </c>
      <c r="J180" s="216"/>
      <c r="K180" s="38"/>
      <c r="L180" s="38"/>
      <c r="M180" s="38"/>
    </row>
    <row r="181" spans="1:13">
      <c r="A181" s="55">
        <f t="shared" si="8"/>
        <v>1</v>
      </c>
      <c r="B181" s="239"/>
      <c r="C181" s="207"/>
      <c r="D181" s="208"/>
      <c r="E181" s="193"/>
      <c r="F181" s="193">
        <f t="shared" si="6"/>
        <v>0</v>
      </c>
      <c r="G181" t="str">
        <f>IF(IFERROR(IF(Str_TypeDonneesCpt3=Cpt_Index,Tab_Compteur_3[[#This Row],[Index]]-E180,Tab_Compteur_3[[#This Row],[Quantité]])/Tab_Compteur_3[[#This Row],[Delta Jour]],"")&lt;0,"",IFERROR(IF(Str_TypeDonneesCpt3=Cpt_Index,Tab_Compteur_3[[#This Row],[Index]]-E180,Tab_Compteur_3[[#This Row],[Quantité]])/Tab_Compteur_3[[#This Row],[Delta Jour]],""))</f>
        <v/>
      </c>
      <c r="H181" s="193" t="str">
        <f>IFERROR(Tab_Compteur_3[[#This Row],[Montant]]/Tab_Compteur_3[[#This Row],[Delta Jour]],"")</f>
        <v/>
      </c>
      <c r="I181" s="219" t="str">
        <f t="shared" si="7"/>
        <v/>
      </c>
      <c r="J181" s="216"/>
      <c r="K181" s="38"/>
      <c r="L181" s="38"/>
      <c r="M181" s="38"/>
    </row>
    <row r="182" spans="1:13">
      <c r="A182" s="55">
        <f t="shared" si="8"/>
        <v>1</v>
      </c>
      <c r="B182" s="239"/>
      <c r="C182" s="207"/>
      <c r="D182" s="208"/>
      <c r="E182" s="193"/>
      <c r="F182" s="193">
        <f t="shared" si="6"/>
        <v>0</v>
      </c>
      <c r="G182" t="str">
        <f>IF(IFERROR(IF(Str_TypeDonneesCpt3=Cpt_Index,Tab_Compteur_3[[#This Row],[Index]]-E181,Tab_Compteur_3[[#This Row],[Quantité]])/Tab_Compteur_3[[#This Row],[Delta Jour]],"")&lt;0,"",IFERROR(IF(Str_TypeDonneesCpt3=Cpt_Index,Tab_Compteur_3[[#This Row],[Index]]-E181,Tab_Compteur_3[[#This Row],[Quantité]])/Tab_Compteur_3[[#This Row],[Delta Jour]],""))</f>
        <v/>
      </c>
      <c r="H182" s="193" t="str">
        <f>IFERROR(Tab_Compteur_3[[#This Row],[Montant]]/Tab_Compteur_3[[#This Row],[Delta Jour]],"")</f>
        <v/>
      </c>
      <c r="I182" s="219" t="str">
        <f t="shared" si="7"/>
        <v/>
      </c>
      <c r="J182" s="216"/>
      <c r="K182" s="38"/>
      <c r="L182" s="38"/>
      <c r="M182" s="38"/>
    </row>
    <row r="183" spans="1:13">
      <c r="A183" s="55">
        <f t="shared" si="8"/>
        <v>1</v>
      </c>
      <c r="B183" s="239"/>
      <c r="C183" s="207"/>
      <c r="D183" s="208"/>
      <c r="E183" s="193"/>
      <c r="F183" s="193">
        <f t="shared" si="6"/>
        <v>0</v>
      </c>
      <c r="G183" t="str">
        <f>IF(IFERROR(IF(Str_TypeDonneesCpt3=Cpt_Index,Tab_Compteur_3[[#This Row],[Index]]-E182,Tab_Compteur_3[[#This Row],[Quantité]])/Tab_Compteur_3[[#This Row],[Delta Jour]],"")&lt;0,"",IFERROR(IF(Str_TypeDonneesCpt3=Cpt_Index,Tab_Compteur_3[[#This Row],[Index]]-E182,Tab_Compteur_3[[#This Row],[Quantité]])/Tab_Compteur_3[[#This Row],[Delta Jour]],""))</f>
        <v/>
      </c>
      <c r="H183" s="193" t="str">
        <f>IFERROR(Tab_Compteur_3[[#This Row],[Montant]]/Tab_Compteur_3[[#This Row],[Delta Jour]],"")</f>
        <v/>
      </c>
      <c r="I183" s="219" t="str">
        <f t="shared" si="7"/>
        <v/>
      </c>
      <c r="J183" s="216"/>
      <c r="K183" s="38"/>
      <c r="L183" s="38"/>
      <c r="M183" s="38"/>
    </row>
    <row r="184" spans="1:13">
      <c r="A184" s="55">
        <f t="shared" si="8"/>
        <v>1</v>
      </c>
      <c r="B184" s="239"/>
      <c r="C184" s="207"/>
      <c r="D184" s="208"/>
      <c r="E184" s="193"/>
      <c r="F184" s="193">
        <f t="shared" si="6"/>
        <v>0</v>
      </c>
      <c r="G184" t="str">
        <f>IF(IFERROR(IF(Str_TypeDonneesCpt3=Cpt_Index,Tab_Compteur_3[[#This Row],[Index]]-E183,Tab_Compteur_3[[#This Row],[Quantité]])/Tab_Compteur_3[[#This Row],[Delta Jour]],"")&lt;0,"",IFERROR(IF(Str_TypeDonneesCpt3=Cpt_Index,Tab_Compteur_3[[#This Row],[Index]]-E183,Tab_Compteur_3[[#This Row],[Quantité]])/Tab_Compteur_3[[#This Row],[Delta Jour]],""))</f>
        <v/>
      </c>
      <c r="H184" s="193" t="str">
        <f>IFERROR(Tab_Compteur_3[[#This Row],[Montant]]/Tab_Compteur_3[[#This Row],[Delta Jour]],"")</f>
        <v/>
      </c>
      <c r="I184" s="219" t="str">
        <f t="shared" si="7"/>
        <v/>
      </c>
      <c r="J184" s="216"/>
      <c r="K184" s="38"/>
      <c r="L184" s="38"/>
      <c r="M184" s="38"/>
    </row>
    <row r="185" spans="1:13">
      <c r="A185" s="55">
        <f t="shared" si="8"/>
        <v>1</v>
      </c>
      <c r="B185" s="239"/>
      <c r="C185" s="207"/>
      <c r="D185" s="208"/>
      <c r="E185" s="193"/>
      <c r="F185" s="193">
        <f t="shared" si="6"/>
        <v>0</v>
      </c>
      <c r="G185" t="str">
        <f>IF(IFERROR(IF(Str_TypeDonneesCpt3=Cpt_Index,Tab_Compteur_3[[#This Row],[Index]]-E184,Tab_Compteur_3[[#This Row],[Quantité]])/Tab_Compteur_3[[#This Row],[Delta Jour]],"")&lt;0,"",IFERROR(IF(Str_TypeDonneesCpt3=Cpt_Index,Tab_Compteur_3[[#This Row],[Index]]-E184,Tab_Compteur_3[[#This Row],[Quantité]])/Tab_Compteur_3[[#This Row],[Delta Jour]],""))</f>
        <v/>
      </c>
      <c r="H185" s="193" t="str">
        <f>IFERROR(Tab_Compteur_3[[#This Row],[Montant]]/Tab_Compteur_3[[#This Row],[Delta Jour]],"")</f>
        <v/>
      </c>
      <c r="I185" s="219" t="str">
        <f t="shared" si="7"/>
        <v/>
      </c>
      <c r="J185" s="216"/>
      <c r="K185" s="38"/>
      <c r="L185" s="38"/>
      <c r="M185" s="38"/>
    </row>
    <row r="186" spans="1:13">
      <c r="A186" s="55">
        <f t="shared" si="8"/>
        <v>1</v>
      </c>
      <c r="B186" s="239"/>
      <c r="C186" s="207"/>
      <c r="D186" s="208"/>
      <c r="E186" s="193"/>
      <c r="F186" s="193">
        <f t="shared" si="6"/>
        <v>0</v>
      </c>
      <c r="G186" t="str">
        <f>IF(IFERROR(IF(Str_TypeDonneesCpt3=Cpt_Index,Tab_Compteur_3[[#This Row],[Index]]-E185,Tab_Compteur_3[[#This Row],[Quantité]])/Tab_Compteur_3[[#This Row],[Delta Jour]],"")&lt;0,"",IFERROR(IF(Str_TypeDonneesCpt3=Cpt_Index,Tab_Compteur_3[[#This Row],[Index]]-E185,Tab_Compteur_3[[#This Row],[Quantité]])/Tab_Compteur_3[[#This Row],[Delta Jour]],""))</f>
        <v/>
      </c>
      <c r="H186" s="193" t="str">
        <f>IFERROR(Tab_Compteur_3[[#This Row],[Montant]]/Tab_Compteur_3[[#This Row],[Delta Jour]],"")</f>
        <v/>
      </c>
      <c r="I186" s="219" t="str">
        <f t="shared" si="7"/>
        <v/>
      </c>
      <c r="J186" s="216"/>
      <c r="K186" s="38"/>
      <c r="L186" s="38"/>
      <c r="M186" s="38"/>
    </row>
    <row r="187" spans="1:13">
      <c r="A187" s="55">
        <f t="shared" si="8"/>
        <v>1</v>
      </c>
      <c r="B187" s="239"/>
      <c r="C187" s="207"/>
      <c r="D187" s="208"/>
      <c r="E187" s="193"/>
      <c r="F187" s="193">
        <f t="shared" si="6"/>
        <v>0</v>
      </c>
      <c r="G187" t="str">
        <f>IF(IFERROR(IF(Str_TypeDonneesCpt3=Cpt_Index,Tab_Compteur_3[[#This Row],[Index]]-E186,Tab_Compteur_3[[#This Row],[Quantité]])/Tab_Compteur_3[[#This Row],[Delta Jour]],"")&lt;0,"",IFERROR(IF(Str_TypeDonneesCpt3=Cpt_Index,Tab_Compteur_3[[#This Row],[Index]]-E186,Tab_Compteur_3[[#This Row],[Quantité]])/Tab_Compteur_3[[#This Row],[Delta Jour]],""))</f>
        <v/>
      </c>
      <c r="H187" s="193" t="str">
        <f>IFERROR(Tab_Compteur_3[[#This Row],[Montant]]/Tab_Compteur_3[[#This Row],[Delta Jour]],"")</f>
        <v/>
      </c>
      <c r="I187" s="219" t="str">
        <f t="shared" si="7"/>
        <v/>
      </c>
      <c r="J187" s="216"/>
      <c r="K187" s="38"/>
      <c r="L187" s="38"/>
      <c r="M187" s="38"/>
    </row>
    <row r="188" spans="1:13">
      <c r="A188" s="55">
        <f t="shared" si="8"/>
        <v>1</v>
      </c>
      <c r="B188" s="239"/>
      <c r="C188" s="207"/>
      <c r="D188" s="208"/>
      <c r="E188" s="193"/>
      <c r="F188" s="193">
        <f t="shared" si="6"/>
        <v>0</v>
      </c>
      <c r="G188" t="str">
        <f>IF(IFERROR(IF(Str_TypeDonneesCpt3=Cpt_Index,Tab_Compteur_3[[#This Row],[Index]]-E187,Tab_Compteur_3[[#This Row],[Quantité]])/Tab_Compteur_3[[#This Row],[Delta Jour]],"")&lt;0,"",IFERROR(IF(Str_TypeDonneesCpt3=Cpt_Index,Tab_Compteur_3[[#This Row],[Index]]-E187,Tab_Compteur_3[[#This Row],[Quantité]])/Tab_Compteur_3[[#This Row],[Delta Jour]],""))</f>
        <v/>
      </c>
      <c r="H188" s="193" t="str">
        <f>IFERROR(Tab_Compteur_3[[#This Row],[Montant]]/Tab_Compteur_3[[#This Row],[Delta Jour]],"")</f>
        <v/>
      </c>
      <c r="I188" s="219" t="str">
        <f t="shared" si="7"/>
        <v/>
      </c>
      <c r="J188" s="216"/>
      <c r="K188" s="38"/>
      <c r="L188" s="38"/>
      <c r="M188" s="38"/>
    </row>
    <row r="189" spans="1:13">
      <c r="A189" s="55">
        <f t="shared" si="8"/>
        <v>1</v>
      </c>
      <c r="B189" s="239"/>
      <c r="C189" s="207"/>
      <c r="D189" s="208"/>
      <c r="E189" s="193"/>
      <c r="F189" s="193">
        <f t="shared" si="6"/>
        <v>0</v>
      </c>
      <c r="G189" t="str">
        <f>IF(IFERROR(IF(Str_TypeDonneesCpt3=Cpt_Index,Tab_Compteur_3[[#This Row],[Index]]-E188,Tab_Compteur_3[[#This Row],[Quantité]])/Tab_Compteur_3[[#This Row],[Delta Jour]],"")&lt;0,"",IFERROR(IF(Str_TypeDonneesCpt3=Cpt_Index,Tab_Compteur_3[[#This Row],[Index]]-E188,Tab_Compteur_3[[#This Row],[Quantité]])/Tab_Compteur_3[[#This Row],[Delta Jour]],""))</f>
        <v/>
      </c>
      <c r="H189" s="193" t="str">
        <f>IFERROR(Tab_Compteur_3[[#This Row],[Montant]]/Tab_Compteur_3[[#This Row],[Delta Jour]],"")</f>
        <v/>
      </c>
      <c r="I189" s="219" t="str">
        <f t="shared" si="7"/>
        <v/>
      </c>
      <c r="J189" s="216"/>
      <c r="K189" s="38"/>
      <c r="L189" s="38"/>
      <c r="M189" s="38"/>
    </row>
    <row r="190" spans="1:13">
      <c r="A190" s="55">
        <f t="shared" si="8"/>
        <v>1</v>
      </c>
      <c r="B190" s="239"/>
      <c r="C190" s="207"/>
      <c r="D190" s="208"/>
      <c r="E190" s="193"/>
      <c r="F190" s="193">
        <f t="shared" si="6"/>
        <v>0</v>
      </c>
      <c r="G190" t="str">
        <f>IF(IFERROR(IF(Str_TypeDonneesCpt3=Cpt_Index,Tab_Compteur_3[[#This Row],[Index]]-E189,Tab_Compteur_3[[#This Row],[Quantité]])/Tab_Compteur_3[[#This Row],[Delta Jour]],"")&lt;0,"",IFERROR(IF(Str_TypeDonneesCpt3=Cpt_Index,Tab_Compteur_3[[#This Row],[Index]]-E189,Tab_Compteur_3[[#This Row],[Quantité]])/Tab_Compteur_3[[#This Row],[Delta Jour]],""))</f>
        <v/>
      </c>
      <c r="H190" s="193" t="str">
        <f>IFERROR(Tab_Compteur_3[[#This Row],[Montant]]/Tab_Compteur_3[[#This Row],[Delta Jour]],"")</f>
        <v/>
      </c>
      <c r="I190" s="219" t="str">
        <f t="shared" si="7"/>
        <v/>
      </c>
      <c r="J190" s="216"/>
      <c r="K190" s="38"/>
      <c r="L190" s="38"/>
      <c r="M190" s="38"/>
    </row>
    <row r="191" spans="1:13">
      <c r="A191" s="55">
        <f t="shared" si="8"/>
        <v>1</v>
      </c>
      <c r="B191" s="239"/>
      <c r="C191" s="207"/>
      <c r="D191" s="208"/>
      <c r="E191" s="193"/>
      <c r="F191" s="193">
        <f t="shared" si="6"/>
        <v>0</v>
      </c>
      <c r="G191" t="str">
        <f>IF(IFERROR(IF(Str_TypeDonneesCpt3=Cpt_Index,Tab_Compteur_3[[#This Row],[Index]]-E190,Tab_Compteur_3[[#This Row],[Quantité]])/Tab_Compteur_3[[#This Row],[Delta Jour]],"")&lt;0,"",IFERROR(IF(Str_TypeDonneesCpt3=Cpt_Index,Tab_Compteur_3[[#This Row],[Index]]-E190,Tab_Compteur_3[[#This Row],[Quantité]])/Tab_Compteur_3[[#This Row],[Delta Jour]],""))</f>
        <v/>
      </c>
      <c r="H191" s="193" t="str">
        <f>IFERROR(Tab_Compteur_3[[#This Row],[Montant]]/Tab_Compteur_3[[#This Row],[Delta Jour]],"")</f>
        <v/>
      </c>
      <c r="I191" s="219" t="str">
        <f t="shared" si="7"/>
        <v/>
      </c>
      <c r="J191" s="216"/>
      <c r="K191" s="38"/>
      <c r="L191" s="38"/>
      <c r="M191" s="38"/>
    </row>
    <row r="192" spans="1:13">
      <c r="A192" s="55">
        <f t="shared" si="8"/>
        <v>1</v>
      </c>
      <c r="B192" s="239"/>
      <c r="C192" s="207"/>
      <c r="D192" s="208"/>
      <c r="E192" s="193"/>
      <c r="F192" s="193">
        <f t="shared" si="6"/>
        <v>0</v>
      </c>
      <c r="G192" t="str">
        <f>IF(IFERROR(IF(Str_TypeDonneesCpt3=Cpt_Index,Tab_Compteur_3[[#This Row],[Index]]-E191,Tab_Compteur_3[[#This Row],[Quantité]])/Tab_Compteur_3[[#This Row],[Delta Jour]],"")&lt;0,"",IFERROR(IF(Str_TypeDonneesCpt3=Cpt_Index,Tab_Compteur_3[[#This Row],[Index]]-E191,Tab_Compteur_3[[#This Row],[Quantité]])/Tab_Compteur_3[[#This Row],[Delta Jour]],""))</f>
        <v/>
      </c>
      <c r="H192" s="193" t="str">
        <f>IFERROR(Tab_Compteur_3[[#This Row],[Montant]]/Tab_Compteur_3[[#This Row],[Delta Jour]],"")</f>
        <v/>
      </c>
      <c r="I192" s="219" t="str">
        <f t="shared" si="7"/>
        <v/>
      </c>
      <c r="J192" s="216"/>
      <c r="K192" s="38"/>
      <c r="L192" s="38"/>
      <c r="M192" s="38"/>
    </row>
    <row r="193" spans="1:13">
      <c r="A193" s="55">
        <f t="shared" si="8"/>
        <v>1</v>
      </c>
      <c r="B193" s="239"/>
      <c r="C193" s="207"/>
      <c r="D193" s="208"/>
      <c r="E193" s="193"/>
      <c r="F193" s="193">
        <f t="shared" si="6"/>
        <v>0</v>
      </c>
      <c r="G193" t="str">
        <f>IF(IFERROR(IF(Str_TypeDonneesCpt3=Cpt_Index,Tab_Compteur_3[[#This Row],[Index]]-E192,Tab_Compteur_3[[#This Row],[Quantité]])/Tab_Compteur_3[[#This Row],[Delta Jour]],"")&lt;0,"",IFERROR(IF(Str_TypeDonneesCpt3=Cpt_Index,Tab_Compteur_3[[#This Row],[Index]]-E192,Tab_Compteur_3[[#This Row],[Quantité]])/Tab_Compteur_3[[#This Row],[Delta Jour]],""))</f>
        <v/>
      </c>
      <c r="H193" s="193" t="str">
        <f>IFERROR(Tab_Compteur_3[[#This Row],[Montant]]/Tab_Compteur_3[[#This Row],[Delta Jour]],"")</f>
        <v/>
      </c>
      <c r="I193" s="219" t="str">
        <f t="shared" si="7"/>
        <v/>
      </c>
      <c r="J193" s="216"/>
      <c r="K193" s="38"/>
      <c r="L193" s="38"/>
      <c r="M193" s="38"/>
    </row>
    <row r="194" spans="1:13">
      <c r="A194" s="55">
        <f t="shared" si="8"/>
        <v>1</v>
      </c>
      <c r="B194" s="239"/>
      <c r="C194" s="207"/>
      <c r="D194" s="208"/>
      <c r="E194" s="193"/>
      <c r="F194" s="193">
        <f t="shared" si="6"/>
        <v>0</v>
      </c>
      <c r="G194" t="str">
        <f>IF(IFERROR(IF(Str_TypeDonneesCpt3=Cpt_Index,Tab_Compteur_3[[#This Row],[Index]]-E193,Tab_Compteur_3[[#This Row],[Quantité]])/Tab_Compteur_3[[#This Row],[Delta Jour]],"")&lt;0,"",IFERROR(IF(Str_TypeDonneesCpt3=Cpt_Index,Tab_Compteur_3[[#This Row],[Index]]-E193,Tab_Compteur_3[[#This Row],[Quantité]])/Tab_Compteur_3[[#This Row],[Delta Jour]],""))</f>
        <v/>
      </c>
      <c r="H194" s="193" t="str">
        <f>IFERROR(Tab_Compteur_3[[#This Row],[Montant]]/Tab_Compteur_3[[#This Row],[Delta Jour]],"")</f>
        <v/>
      </c>
      <c r="I194" s="219" t="str">
        <f t="shared" si="7"/>
        <v/>
      </c>
      <c r="J194" s="216"/>
      <c r="K194" s="38"/>
      <c r="L194" s="38"/>
      <c r="M194" s="38"/>
    </row>
    <row r="195" spans="1:13">
      <c r="A195" s="55">
        <f t="shared" si="8"/>
        <v>1</v>
      </c>
      <c r="B195" s="239"/>
      <c r="C195" s="207"/>
      <c r="D195" s="208"/>
      <c r="E195" s="193"/>
      <c r="F195" s="193">
        <f t="shared" ref="F195:F243" si="9">IFERROR(B195-A195+1,"")</f>
        <v>0</v>
      </c>
      <c r="G195" t="str">
        <f>IF(IFERROR(IF(Str_TypeDonneesCpt3=Cpt_Index,Tab_Compteur_3[[#This Row],[Index]]-E194,Tab_Compteur_3[[#This Row],[Quantité]])/Tab_Compteur_3[[#This Row],[Delta Jour]],"")&lt;0,"",IFERROR(IF(Str_TypeDonneesCpt3=Cpt_Index,Tab_Compteur_3[[#This Row],[Index]]-E194,Tab_Compteur_3[[#This Row],[Quantité]])/Tab_Compteur_3[[#This Row],[Delta Jour]],""))</f>
        <v/>
      </c>
      <c r="H195" s="193" t="str">
        <f>IFERROR(Tab_Compteur_3[[#This Row],[Montant]]/Tab_Compteur_3[[#This Row],[Delta Jour]],"")</f>
        <v/>
      </c>
      <c r="I195" s="219" t="str">
        <f t="shared" ref="I195:I243" si="10">G195</f>
        <v/>
      </c>
      <c r="J195" s="216"/>
      <c r="K195" s="38"/>
      <c r="L195" s="38"/>
      <c r="M195" s="38"/>
    </row>
    <row r="196" spans="1:13">
      <c r="A196" s="55">
        <f t="shared" si="8"/>
        <v>1</v>
      </c>
      <c r="B196" s="239"/>
      <c r="C196" s="207"/>
      <c r="D196" s="208"/>
      <c r="E196" s="193"/>
      <c r="F196" s="193">
        <f t="shared" si="9"/>
        <v>0</v>
      </c>
      <c r="G196" t="str">
        <f>IF(IFERROR(IF(Str_TypeDonneesCpt3=Cpt_Index,Tab_Compteur_3[[#This Row],[Index]]-E195,Tab_Compteur_3[[#This Row],[Quantité]])/Tab_Compteur_3[[#This Row],[Delta Jour]],"")&lt;0,"",IFERROR(IF(Str_TypeDonneesCpt3=Cpt_Index,Tab_Compteur_3[[#This Row],[Index]]-E195,Tab_Compteur_3[[#This Row],[Quantité]])/Tab_Compteur_3[[#This Row],[Delta Jour]],""))</f>
        <v/>
      </c>
      <c r="H196" s="193" t="str">
        <f>IFERROR(Tab_Compteur_3[[#This Row],[Montant]]/Tab_Compteur_3[[#This Row],[Delta Jour]],"")</f>
        <v/>
      </c>
      <c r="I196" s="219" t="str">
        <f t="shared" si="10"/>
        <v/>
      </c>
      <c r="J196" s="216"/>
      <c r="K196" s="38"/>
      <c r="L196" s="38"/>
      <c r="M196" s="38"/>
    </row>
    <row r="197" spans="1:13">
      <c r="A197" s="55">
        <f t="shared" si="8"/>
        <v>1</v>
      </c>
      <c r="B197" s="239"/>
      <c r="C197" s="207"/>
      <c r="D197" s="208"/>
      <c r="E197" s="193"/>
      <c r="F197" s="193">
        <f t="shared" si="9"/>
        <v>0</v>
      </c>
      <c r="G197" t="str">
        <f>IF(IFERROR(IF(Str_TypeDonneesCpt3=Cpt_Index,Tab_Compteur_3[[#This Row],[Index]]-E196,Tab_Compteur_3[[#This Row],[Quantité]])/Tab_Compteur_3[[#This Row],[Delta Jour]],"")&lt;0,"",IFERROR(IF(Str_TypeDonneesCpt3=Cpt_Index,Tab_Compteur_3[[#This Row],[Index]]-E196,Tab_Compteur_3[[#This Row],[Quantité]])/Tab_Compteur_3[[#This Row],[Delta Jour]],""))</f>
        <v/>
      </c>
      <c r="H197" s="193" t="str">
        <f>IFERROR(Tab_Compteur_3[[#This Row],[Montant]]/Tab_Compteur_3[[#This Row],[Delta Jour]],"")</f>
        <v/>
      </c>
      <c r="I197" s="219" t="str">
        <f t="shared" si="10"/>
        <v/>
      </c>
      <c r="J197" s="216"/>
      <c r="K197" s="38"/>
      <c r="L197" s="38"/>
      <c r="M197" s="38"/>
    </row>
    <row r="198" spans="1:13">
      <c r="A198" s="55">
        <f t="shared" ref="A198:A243" si="11">IFERROR(B197+1,0)</f>
        <v>1</v>
      </c>
      <c r="B198" s="239"/>
      <c r="C198" s="207"/>
      <c r="D198" s="208"/>
      <c r="E198" s="193"/>
      <c r="F198" s="193">
        <f t="shared" si="9"/>
        <v>0</v>
      </c>
      <c r="G198" t="str">
        <f>IF(IFERROR(IF(Str_TypeDonneesCpt3=Cpt_Index,Tab_Compteur_3[[#This Row],[Index]]-E197,Tab_Compteur_3[[#This Row],[Quantité]])/Tab_Compteur_3[[#This Row],[Delta Jour]],"")&lt;0,"",IFERROR(IF(Str_TypeDonneesCpt3=Cpt_Index,Tab_Compteur_3[[#This Row],[Index]]-E197,Tab_Compteur_3[[#This Row],[Quantité]])/Tab_Compteur_3[[#This Row],[Delta Jour]],""))</f>
        <v/>
      </c>
      <c r="H198" s="193" t="str">
        <f>IFERROR(Tab_Compteur_3[[#This Row],[Montant]]/Tab_Compteur_3[[#This Row],[Delta Jour]],"")</f>
        <v/>
      </c>
      <c r="I198" s="219" t="str">
        <f t="shared" si="10"/>
        <v/>
      </c>
      <c r="J198" s="216"/>
      <c r="K198" s="38"/>
      <c r="L198" s="38"/>
      <c r="M198" s="38"/>
    </row>
    <row r="199" spans="1:13">
      <c r="A199" s="55">
        <f t="shared" si="11"/>
        <v>1</v>
      </c>
      <c r="B199" s="239"/>
      <c r="C199" s="207"/>
      <c r="D199" s="208"/>
      <c r="E199" s="193"/>
      <c r="F199" s="193">
        <f t="shared" si="9"/>
        <v>0</v>
      </c>
      <c r="G199" t="str">
        <f>IF(IFERROR(IF(Str_TypeDonneesCpt3=Cpt_Index,Tab_Compteur_3[[#This Row],[Index]]-E198,Tab_Compteur_3[[#This Row],[Quantité]])/Tab_Compteur_3[[#This Row],[Delta Jour]],"")&lt;0,"",IFERROR(IF(Str_TypeDonneesCpt3=Cpt_Index,Tab_Compteur_3[[#This Row],[Index]]-E198,Tab_Compteur_3[[#This Row],[Quantité]])/Tab_Compteur_3[[#This Row],[Delta Jour]],""))</f>
        <v/>
      </c>
      <c r="H199" s="193" t="str">
        <f>IFERROR(Tab_Compteur_3[[#This Row],[Montant]]/Tab_Compteur_3[[#This Row],[Delta Jour]],"")</f>
        <v/>
      </c>
      <c r="I199" s="219" t="str">
        <f t="shared" si="10"/>
        <v/>
      </c>
      <c r="J199" s="216"/>
      <c r="K199" s="38"/>
      <c r="L199" s="38"/>
      <c r="M199" s="38"/>
    </row>
    <row r="200" spans="1:13">
      <c r="A200" s="55">
        <f t="shared" si="11"/>
        <v>1</v>
      </c>
      <c r="B200" s="239"/>
      <c r="C200" s="207"/>
      <c r="D200" s="208"/>
      <c r="E200" s="193"/>
      <c r="F200" s="193">
        <f t="shared" si="9"/>
        <v>0</v>
      </c>
      <c r="G200" t="str">
        <f>IF(IFERROR(IF(Str_TypeDonneesCpt3=Cpt_Index,Tab_Compteur_3[[#This Row],[Index]]-E199,Tab_Compteur_3[[#This Row],[Quantité]])/Tab_Compteur_3[[#This Row],[Delta Jour]],"")&lt;0,"",IFERROR(IF(Str_TypeDonneesCpt3=Cpt_Index,Tab_Compteur_3[[#This Row],[Index]]-E199,Tab_Compteur_3[[#This Row],[Quantité]])/Tab_Compteur_3[[#This Row],[Delta Jour]],""))</f>
        <v/>
      </c>
      <c r="H200" s="193" t="str">
        <f>IFERROR(Tab_Compteur_3[[#This Row],[Montant]]/Tab_Compteur_3[[#This Row],[Delta Jour]],"")</f>
        <v/>
      </c>
      <c r="I200" s="219" t="str">
        <f t="shared" si="10"/>
        <v/>
      </c>
      <c r="J200" s="216"/>
      <c r="K200" s="38"/>
      <c r="L200" s="38"/>
      <c r="M200" s="38"/>
    </row>
    <row r="201" spans="1:13">
      <c r="A201" s="55">
        <f t="shared" si="11"/>
        <v>1</v>
      </c>
      <c r="B201" s="239"/>
      <c r="C201" s="207"/>
      <c r="D201" s="208"/>
      <c r="E201" s="193"/>
      <c r="F201" s="193">
        <f t="shared" si="9"/>
        <v>0</v>
      </c>
      <c r="G201" t="str">
        <f>IF(IFERROR(IF(Str_TypeDonneesCpt3=Cpt_Index,Tab_Compteur_3[[#This Row],[Index]]-E200,Tab_Compteur_3[[#This Row],[Quantité]])/Tab_Compteur_3[[#This Row],[Delta Jour]],"")&lt;0,"",IFERROR(IF(Str_TypeDonneesCpt3=Cpt_Index,Tab_Compteur_3[[#This Row],[Index]]-E200,Tab_Compteur_3[[#This Row],[Quantité]])/Tab_Compteur_3[[#This Row],[Delta Jour]],""))</f>
        <v/>
      </c>
      <c r="H201" s="193" t="str">
        <f>IFERROR(Tab_Compteur_3[[#This Row],[Montant]]/Tab_Compteur_3[[#This Row],[Delta Jour]],"")</f>
        <v/>
      </c>
      <c r="I201" s="219" t="str">
        <f t="shared" si="10"/>
        <v/>
      </c>
      <c r="J201" s="216"/>
      <c r="K201" s="38"/>
      <c r="L201" s="38"/>
      <c r="M201" s="38"/>
    </row>
    <row r="202" spans="1:13">
      <c r="A202" s="55">
        <f t="shared" si="11"/>
        <v>1</v>
      </c>
      <c r="B202" s="239"/>
      <c r="C202" s="207"/>
      <c r="D202" s="208"/>
      <c r="E202" s="193"/>
      <c r="F202" s="193">
        <f t="shared" si="9"/>
        <v>0</v>
      </c>
      <c r="G202" t="str">
        <f>IF(IFERROR(IF(Str_TypeDonneesCpt3=Cpt_Index,Tab_Compteur_3[[#This Row],[Index]]-E201,Tab_Compteur_3[[#This Row],[Quantité]])/Tab_Compteur_3[[#This Row],[Delta Jour]],"")&lt;0,"",IFERROR(IF(Str_TypeDonneesCpt3=Cpt_Index,Tab_Compteur_3[[#This Row],[Index]]-E201,Tab_Compteur_3[[#This Row],[Quantité]])/Tab_Compteur_3[[#This Row],[Delta Jour]],""))</f>
        <v/>
      </c>
      <c r="H202" s="193" t="str">
        <f>IFERROR(Tab_Compteur_3[[#This Row],[Montant]]/Tab_Compteur_3[[#This Row],[Delta Jour]],"")</f>
        <v/>
      </c>
      <c r="I202" s="219" t="str">
        <f t="shared" si="10"/>
        <v/>
      </c>
      <c r="J202" s="216"/>
      <c r="K202" s="38"/>
      <c r="L202" s="38"/>
      <c r="M202" s="38"/>
    </row>
    <row r="203" spans="1:13">
      <c r="A203" s="55">
        <f t="shared" si="11"/>
        <v>1</v>
      </c>
      <c r="B203" s="239"/>
      <c r="C203" s="207"/>
      <c r="D203" s="208"/>
      <c r="E203" s="193"/>
      <c r="F203" s="193">
        <f t="shared" si="9"/>
        <v>0</v>
      </c>
      <c r="G203" t="str">
        <f>IF(IFERROR(IF(Str_TypeDonneesCpt3=Cpt_Index,Tab_Compteur_3[[#This Row],[Index]]-E202,Tab_Compteur_3[[#This Row],[Quantité]])/Tab_Compteur_3[[#This Row],[Delta Jour]],"")&lt;0,"",IFERROR(IF(Str_TypeDonneesCpt3=Cpt_Index,Tab_Compteur_3[[#This Row],[Index]]-E202,Tab_Compteur_3[[#This Row],[Quantité]])/Tab_Compteur_3[[#This Row],[Delta Jour]],""))</f>
        <v/>
      </c>
      <c r="H203" s="193" t="str">
        <f>IFERROR(Tab_Compteur_3[[#This Row],[Montant]]/Tab_Compteur_3[[#This Row],[Delta Jour]],"")</f>
        <v/>
      </c>
      <c r="I203" s="219" t="str">
        <f t="shared" si="10"/>
        <v/>
      </c>
      <c r="J203" s="216"/>
      <c r="K203" s="38"/>
      <c r="L203" s="38"/>
      <c r="M203" s="38"/>
    </row>
    <row r="204" spans="1:13">
      <c r="A204" s="55">
        <f t="shared" si="11"/>
        <v>1</v>
      </c>
      <c r="B204" s="239"/>
      <c r="C204" s="207"/>
      <c r="D204" s="208"/>
      <c r="E204" s="193"/>
      <c r="F204" s="193">
        <f t="shared" si="9"/>
        <v>0</v>
      </c>
      <c r="G204" t="str">
        <f>IF(IFERROR(IF(Str_TypeDonneesCpt3=Cpt_Index,Tab_Compteur_3[[#This Row],[Index]]-E203,Tab_Compteur_3[[#This Row],[Quantité]])/Tab_Compteur_3[[#This Row],[Delta Jour]],"")&lt;0,"",IFERROR(IF(Str_TypeDonneesCpt3=Cpt_Index,Tab_Compteur_3[[#This Row],[Index]]-E203,Tab_Compteur_3[[#This Row],[Quantité]])/Tab_Compteur_3[[#This Row],[Delta Jour]],""))</f>
        <v/>
      </c>
      <c r="H204" s="193" t="str">
        <f>IFERROR(Tab_Compteur_3[[#This Row],[Montant]]/Tab_Compteur_3[[#This Row],[Delta Jour]],"")</f>
        <v/>
      </c>
      <c r="I204" s="219" t="str">
        <f t="shared" si="10"/>
        <v/>
      </c>
      <c r="J204" s="216"/>
      <c r="K204" s="38"/>
      <c r="L204" s="38"/>
      <c r="M204" s="38"/>
    </row>
    <row r="205" spans="1:13">
      <c r="A205" s="55">
        <f t="shared" si="11"/>
        <v>1</v>
      </c>
      <c r="B205" s="239"/>
      <c r="C205" s="207"/>
      <c r="D205" s="208"/>
      <c r="E205" s="193"/>
      <c r="F205" s="193">
        <f t="shared" si="9"/>
        <v>0</v>
      </c>
      <c r="G205" t="str">
        <f>IF(IFERROR(IF(Str_TypeDonneesCpt3=Cpt_Index,Tab_Compteur_3[[#This Row],[Index]]-E204,Tab_Compteur_3[[#This Row],[Quantité]])/Tab_Compteur_3[[#This Row],[Delta Jour]],"")&lt;0,"",IFERROR(IF(Str_TypeDonneesCpt3=Cpt_Index,Tab_Compteur_3[[#This Row],[Index]]-E204,Tab_Compteur_3[[#This Row],[Quantité]])/Tab_Compteur_3[[#This Row],[Delta Jour]],""))</f>
        <v/>
      </c>
      <c r="H205" s="193" t="str">
        <f>IFERROR(Tab_Compteur_3[[#This Row],[Montant]]/Tab_Compteur_3[[#This Row],[Delta Jour]],"")</f>
        <v/>
      </c>
      <c r="I205" s="219" t="str">
        <f t="shared" si="10"/>
        <v/>
      </c>
      <c r="J205" s="216"/>
      <c r="K205" s="38"/>
      <c r="L205" s="38"/>
      <c r="M205" s="38"/>
    </row>
    <row r="206" spans="1:13">
      <c r="A206" s="55">
        <f t="shared" si="11"/>
        <v>1</v>
      </c>
      <c r="B206" s="239"/>
      <c r="C206" s="207"/>
      <c r="D206" s="208"/>
      <c r="E206" s="193"/>
      <c r="F206" s="193">
        <f t="shared" si="9"/>
        <v>0</v>
      </c>
      <c r="G206" t="str">
        <f>IF(IFERROR(IF(Str_TypeDonneesCpt3=Cpt_Index,Tab_Compteur_3[[#This Row],[Index]]-E205,Tab_Compteur_3[[#This Row],[Quantité]])/Tab_Compteur_3[[#This Row],[Delta Jour]],"")&lt;0,"",IFERROR(IF(Str_TypeDonneesCpt3=Cpt_Index,Tab_Compteur_3[[#This Row],[Index]]-E205,Tab_Compteur_3[[#This Row],[Quantité]])/Tab_Compteur_3[[#This Row],[Delta Jour]],""))</f>
        <v/>
      </c>
      <c r="H206" s="193" t="str">
        <f>IFERROR(Tab_Compteur_3[[#This Row],[Montant]]/Tab_Compteur_3[[#This Row],[Delta Jour]],"")</f>
        <v/>
      </c>
      <c r="I206" s="219" t="str">
        <f t="shared" si="10"/>
        <v/>
      </c>
      <c r="J206" s="216"/>
      <c r="K206" s="38"/>
      <c r="L206" s="38"/>
      <c r="M206" s="38"/>
    </row>
    <row r="207" spans="1:13">
      <c r="A207" s="55">
        <f t="shared" si="11"/>
        <v>1</v>
      </c>
      <c r="B207" s="239"/>
      <c r="C207" s="207"/>
      <c r="D207" s="208"/>
      <c r="E207" s="193"/>
      <c r="F207" s="193">
        <f t="shared" si="9"/>
        <v>0</v>
      </c>
      <c r="G207" t="str">
        <f>IF(IFERROR(IF(Str_TypeDonneesCpt3=Cpt_Index,Tab_Compteur_3[[#This Row],[Index]]-E206,Tab_Compteur_3[[#This Row],[Quantité]])/Tab_Compteur_3[[#This Row],[Delta Jour]],"")&lt;0,"",IFERROR(IF(Str_TypeDonneesCpt3=Cpt_Index,Tab_Compteur_3[[#This Row],[Index]]-E206,Tab_Compteur_3[[#This Row],[Quantité]])/Tab_Compteur_3[[#This Row],[Delta Jour]],""))</f>
        <v/>
      </c>
      <c r="H207" s="193" t="str">
        <f>IFERROR(Tab_Compteur_3[[#This Row],[Montant]]/Tab_Compteur_3[[#This Row],[Delta Jour]],"")</f>
        <v/>
      </c>
      <c r="I207" s="219" t="str">
        <f t="shared" si="10"/>
        <v/>
      </c>
      <c r="J207" s="216"/>
      <c r="K207" s="38"/>
      <c r="L207" s="38"/>
      <c r="M207" s="38"/>
    </row>
    <row r="208" spans="1:13">
      <c r="A208" s="55">
        <f t="shared" si="11"/>
        <v>1</v>
      </c>
      <c r="B208" s="239"/>
      <c r="C208" s="207"/>
      <c r="D208" s="208"/>
      <c r="E208" s="193"/>
      <c r="F208" s="193">
        <f t="shared" si="9"/>
        <v>0</v>
      </c>
      <c r="G208" t="str">
        <f>IF(IFERROR(IF(Str_TypeDonneesCpt3=Cpt_Index,Tab_Compteur_3[[#This Row],[Index]]-E207,Tab_Compteur_3[[#This Row],[Quantité]])/Tab_Compteur_3[[#This Row],[Delta Jour]],"")&lt;0,"",IFERROR(IF(Str_TypeDonneesCpt3=Cpt_Index,Tab_Compteur_3[[#This Row],[Index]]-E207,Tab_Compteur_3[[#This Row],[Quantité]])/Tab_Compteur_3[[#This Row],[Delta Jour]],""))</f>
        <v/>
      </c>
      <c r="H208" s="193" t="str">
        <f>IFERROR(Tab_Compteur_3[[#This Row],[Montant]]/Tab_Compteur_3[[#This Row],[Delta Jour]],"")</f>
        <v/>
      </c>
      <c r="I208" s="219" t="str">
        <f t="shared" si="10"/>
        <v/>
      </c>
      <c r="J208" s="216"/>
      <c r="K208" s="38"/>
      <c r="L208" s="38"/>
      <c r="M208" s="38"/>
    </row>
    <row r="209" spans="1:13">
      <c r="A209" s="55">
        <f t="shared" si="11"/>
        <v>1</v>
      </c>
      <c r="B209" s="239"/>
      <c r="C209" s="207"/>
      <c r="D209" s="208"/>
      <c r="E209" s="193"/>
      <c r="F209" s="193">
        <f t="shared" si="9"/>
        <v>0</v>
      </c>
      <c r="G209" t="str">
        <f>IF(IFERROR(IF(Str_TypeDonneesCpt3=Cpt_Index,Tab_Compteur_3[[#This Row],[Index]]-E208,Tab_Compteur_3[[#This Row],[Quantité]])/Tab_Compteur_3[[#This Row],[Delta Jour]],"")&lt;0,"",IFERROR(IF(Str_TypeDonneesCpt3=Cpt_Index,Tab_Compteur_3[[#This Row],[Index]]-E208,Tab_Compteur_3[[#This Row],[Quantité]])/Tab_Compteur_3[[#This Row],[Delta Jour]],""))</f>
        <v/>
      </c>
      <c r="H209" s="193" t="str">
        <f>IFERROR(Tab_Compteur_3[[#This Row],[Montant]]/Tab_Compteur_3[[#This Row],[Delta Jour]],"")</f>
        <v/>
      </c>
      <c r="I209" s="219" t="str">
        <f t="shared" si="10"/>
        <v/>
      </c>
      <c r="J209" s="216"/>
      <c r="K209" s="38"/>
      <c r="L209" s="38"/>
      <c r="M209" s="38"/>
    </row>
    <row r="210" spans="1:13">
      <c r="A210" s="55">
        <f t="shared" si="11"/>
        <v>1</v>
      </c>
      <c r="B210" s="239"/>
      <c r="C210" s="207"/>
      <c r="D210" s="208"/>
      <c r="E210" s="193"/>
      <c r="F210" s="193">
        <f t="shared" si="9"/>
        <v>0</v>
      </c>
      <c r="G210" t="str">
        <f>IF(IFERROR(IF(Str_TypeDonneesCpt3=Cpt_Index,Tab_Compteur_3[[#This Row],[Index]]-E209,Tab_Compteur_3[[#This Row],[Quantité]])/Tab_Compteur_3[[#This Row],[Delta Jour]],"")&lt;0,"",IFERROR(IF(Str_TypeDonneesCpt3=Cpt_Index,Tab_Compteur_3[[#This Row],[Index]]-E209,Tab_Compteur_3[[#This Row],[Quantité]])/Tab_Compteur_3[[#This Row],[Delta Jour]],""))</f>
        <v/>
      </c>
      <c r="H210" s="193" t="str">
        <f>IFERROR(Tab_Compteur_3[[#This Row],[Montant]]/Tab_Compteur_3[[#This Row],[Delta Jour]],"")</f>
        <v/>
      </c>
      <c r="I210" s="219" t="str">
        <f t="shared" si="10"/>
        <v/>
      </c>
      <c r="J210" s="216"/>
      <c r="K210" s="38"/>
      <c r="L210" s="38"/>
      <c r="M210" s="38"/>
    </row>
    <row r="211" spans="1:13">
      <c r="A211" s="55">
        <f t="shared" si="11"/>
        <v>1</v>
      </c>
      <c r="B211" s="239"/>
      <c r="C211" s="207"/>
      <c r="D211" s="208"/>
      <c r="E211" s="193"/>
      <c r="F211" s="193">
        <f t="shared" si="9"/>
        <v>0</v>
      </c>
      <c r="G211" t="str">
        <f>IF(IFERROR(IF(Str_TypeDonneesCpt3=Cpt_Index,Tab_Compteur_3[[#This Row],[Index]]-E210,Tab_Compteur_3[[#This Row],[Quantité]])/Tab_Compteur_3[[#This Row],[Delta Jour]],"")&lt;0,"",IFERROR(IF(Str_TypeDonneesCpt3=Cpt_Index,Tab_Compteur_3[[#This Row],[Index]]-E210,Tab_Compteur_3[[#This Row],[Quantité]])/Tab_Compteur_3[[#This Row],[Delta Jour]],""))</f>
        <v/>
      </c>
      <c r="H211" s="193" t="str">
        <f>IFERROR(Tab_Compteur_3[[#This Row],[Montant]]/Tab_Compteur_3[[#This Row],[Delta Jour]],"")</f>
        <v/>
      </c>
      <c r="I211" s="219" t="str">
        <f t="shared" si="10"/>
        <v/>
      </c>
      <c r="J211" s="216"/>
      <c r="K211" s="38"/>
      <c r="L211" s="38"/>
      <c r="M211" s="38"/>
    </row>
    <row r="212" spans="1:13">
      <c r="A212" s="55">
        <f t="shared" si="11"/>
        <v>1</v>
      </c>
      <c r="B212" s="239"/>
      <c r="C212" s="207"/>
      <c r="D212" s="208"/>
      <c r="E212" s="193"/>
      <c r="F212" s="193">
        <f t="shared" si="9"/>
        <v>0</v>
      </c>
      <c r="G212" t="str">
        <f>IF(IFERROR(IF(Str_TypeDonneesCpt3=Cpt_Index,Tab_Compteur_3[[#This Row],[Index]]-E211,Tab_Compteur_3[[#This Row],[Quantité]])/Tab_Compteur_3[[#This Row],[Delta Jour]],"")&lt;0,"",IFERROR(IF(Str_TypeDonneesCpt3=Cpt_Index,Tab_Compteur_3[[#This Row],[Index]]-E211,Tab_Compteur_3[[#This Row],[Quantité]])/Tab_Compteur_3[[#This Row],[Delta Jour]],""))</f>
        <v/>
      </c>
      <c r="H212" s="193" t="str">
        <f>IFERROR(Tab_Compteur_3[[#This Row],[Montant]]/Tab_Compteur_3[[#This Row],[Delta Jour]],"")</f>
        <v/>
      </c>
      <c r="I212" s="219" t="str">
        <f t="shared" si="10"/>
        <v/>
      </c>
      <c r="J212" s="216"/>
      <c r="K212" s="38"/>
      <c r="L212" s="38"/>
      <c r="M212" s="38"/>
    </row>
    <row r="213" spans="1:13">
      <c r="A213" s="55">
        <f t="shared" si="11"/>
        <v>1</v>
      </c>
      <c r="B213" s="239"/>
      <c r="C213" s="207"/>
      <c r="D213" s="208"/>
      <c r="E213" s="193"/>
      <c r="F213" s="193">
        <f t="shared" si="9"/>
        <v>0</v>
      </c>
      <c r="G213" t="str">
        <f>IF(IFERROR(IF(Str_TypeDonneesCpt3=Cpt_Index,Tab_Compteur_3[[#This Row],[Index]]-E212,Tab_Compteur_3[[#This Row],[Quantité]])/Tab_Compteur_3[[#This Row],[Delta Jour]],"")&lt;0,"",IFERROR(IF(Str_TypeDonneesCpt3=Cpt_Index,Tab_Compteur_3[[#This Row],[Index]]-E212,Tab_Compteur_3[[#This Row],[Quantité]])/Tab_Compteur_3[[#This Row],[Delta Jour]],""))</f>
        <v/>
      </c>
      <c r="H213" s="193" t="str">
        <f>IFERROR(Tab_Compteur_3[[#This Row],[Montant]]/Tab_Compteur_3[[#This Row],[Delta Jour]],"")</f>
        <v/>
      </c>
      <c r="I213" s="219" t="str">
        <f t="shared" si="10"/>
        <v/>
      </c>
      <c r="J213" s="216"/>
      <c r="K213" s="38"/>
      <c r="L213" s="38"/>
      <c r="M213" s="38"/>
    </row>
    <row r="214" spans="1:13">
      <c r="A214" s="55">
        <f t="shared" si="11"/>
        <v>1</v>
      </c>
      <c r="B214" s="239"/>
      <c r="C214" s="207"/>
      <c r="D214" s="208"/>
      <c r="E214" s="193"/>
      <c r="F214" s="193">
        <f t="shared" si="9"/>
        <v>0</v>
      </c>
      <c r="G214" t="str">
        <f>IF(IFERROR(IF(Str_TypeDonneesCpt3=Cpt_Index,Tab_Compteur_3[[#This Row],[Index]]-E213,Tab_Compteur_3[[#This Row],[Quantité]])/Tab_Compteur_3[[#This Row],[Delta Jour]],"")&lt;0,"",IFERROR(IF(Str_TypeDonneesCpt3=Cpt_Index,Tab_Compteur_3[[#This Row],[Index]]-E213,Tab_Compteur_3[[#This Row],[Quantité]])/Tab_Compteur_3[[#This Row],[Delta Jour]],""))</f>
        <v/>
      </c>
      <c r="H214" s="193" t="str">
        <f>IFERROR(Tab_Compteur_3[[#This Row],[Montant]]/Tab_Compteur_3[[#This Row],[Delta Jour]],"")</f>
        <v/>
      </c>
      <c r="I214" s="219" t="str">
        <f t="shared" si="10"/>
        <v/>
      </c>
      <c r="J214" s="216"/>
      <c r="K214" s="38"/>
      <c r="L214" s="38"/>
      <c r="M214" s="38"/>
    </row>
    <row r="215" spans="1:13">
      <c r="A215" s="55">
        <f t="shared" si="11"/>
        <v>1</v>
      </c>
      <c r="B215" s="239"/>
      <c r="C215" s="207"/>
      <c r="D215" s="208"/>
      <c r="E215" s="193"/>
      <c r="F215" s="193">
        <f t="shared" si="9"/>
        <v>0</v>
      </c>
      <c r="G215" t="str">
        <f>IF(IFERROR(IF(Str_TypeDonneesCpt3=Cpt_Index,Tab_Compteur_3[[#This Row],[Index]]-E214,Tab_Compteur_3[[#This Row],[Quantité]])/Tab_Compteur_3[[#This Row],[Delta Jour]],"")&lt;0,"",IFERROR(IF(Str_TypeDonneesCpt3=Cpt_Index,Tab_Compteur_3[[#This Row],[Index]]-E214,Tab_Compteur_3[[#This Row],[Quantité]])/Tab_Compteur_3[[#This Row],[Delta Jour]],""))</f>
        <v/>
      </c>
      <c r="H215" s="193" t="str">
        <f>IFERROR(Tab_Compteur_3[[#This Row],[Montant]]/Tab_Compteur_3[[#This Row],[Delta Jour]],"")</f>
        <v/>
      </c>
      <c r="I215" s="219" t="str">
        <f t="shared" si="10"/>
        <v/>
      </c>
      <c r="J215" s="216"/>
      <c r="K215" s="38"/>
      <c r="L215" s="38"/>
      <c r="M215" s="38"/>
    </row>
    <row r="216" spans="1:13">
      <c r="A216" s="55">
        <f t="shared" si="11"/>
        <v>1</v>
      </c>
      <c r="B216" s="239"/>
      <c r="C216" s="207"/>
      <c r="D216" s="208"/>
      <c r="E216" s="193"/>
      <c r="F216" s="193">
        <f t="shared" si="9"/>
        <v>0</v>
      </c>
      <c r="G216" t="str">
        <f>IF(IFERROR(IF(Str_TypeDonneesCpt3=Cpt_Index,Tab_Compteur_3[[#This Row],[Index]]-E215,Tab_Compteur_3[[#This Row],[Quantité]])/Tab_Compteur_3[[#This Row],[Delta Jour]],"")&lt;0,"",IFERROR(IF(Str_TypeDonneesCpt3=Cpt_Index,Tab_Compteur_3[[#This Row],[Index]]-E215,Tab_Compteur_3[[#This Row],[Quantité]])/Tab_Compteur_3[[#This Row],[Delta Jour]],""))</f>
        <v/>
      </c>
      <c r="H216" s="193" t="str">
        <f>IFERROR(Tab_Compteur_3[[#This Row],[Montant]]/Tab_Compteur_3[[#This Row],[Delta Jour]],"")</f>
        <v/>
      </c>
      <c r="I216" s="219" t="str">
        <f t="shared" si="10"/>
        <v/>
      </c>
      <c r="J216" s="216"/>
      <c r="K216" s="38"/>
      <c r="L216" s="38"/>
      <c r="M216" s="38"/>
    </row>
    <row r="217" spans="1:13">
      <c r="A217" s="55">
        <f t="shared" si="11"/>
        <v>1</v>
      </c>
      <c r="B217" s="239"/>
      <c r="C217" s="207"/>
      <c r="D217" s="208"/>
      <c r="E217" s="193"/>
      <c r="F217" s="193">
        <f t="shared" si="9"/>
        <v>0</v>
      </c>
      <c r="G217" t="str">
        <f>IF(IFERROR(IF(Str_TypeDonneesCpt3=Cpt_Index,Tab_Compteur_3[[#This Row],[Index]]-E216,Tab_Compteur_3[[#This Row],[Quantité]])/Tab_Compteur_3[[#This Row],[Delta Jour]],"")&lt;0,"",IFERROR(IF(Str_TypeDonneesCpt3=Cpt_Index,Tab_Compteur_3[[#This Row],[Index]]-E216,Tab_Compteur_3[[#This Row],[Quantité]])/Tab_Compteur_3[[#This Row],[Delta Jour]],""))</f>
        <v/>
      </c>
      <c r="H217" s="193" t="str">
        <f>IFERROR(Tab_Compteur_3[[#This Row],[Montant]]/Tab_Compteur_3[[#This Row],[Delta Jour]],"")</f>
        <v/>
      </c>
      <c r="I217" s="219" t="str">
        <f t="shared" si="10"/>
        <v/>
      </c>
      <c r="J217" s="216"/>
      <c r="K217" s="38"/>
      <c r="L217" s="38"/>
      <c r="M217" s="38"/>
    </row>
    <row r="218" spans="1:13">
      <c r="A218" s="55">
        <f t="shared" si="11"/>
        <v>1</v>
      </c>
      <c r="B218" s="239"/>
      <c r="C218" s="207"/>
      <c r="D218" s="208"/>
      <c r="E218" s="193"/>
      <c r="F218" s="193">
        <f t="shared" si="9"/>
        <v>0</v>
      </c>
      <c r="G218" t="str">
        <f>IF(IFERROR(IF(Str_TypeDonneesCpt3=Cpt_Index,Tab_Compteur_3[[#This Row],[Index]]-E217,Tab_Compteur_3[[#This Row],[Quantité]])/Tab_Compteur_3[[#This Row],[Delta Jour]],"")&lt;0,"",IFERROR(IF(Str_TypeDonneesCpt3=Cpt_Index,Tab_Compteur_3[[#This Row],[Index]]-E217,Tab_Compteur_3[[#This Row],[Quantité]])/Tab_Compteur_3[[#This Row],[Delta Jour]],""))</f>
        <v/>
      </c>
      <c r="H218" s="193" t="str">
        <f>IFERROR(Tab_Compteur_3[[#This Row],[Montant]]/Tab_Compteur_3[[#This Row],[Delta Jour]],"")</f>
        <v/>
      </c>
      <c r="I218" s="219" t="str">
        <f t="shared" si="10"/>
        <v/>
      </c>
      <c r="J218" s="216"/>
      <c r="K218" s="38"/>
      <c r="L218" s="38"/>
      <c r="M218" s="38"/>
    </row>
    <row r="219" spans="1:13">
      <c r="A219" s="55">
        <f t="shared" si="11"/>
        <v>1</v>
      </c>
      <c r="B219" s="239"/>
      <c r="C219" s="207"/>
      <c r="D219" s="208"/>
      <c r="E219" s="193"/>
      <c r="F219" s="193">
        <f t="shared" si="9"/>
        <v>0</v>
      </c>
      <c r="G219" t="str">
        <f>IF(IFERROR(IF(Str_TypeDonneesCpt3=Cpt_Index,Tab_Compteur_3[[#This Row],[Index]]-E218,Tab_Compteur_3[[#This Row],[Quantité]])/Tab_Compteur_3[[#This Row],[Delta Jour]],"")&lt;0,"",IFERROR(IF(Str_TypeDonneesCpt3=Cpt_Index,Tab_Compteur_3[[#This Row],[Index]]-E218,Tab_Compteur_3[[#This Row],[Quantité]])/Tab_Compteur_3[[#This Row],[Delta Jour]],""))</f>
        <v/>
      </c>
      <c r="H219" s="193" t="str">
        <f>IFERROR(Tab_Compteur_3[[#This Row],[Montant]]/Tab_Compteur_3[[#This Row],[Delta Jour]],"")</f>
        <v/>
      </c>
      <c r="I219" s="219" t="str">
        <f t="shared" si="10"/>
        <v/>
      </c>
      <c r="J219" s="216"/>
      <c r="K219" s="38"/>
      <c r="L219" s="38"/>
      <c r="M219" s="38"/>
    </row>
    <row r="220" spans="1:13">
      <c r="A220" s="55">
        <f t="shared" si="11"/>
        <v>1</v>
      </c>
      <c r="B220" s="239"/>
      <c r="C220" s="207"/>
      <c r="D220" s="208"/>
      <c r="E220" s="193"/>
      <c r="F220" s="193">
        <f t="shared" si="9"/>
        <v>0</v>
      </c>
      <c r="G220" t="str">
        <f>IF(IFERROR(IF(Str_TypeDonneesCpt3=Cpt_Index,Tab_Compteur_3[[#This Row],[Index]]-E219,Tab_Compteur_3[[#This Row],[Quantité]])/Tab_Compteur_3[[#This Row],[Delta Jour]],"")&lt;0,"",IFERROR(IF(Str_TypeDonneesCpt3=Cpt_Index,Tab_Compteur_3[[#This Row],[Index]]-E219,Tab_Compteur_3[[#This Row],[Quantité]])/Tab_Compteur_3[[#This Row],[Delta Jour]],""))</f>
        <v/>
      </c>
      <c r="H220" s="193" t="str">
        <f>IFERROR(Tab_Compteur_3[[#This Row],[Montant]]/Tab_Compteur_3[[#This Row],[Delta Jour]],"")</f>
        <v/>
      </c>
      <c r="I220" s="219" t="str">
        <f t="shared" si="10"/>
        <v/>
      </c>
      <c r="J220" s="216"/>
      <c r="K220" s="38"/>
      <c r="L220" s="38"/>
      <c r="M220" s="38"/>
    </row>
    <row r="221" spans="1:13">
      <c r="A221" s="55">
        <f t="shared" si="11"/>
        <v>1</v>
      </c>
      <c r="B221" s="239"/>
      <c r="C221" s="207"/>
      <c r="D221" s="208"/>
      <c r="E221" s="193"/>
      <c r="F221" s="193">
        <f t="shared" si="9"/>
        <v>0</v>
      </c>
      <c r="G221" t="str">
        <f>IF(IFERROR(IF(Str_TypeDonneesCpt3=Cpt_Index,Tab_Compteur_3[[#This Row],[Index]]-E220,Tab_Compteur_3[[#This Row],[Quantité]])/Tab_Compteur_3[[#This Row],[Delta Jour]],"")&lt;0,"",IFERROR(IF(Str_TypeDonneesCpt3=Cpt_Index,Tab_Compteur_3[[#This Row],[Index]]-E220,Tab_Compteur_3[[#This Row],[Quantité]])/Tab_Compteur_3[[#This Row],[Delta Jour]],""))</f>
        <v/>
      </c>
      <c r="H221" s="193" t="str">
        <f>IFERROR(Tab_Compteur_3[[#This Row],[Montant]]/Tab_Compteur_3[[#This Row],[Delta Jour]],"")</f>
        <v/>
      </c>
      <c r="I221" s="219" t="str">
        <f t="shared" si="10"/>
        <v/>
      </c>
      <c r="J221" s="216"/>
      <c r="K221" s="38"/>
      <c r="L221" s="38"/>
      <c r="M221" s="38"/>
    </row>
    <row r="222" spans="1:13">
      <c r="A222" s="55">
        <f t="shared" si="11"/>
        <v>1</v>
      </c>
      <c r="B222" s="239"/>
      <c r="C222" s="207"/>
      <c r="D222" s="208"/>
      <c r="E222" s="193"/>
      <c r="F222" s="193">
        <f t="shared" si="9"/>
        <v>0</v>
      </c>
      <c r="G222" t="str">
        <f>IF(IFERROR(IF(Str_TypeDonneesCpt3=Cpt_Index,Tab_Compteur_3[[#This Row],[Index]]-E221,Tab_Compteur_3[[#This Row],[Quantité]])/Tab_Compteur_3[[#This Row],[Delta Jour]],"")&lt;0,"",IFERROR(IF(Str_TypeDonneesCpt3=Cpt_Index,Tab_Compteur_3[[#This Row],[Index]]-E221,Tab_Compteur_3[[#This Row],[Quantité]])/Tab_Compteur_3[[#This Row],[Delta Jour]],""))</f>
        <v/>
      </c>
      <c r="H222" s="193" t="str">
        <f>IFERROR(Tab_Compteur_3[[#This Row],[Montant]]/Tab_Compteur_3[[#This Row],[Delta Jour]],"")</f>
        <v/>
      </c>
      <c r="I222" s="219" t="str">
        <f t="shared" si="10"/>
        <v/>
      </c>
      <c r="J222" s="216"/>
      <c r="K222" s="38"/>
      <c r="L222" s="38"/>
      <c r="M222" s="38"/>
    </row>
    <row r="223" spans="1:13">
      <c r="A223" s="55">
        <f t="shared" si="11"/>
        <v>1</v>
      </c>
      <c r="B223" s="239"/>
      <c r="C223" s="207"/>
      <c r="D223" s="208"/>
      <c r="E223" s="193"/>
      <c r="F223" s="193">
        <f t="shared" si="9"/>
        <v>0</v>
      </c>
      <c r="G223" t="str">
        <f>IF(IFERROR(IF(Str_TypeDonneesCpt3=Cpt_Index,Tab_Compteur_3[[#This Row],[Index]]-E222,Tab_Compteur_3[[#This Row],[Quantité]])/Tab_Compteur_3[[#This Row],[Delta Jour]],"")&lt;0,"",IFERROR(IF(Str_TypeDonneesCpt3=Cpt_Index,Tab_Compteur_3[[#This Row],[Index]]-E222,Tab_Compteur_3[[#This Row],[Quantité]])/Tab_Compteur_3[[#This Row],[Delta Jour]],""))</f>
        <v/>
      </c>
      <c r="H223" s="193" t="str">
        <f>IFERROR(Tab_Compteur_3[[#This Row],[Montant]]/Tab_Compteur_3[[#This Row],[Delta Jour]],"")</f>
        <v/>
      </c>
      <c r="I223" s="219" t="str">
        <f t="shared" si="10"/>
        <v/>
      </c>
      <c r="J223" s="216"/>
      <c r="K223" s="38"/>
      <c r="L223" s="38"/>
      <c r="M223" s="38"/>
    </row>
    <row r="224" spans="1:13">
      <c r="A224" s="55">
        <f t="shared" si="11"/>
        <v>1</v>
      </c>
      <c r="B224" s="239"/>
      <c r="C224" s="207"/>
      <c r="D224" s="208"/>
      <c r="E224" s="193"/>
      <c r="F224" s="193">
        <f t="shared" si="9"/>
        <v>0</v>
      </c>
      <c r="G224" t="str">
        <f>IF(IFERROR(IF(Str_TypeDonneesCpt3=Cpt_Index,Tab_Compteur_3[[#This Row],[Index]]-E223,Tab_Compteur_3[[#This Row],[Quantité]])/Tab_Compteur_3[[#This Row],[Delta Jour]],"")&lt;0,"",IFERROR(IF(Str_TypeDonneesCpt3=Cpt_Index,Tab_Compteur_3[[#This Row],[Index]]-E223,Tab_Compteur_3[[#This Row],[Quantité]])/Tab_Compteur_3[[#This Row],[Delta Jour]],""))</f>
        <v/>
      </c>
      <c r="H224" s="193" t="str">
        <f>IFERROR(Tab_Compteur_3[[#This Row],[Montant]]/Tab_Compteur_3[[#This Row],[Delta Jour]],"")</f>
        <v/>
      </c>
      <c r="I224" s="219" t="str">
        <f t="shared" si="10"/>
        <v/>
      </c>
      <c r="J224" s="216"/>
      <c r="K224" s="38"/>
      <c r="L224" s="38"/>
      <c r="M224" s="38"/>
    </row>
    <row r="225" spans="1:13">
      <c r="A225" s="55">
        <f t="shared" si="11"/>
        <v>1</v>
      </c>
      <c r="B225" s="239"/>
      <c r="C225" s="207"/>
      <c r="D225" s="208"/>
      <c r="E225" s="193"/>
      <c r="F225" s="193">
        <f t="shared" si="9"/>
        <v>0</v>
      </c>
      <c r="G225" t="str">
        <f>IF(IFERROR(IF(Str_TypeDonneesCpt3=Cpt_Index,Tab_Compteur_3[[#This Row],[Index]]-E224,Tab_Compteur_3[[#This Row],[Quantité]])/Tab_Compteur_3[[#This Row],[Delta Jour]],"")&lt;0,"",IFERROR(IF(Str_TypeDonneesCpt3=Cpt_Index,Tab_Compteur_3[[#This Row],[Index]]-E224,Tab_Compteur_3[[#This Row],[Quantité]])/Tab_Compteur_3[[#This Row],[Delta Jour]],""))</f>
        <v/>
      </c>
      <c r="H225" s="193" t="str">
        <f>IFERROR(Tab_Compteur_3[[#This Row],[Montant]]/Tab_Compteur_3[[#This Row],[Delta Jour]],"")</f>
        <v/>
      </c>
      <c r="I225" s="219" t="str">
        <f t="shared" si="10"/>
        <v/>
      </c>
      <c r="J225" s="216"/>
      <c r="K225" s="38"/>
      <c r="L225" s="38"/>
      <c r="M225" s="38"/>
    </row>
    <row r="226" spans="1:13">
      <c r="A226" s="55">
        <f t="shared" si="11"/>
        <v>1</v>
      </c>
      <c r="B226" s="239"/>
      <c r="C226" s="207"/>
      <c r="D226" s="208"/>
      <c r="E226" s="193"/>
      <c r="F226" s="193">
        <f t="shared" si="9"/>
        <v>0</v>
      </c>
      <c r="G226" t="str">
        <f>IF(IFERROR(IF(Str_TypeDonneesCpt3=Cpt_Index,Tab_Compteur_3[[#This Row],[Index]]-E225,Tab_Compteur_3[[#This Row],[Quantité]])/Tab_Compteur_3[[#This Row],[Delta Jour]],"")&lt;0,"",IFERROR(IF(Str_TypeDonneesCpt3=Cpt_Index,Tab_Compteur_3[[#This Row],[Index]]-E225,Tab_Compteur_3[[#This Row],[Quantité]])/Tab_Compteur_3[[#This Row],[Delta Jour]],""))</f>
        <v/>
      </c>
      <c r="H226" s="193" t="str">
        <f>IFERROR(Tab_Compteur_3[[#This Row],[Montant]]/Tab_Compteur_3[[#This Row],[Delta Jour]],"")</f>
        <v/>
      </c>
      <c r="I226" s="219" t="str">
        <f t="shared" si="10"/>
        <v/>
      </c>
      <c r="J226" s="216"/>
      <c r="K226" s="38"/>
      <c r="L226" s="38"/>
      <c r="M226" s="38"/>
    </row>
    <row r="227" spans="1:13">
      <c r="A227" s="55">
        <f t="shared" si="11"/>
        <v>1</v>
      </c>
      <c r="B227" s="239"/>
      <c r="C227" s="207"/>
      <c r="D227" s="208"/>
      <c r="E227" s="193"/>
      <c r="F227" s="193">
        <f t="shared" si="9"/>
        <v>0</v>
      </c>
      <c r="G227" t="str">
        <f>IF(IFERROR(IF(Str_TypeDonneesCpt3=Cpt_Index,Tab_Compteur_3[[#This Row],[Index]]-E226,Tab_Compteur_3[[#This Row],[Quantité]])/Tab_Compteur_3[[#This Row],[Delta Jour]],"")&lt;0,"",IFERROR(IF(Str_TypeDonneesCpt3=Cpt_Index,Tab_Compteur_3[[#This Row],[Index]]-E226,Tab_Compteur_3[[#This Row],[Quantité]])/Tab_Compteur_3[[#This Row],[Delta Jour]],""))</f>
        <v/>
      </c>
      <c r="H227" s="193" t="str">
        <f>IFERROR(Tab_Compteur_3[[#This Row],[Montant]]/Tab_Compteur_3[[#This Row],[Delta Jour]],"")</f>
        <v/>
      </c>
      <c r="I227" s="219" t="str">
        <f t="shared" si="10"/>
        <v/>
      </c>
      <c r="J227" s="216"/>
      <c r="K227" s="38"/>
      <c r="L227" s="38"/>
      <c r="M227" s="38"/>
    </row>
    <row r="228" spans="1:13">
      <c r="A228" s="55">
        <f t="shared" si="11"/>
        <v>1</v>
      </c>
      <c r="B228" s="239"/>
      <c r="C228" s="207"/>
      <c r="D228" s="208"/>
      <c r="E228" s="193"/>
      <c r="F228" s="193">
        <f t="shared" si="9"/>
        <v>0</v>
      </c>
      <c r="G228" t="str">
        <f>IF(IFERROR(IF(Str_TypeDonneesCpt3=Cpt_Index,Tab_Compteur_3[[#This Row],[Index]]-E227,Tab_Compteur_3[[#This Row],[Quantité]])/Tab_Compteur_3[[#This Row],[Delta Jour]],"")&lt;0,"",IFERROR(IF(Str_TypeDonneesCpt3=Cpt_Index,Tab_Compteur_3[[#This Row],[Index]]-E227,Tab_Compteur_3[[#This Row],[Quantité]])/Tab_Compteur_3[[#This Row],[Delta Jour]],""))</f>
        <v/>
      </c>
      <c r="H228" s="193" t="str">
        <f>IFERROR(Tab_Compteur_3[[#This Row],[Montant]]/Tab_Compteur_3[[#This Row],[Delta Jour]],"")</f>
        <v/>
      </c>
      <c r="I228" s="219" t="str">
        <f t="shared" si="10"/>
        <v/>
      </c>
      <c r="J228" s="216"/>
      <c r="K228" s="38"/>
      <c r="L228" s="38"/>
      <c r="M228" s="38"/>
    </row>
    <row r="229" spans="1:13">
      <c r="A229" s="55">
        <f t="shared" si="11"/>
        <v>1</v>
      </c>
      <c r="B229" s="239"/>
      <c r="C229" s="207"/>
      <c r="D229" s="208"/>
      <c r="E229" s="193"/>
      <c r="F229" s="193">
        <f t="shared" si="9"/>
        <v>0</v>
      </c>
      <c r="G229" t="str">
        <f>IF(IFERROR(IF(Str_TypeDonneesCpt3=Cpt_Index,Tab_Compteur_3[[#This Row],[Index]]-E228,Tab_Compteur_3[[#This Row],[Quantité]])/Tab_Compteur_3[[#This Row],[Delta Jour]],"")&lt;0,"",IFERROR(IF(Str_TypeDonneesCpt3=Cpt_Index,Tab_Compteur_3[[#This Row],[Index]]-E228,Tab_Compteur_3[[#This Row],[Quantité]])/Tab_Compteur_3[[#This Row],[Delta Jour]],""))</f>
        <v/>
      </c>
      <c r="H229" s="193" t="str">
        <f>IFERROR(Tab_Compteur_3[[#This Row],[Montant]]/Tab_Compteur_3[[#This Row],[Delta Jour]],"")</f>
        <v/>
      </c>
      <c r="I229" s="219" t="str">
        <f t="shared" si="10"/>
        <v/>
      </c>
      <c r="J229" s="216"/>
      <c r="K229" s="38"/>
      <c r="L229" s="38"/>
      <c r="M229" s="38"/>
    </row>
    <row r="230" spans="1:13">
      <c r="A230" s="55">
        <f t="shared" si="11"/>
        <v>1</v>
      </c>
      <c r="B230" s="239"/>
      <c r="C230" s="207"/>
      <c r="D230" s="208"/>
      <c r="E230" s="193"/>
      <c r="F230" s="193">
        <f t="shared" si="9"/>
        <v>0</v>
      </c>
      <c r="G230" t="str">
        <f>IF(IFERROR(IF(Str_TypeDonneesCpt3=Cpt_Index,Tab_Compteur_3[[#This Row],[Index]]-E229,Tab_Compteur_3[[#This Row],[Quantité]])/Tab_Compteur_3[[#This Row],[Delta Jour]],"")&lt;0,"",IFERROR(IF(Str_TypeDonneesCpt3=Cpt_Index,Tab_Compteur_3[[#This Row],[Index]]-E229,Tab_Compteur_3[[#This Row],[Quantité]])/Tab_Compteur_3[[#This Row],[Delta Jour]],""))</f>
        <v/>
      </c>
      <c r="H230" s="193" t="str">
        <f>IFERROR(Tab_Compteur_3[[#This Row],[Montant]]/Tab_Compteur_3[[#This Row],[Delta Jour]],"")</f>
        <v/>
      </c>
      <c r="I230" s="219" t="str">
        <f t="shared" si="10"/>
        <v/>
      </c>
      <c r="J230" s="216"/>
      <c r="K230" s="38"/>
      <c r="L230" s="38"/>
      <c r="M230" s="38"/>
    </row>
    <row r="231" spans="1:13">
      <c r="A231" s="55">
        <f t="shared" si="11"/>
        <v>1</v>
      </c>
      <c r="B231" s="239"/>
      <c r="C231" s="207"/>
      <c r="D231" s="208"/>
      <c r="E231" s="193"/>
      <c r="F231" s="193">
        <f t="shared" si="9"/>
        <v>0</v>
      </c>
      <c r="G231" t="str">
        <f>IF(IFERROR(IF(Str_TypeDonneesCpt3=Cpt_Index,Tab_Compteur_3[[#This Row],[Index]]-E230,Tab_Compteur_3[[#This Row],[Quantité]])/Tab_Compteur_3[[#This Row],[Delta Jour]],"")&lt;0,"",IFERROR(IF(Str_TypeDonneesCpt3=Cpt_Index,Tab_Compteur_3[[#This Row],[Index]]-E230,Tab_Compteur_3[[#This Row],[Quantité]])/Tab_Compteur_3[[#This Row],[Delta Jour]],""))</f>
        <v/>
      </c>
      <c r="H231" s="193" t="str">
        <f>IFERROR(Tab_Compteur_3[[#This Row],[Montant]]/Tab_Compteur_3[[#This Row],[Delta Jour]],"")</f>
        <v/>
      </c>
      <c r="I231" s="219" t="str">
        <f t="shared" si="10"/>
        <v/>
      </c>
      <c r="J231" s="216"/>
      <c r="K231" s="38"/>
      <c r="L231" s="38"/>
      <c r="M231" s="38"/>
    </row>
    <row r="232" spans="1:13">
      <c r="A232" s="55">
        <f t="shared" si="11"/>
        <v>1</v>
      </c>
      <c r="B232" s="239"/>
      <c r="C232" s="207"/>
      <c r="D232" s="208"/>
      <c r="E232" s="193"/>
      <c r="F232" s="193">
        <f t="shared" si="9"/>
        <v>0</v>
      </c>
      <c r="G232" t="str">
        <f>IF(IFERROR(IF(Str_TypeDonneesCpt3=Cpt_Index,Tab_Compteur_3[[#This Row],[Index]]-E231,Tab_Compteur_3[[#This Row],[Quantité]])/Tab_Compteur_3[[#This Row],[Delta Jour]],"")&lt;0,"",IFERROR(IF(Str_TypeDonneesCpt3=Cpt_Index,Tab_Compteur_3[[#This Row],[Index]]-E231,Tab_Compteur_3[[#This Row],[Quantité]])/Tab_Compteur_3[[#This Row],[Delta Jour]],""))</f>
        <v/>
      </c>
      <c r="H232" s="193" t="str">
        <f>IFERROR(Tab_Compteur_3[[#This Row],[Montant]]/Tab_Compteur_3[[#This Row],[Delta Jour]],"")</f>
        <v/>
      </c>
      <c r="I232" s="219" t="str">
        <f t="shared" si="10"/>
        <v/>
      </c>
      <c r="J232" s="216"/>
      <c r="K232" s="38"/>
      <c r="L232" s="38"/>
      <c r="M232" s="38"/>
    </row>
    <row r="233" spans="1:13">
      <c r="A233" s="55">
        <f t="shared" si="11"/>
        <v>1</v>
      </c>
      <c r="B233" s="239"/>
      <c r="C233" s="207"/>
      <c r="D233" s="208"/>
      <c r="E233" s="193"/>
      <c r="F233" s="193">
        <f t="shared" si="9"/>
        <v>0</v>
      </c>
      <c r="G233" t="str">
        <f>IF(IFERROR(IF(Str_TypeDonneesCpt3=Cpt_Index,Tab_Compteur_3[[#This Row],[Index]]-E232,Tab_Compteur_3[[#This Row],[Quantité]])/Tab_Compteur_3[[#This Row],[Delta Jour]],"")&lt;0,"",IFERROR(IF(Str_TypeDonneesCpt3=Cpt_Index,Tab_Compteur_3[[#This Row],[Index]]-E232,Tab_Compteur_3[[#This Row],[Quantité]])/Tab_Compteur_3[[#This Row],[Delta Jour]],""))</f>
        <v/>
      </c>
      <c r="H233" s="193" t="str">
        <f>IFERROR(Tab_Compteur_3[[#This Row],[Montant]]/Tab_Compteur_3[[#This Row],[Delta Jour]],"")</f>
        <v/>
      </c>
      <c r="I233" s="219" t="str">
        <f t="shared" si="10"/>
        <v/>
      </c>
      <c r="J233" s="216"/>
      <c r="K233" s="38"/>
      <c r="L233" s="38"/>
      <c r="M233" s="38"/>
    </row>
    <row r="234" spans="1:13">
      <c r="A234" s="55">
        <f t="shared" si="11"/>
        <v>1</v>
      </c>
      <c r="B234" s="239"/>
      <c r="C234" s="207"/>
      <c r="D234" s="208"/>
      <c r="E234" s="193"/>
      <c r="F234" s="193">
        <f t="shared" si="9"/>
        <v>0</v>
      </c>
      <c r="G234" t="str">
        <f>IF(IFERROR(IF(Str_TypeDonneesCpt3=Cpt_Index,Tab_Compteur_3[[#This Row],[Index]]-E233,Tab_Compteur_3[[#This Row],[Quantité]])/Tab_Compteur_3[[#This Row],[Delta Jour]],"")&lt;0,"",IFERROR(IF(Str_TypeDonneesCpt3=Cpt_Index,Tab_Compteur_3[[#This Row],[Index]]-E233,Tab_Compteur_3[[#This Row],[Quantité]])/Tab_Compteur_3[[#This Row],[Delta Jour]],""))</f>
        <v/>
      </c>
      <c r="H234" s="193" t="str">
        <f>IFERROR(Tab_Compteur_3[[#This Row],[Montant]]/Tab_Compteur_3[[#This Row],[Delta Jour]],"")</f>
        <v/>
      </c>
      <c r="I234" s="219" t="str">
        <f t="shared" si="10"/>
        <v/>
      </c>
      <c r="J234" s="216"/>
      <c r="K234" s="38"/>
      <c r="L234" s="38"/>
      <c r="M234" s="38"/>
    </row>
    <row r="235" spans="1:13">
      <c r="A235" s="55">
        <f t="shared" si="11"/>
        <v>1</v>
      </c>
      <c r="B235" s="239"/>
      <c r="C235" s="207"/>
      <c r="D235" s="208"/>
      <c r="E235" s="193"/>
      <c r="F235" s="193">
        <f t="shared" si="9"/>
        <v>0</v>
      </c>
      <c r="G235" t="str">
        <f>IF(IFERROR(IF(Str_TypeDonneesCpt3=Cpt_Index,Tab_Compteur_3[[#This Row],[Index]]-E234,Tab_Compteur_3[[#This Row],[Quantité]])/Tab_Compteur_3[[#This Row],[Delta Jour]],"")&lt;0,"",IFERROR(IF(Str_TypeDonneesCpt3=Cpt_Index,Tab_Compteur_3[[#This Row],[Index]]-E234,Tab_Compteur_3[[#This Row],[Quantité]])/Tab_Compteur_3[[#This Row],[Delta Jour]],""))</f>
        <v/>
      </c>
      <c r="H235" s="193" t="str">
        <f>IFERROR(Tab_Compteur_3[[#This Row],[Montant]]/Tab_Compteur_3[[#This Row],[Delta Jour]],"")</f>
        <v/>
      </c>
      <c r="I235" s="219" t="str">
        <f t="shared" si="10"/>
        <v/>
      </c>
      <c r="J235" s="216"/>
      <c r="K235" s="38"/>
      <c r="L235" s="38"/>
      <c r="M235" s="38"/>
    </row>
    <row r="236" spans="1:13">
      <c r="A236" s="55">
        <f t="shared" si="11"/>
        <v>1</v>
      </c>
      <c r="B236" s="239"/>
      <c r="C236" s="207"/>
      <c r="D236" s="208"/>
      <c r="E236" s="193"/>
      <c r="F236" s="193">
        <f t="shared" si="9"/>
        <v>0</v>
      </c>
      <c r="G236" t="str">
        <f>IF(IFERROR(IF(Str_TypeDonneesCpt3=Cpt_Index,Tab_Compteur_3[[#This Row],[Index]]-E235,Tab_Compteur_3[[#This Row],[Quantité]])/Tab_Compteur_3[[#This Row],[Delta Jour]],"")&lt;0,"",IFERROR(IF(Str_TypeDonneesCpt3=Cpt_Index,Tab_Compteur_3[[#This Row],[Index]]-E235,Tab_Compteur_3[[#This Row],[Quantité]])/Tab_Compteur_3[[#This Row],[Delta Jour]],""))</f>
        <v/>
      </c>
      <c r="H236" s="193" t="str">
        <f>IFERROR(Tab_Compteur_3[[#This Row],[Montant]]/Tab_Compteur_3[[#This Row],[Delta Jour]],"")</f>
        <v/>
      </c>
      <c r="I236" s="219" t="str">
        <f t="shared" si="10"/>
        <v/>
      </c>
      <c r="J236" s="216"/>
      <c r="K236" s="38"/>
      <c r="L236" s="38"/>
      <c r="M236" s="38"/>
    </row>
    <row r="237" spans="1:13">
      <c r="A237" s="55">
        <f t="shared" si="11"/>
        <v>1</v>
      </c>
      <c r="B237" s="239"/>
      <c r="C237" s="207"/>
      <c r="D237" s="208"/>
      <c r="E237" s="193"/>
      <c r="F237" s="193">
        <f t="shared" si="9"/>
        <v>0</v>
      </c>
      <c r="G237" t="str">
        <f>IF(IFERROR(IF(Str_TypeDonneesCpt3=Cpt_Index,Tab_Compteur_3[[#This Row],[Index]]-E236,Tab_Compteur_3[[#This Row],[Quantité]])/Tab_Compteur_3[[#This Row],[Delta Jour]],"")&lt;0,"",IFERROR(IF(Str_TypeDonneesCpt3=Cpt_Index,Tab_Compteur_3[[#This Row],[Index]]-E236,Tab_Compteur_3[[#This Row],[Quantité]])/Tab_Compteur_3[[#This Row],[Delta Jour]],""))</f>
        <v/>
      </c>
      <c r="H237" s="193" t="str">
        <f>IFERROR(Tab_Compteur_3[[#This Row],[Montant]]/Tab_Compteur_3[[#This Row],[Delta Jour]],"")</f>
        <v/>
      </c>
      <c r="I237" s="219" t="str">
        <f t="shared" si="10"/>
        <v/>
      </c>
      <c r="J237" s="216"/>
      <c r="K237" s="38"/>
      <c r="L237" s="38"/>
      <c r="M237" s="38"/>
    </row>
    <row r="238" spans="1:13">
      <c r="A238" s="55">
        <f t="shared" si="11"/>
        <v>1</v>
      </c>
      <c r="B238" s="239"/>
      <c r="C238" s="207"/>
      <c r="D238" s="208"/>
      <c r="E238" s="193"/>
      <c r="F238" s="193">
        <f t="shared" si="9"/>
        <v>0</v>
      </c>
      <c r="G238" t="str">
        <f>IF(IFERROR(IF(Str_TypeDonneesCpt3=Cpt_Index,Tab_Compteur_3[[#This Row],[Index]]-E237,Tab_Compteur_3[[#This Row],[Quantité]])/Tab_Compteur_3[[#This Row],[Delta Jour]],"")&lt;0,"",IFERROR(IF(Str_TypeDonneesCpt3=Cpt_Index,Tab_Compteur_3[[#This Row],[Index]]-E237,Tab_Compteur_3[[#This Row],[Quantité]])/Tab_Compteur_3[[#This Row],[Delta Jour]],""))</f>
        <v/>
      </c>
      <c r="H238" s="193" t="str">
        <f>IFERROR(Tab_Compteur_3[[#This Row],[Montant]]/Tab_Compteur_3[[#This Row],[Delta Jour]],"")</f>
        <v/>
      </c>
      <c r="I238" s="219" t="str">
        <f t="shared" si="10"/>
        <v/>
      </c>
      <c r="J238" s="216"/>
      <c r="K238" s="38"/>
      <c r="L238" s="38"/>
      <c r="M238" s="38"/>
    </row>
    <row r="239" spans="1:13">
      <c r="A239" s="55">
        <f t="shared" si="11"/>
        <v>1</v>
      </c>
      <c r="B239" s="239"/>
      <c r="C239" s="209"/>
      <c r="D239" s="208"/>
      <c r="E239" s="193"/>
      <c r="F239" s="193">
        <f t="shared" si="9"/>
        <v>0</v>
      </c>
      <c r="G239" t="str">
        <f>IF(IFERROR(IF(Str_TypeDonneesCpt3=Cpt_Index,Tab_Compteur_3[[#This Row],[Index]]-E238,Tab_Compteur_3[[#This Row],[Quantité]])/Tab_Compteur_3[[#This Row],[Delta Jour]],"")&lt;0,"",IFERROR(IF(Str_TypeDonneesCpt3=Cpt_Index,Tab_Compteur_3[[#This Row],[Index]]-E238,Tab_Compteur_3[[#This Row],[Quantité]])/Tab_Compteur_3[[#This Row],[Delta Jour]],""))</f>
        <v/>
      </c>
      <c r="H239" s="193" t="str">
        <f>IFERROR(Tab_Compteur_3[[#This Row],[Montant]]/Tab_Compteur_3[[#This Row],[Delta Jour]],"")</f>
        <v/>
      </c>
      <c r="I239" s="219" t="str">
        <f t="shared" si="10"/>
        <v/>
      </c>
      <c r="J239" s="216"/>
      <c r="K239" s="38"/>
      <c r="L239" s="38"/>
      <c r="M239" s="38"/>
    </row>
    <row r="240" spans="1:13">
      <c r="A240" s="55">
        <f t="shared" si="11"/>
        <v>1</v>
      </c>
      <c r="B240" s="239"/>
      <c r="C240" s="209"/>
      <c r="D240" s="208"/>
      <c r="E240" s="193"/>
      <c r="F240" s="193">
        <f t="shared" si="9"/>
        <v>0</v>
      </c>
      <c r="G240" t="str">
        <f>IF(IFERROR(IF(Str_TypeDonneesCpt3=Cpt_Index,Tab_Compteur_3[[#This Row],[Index]]-E239,Tab_Compteur_3[[#This Row],[Quantité]])/Tab_Compteur_3[[#This Row],[Delta Jour]],"")&lt;0,"",IFERROR(IF(Str_TypeDonneesCpt3=Cpt_Index,Tab_Compteur_3[[#This Row],[Index]]-E239,Tab_Compteur_3[[#This Row],[Quantité]])/Tab_Compteur_3[[#This Row],[Delta Jour]],""))</f>
        <v/>
      </c>
      <c r="H240" s="193" t="str">
        <f>IFERROR(Tab_Compteur_3[[#This Row],[Montant]]/Tab_Compteur_3[[#This Row],[Delta Jour]],"")</f>
        <v/>
      </c>
      <c r="I240" s="219" t="str">
        <f t="shared" si="10"/>
        <v/>
      </c>
      <c r="J240" s="216"/>
      <c r="K240" s="38"/>
      <c r="L240" s="38"/>
      <c r="M240" s="38"/>
    </row>
    <row r="241" spans="1:13">
      <c r="A241" s="55">
        <f t="shared" si="11"/>
        <v>1</v>
      </c>
      <c r="B241" s="239"/>
      <c r="C241" s="209"/>
      <c r="D241" s="208"/>
      <c r="E241" s="193"/>
      <c r="F241" s="193">
        <f t="shared" si="9"/>
        <v>0</v>
      </c>
      <c r="G241" t="str">
        <f>IF(IFERROR(IF(Str_TypeDonneesCpt3=Cpt_Index,Tab_Compteur_3[[#This Row],[Index]]-E240,Tab_Compteur_3[[#This Row],[Quantité]])/Tab_Compteur_3[[#This Row],[Delta Jour]],"")&lt;0,"",IFERROR(IF(Str_TypeDonneesCpt3=Cpt_Index,Tab_Compteur_3[[#This Row],[Index]]-E240,Tab_Compteur_3[[#This Row],[Quantité]])/Tab_Compteur_3[[#This Row],[Delta Jour]],""))</f>
        <v/>
      </c>
      <c r="H241" s="193" t="str">
        <f>IFERROR(Tab_Compteur_3[[#This Row],[Montant]]/Tab_Compteur_3[[#This Row],[Delta Jour]],"")</f>
        <v/>
      </c>
      <c r="I241" s="219" t="str">
        <f t="shared" si="10"/>
        <v/>
      </c>
      <c r="J241" s="216"/>
      <c r="K241" s="38"/>
      <c r="L241" s="38"/>
      <c r="M241" s="38"/>
    </row>
    <row r="242" spans="1:13">
      <c r="A242" s="55">
        <f t="shared" si="11"/>
        <v>1</v>
      </c>
      <c r="B242" s="239"/>
      <c r="C242" s="209"/>
      <c r="D242" s="208"/>
      <c r="E242" s="193"/>
      <c r="F242" s="193">
        <f t="shared" si="9"/>
        <v>0</v>
      </c>
      <c r="G242" t="str">
        <f>IF(IFERROR(IF(Str_TypeDonneesCpt3=Cpt_Index,Tab_Compteur_3[[#This Row],[Index]]-E241,Tab_Compteur_3[[#This Row],[Quantité]])/Tab_Compteur_3[[#This Row],[Delta Jour]],"")&lt;0,"",IFERROR(IF(Str_TypeDonneesCpt3=Cpt_Index,Tab_Compteur_3[[#This Row],[Index]]-E241,Tab_Compteur_3[[#This Row],[Quantité]])/Tab_Compteur_3[[#This Row],[Delta Jour]],""))</f>
        <v/>
      </c>
      <c r="H242" s="193" t="str">
        <f>IFERROR(Tab_Compteur_3[[#This Row],[Montant]]/Tab_Compteur_3[[#This Row],[Delta Jour]],"")</f>
        <v/>
      </c>
      <c r="I242" s="219" t="str">
        <f t="shared" si="10"/>
        <v/>
      </c>
      <c r="J242" s="216"/>
      <c r="K242" s="38"/>
      <c r="L242" s="38"/>
      <c r="M242" s="38"/>
    </row>
    <row r="243" spans="1:13" ht="15.75" customHeight="1">
      <c r="A243" s="55">
        <f t="shared" si="11"/>
        <v>1</v>
      </c>
      <c r="B243" s="239"/>
      <c r="C243" s="209"/>
      <c r="D243" s="208"/>
      <c r="E243" s="193"/>
      <c r="F243" s="193">
        <f t="shared" si="9"/>
        <v>0</v>
      </c>
      <c r="G243" t="str">
        <f>IF(IFERROR(IF(Str_TypeDonneesCpt3=Cpt_Index,Tab_Compteur_3[[#This Row],[Index]]-E242,Tab_Compteur_3[[#This Row],[Quantité]])/Tab_Compteur_3[[#This Row],[Delta Jour]],"")&lt;0,"",IFERROR(IF(Str_TypeDonneesCpt3=Cpt_Index,Tab_Compteur_3[[#This Row],[Index]]-E242,Tab_Compteur_3[[#This Row],[Quantité]])/Tab_Compteur_3[[#This Row],[Delta Jour]],""))</f>
        <v/>
      </c>
      <c r="H243" s="193" t="str">
        <f>IFERROR(Tab_Compteur_3[[#This Row],[Montant]]/Tab_Compteur_3[[#This Row],[Delta Jour]],"")</f>
        <v/>
      </c>
      <c r="I243" s="219" t="str">
        <f t="shared" si="10"/>
        <v/>
      </c>
      <c r="J243" s="216"/>
    </row>
  </sheetData>
  <sheetProtection sheet="1" selectLockedCells="1"/>
  <protectedRanges>
    <protectedRange sqref="D5:D243 C5:C104 A4:D4 A5:B243" name="Données_compteur3_1"/>
    <protectedRange sqref="C105:C243 L2:N2 E3:E1048576 K35 J37:M243 J9:M10 J34:J36 L34:M36 K3:M3 J3:J8 K5:M8 I3:I243 J244:N1048576" name="Données_compteur3"/>
    <protectedRange sqref="J11:M33" name="Données_compteur3_3"/>
    <protectedRange sqref="E2 I2" name="Compteur_1_1"/>
    <protectedRange sqref="K4:M4" name="Compteur_1"/>
    <protectedRange sqref="L1 E1 I1" name="Compteur_1_2"/>
    <protectedRange sqref="K34 K36" name="Données_compteur3_2"/>
  </protectedRanges>
  <mergeCells count="1">
    <mergeCell ref="K11:M33"/>
  </mergeCells>
  <conditionalFormatting sqref="B4:B243">
    <cfRule type="expression" dxfId="89"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27"/>
  <dimension ref="A1:O243"/>
  <sheetViews>
    <sheetView workbookViewId="0">
      <selection activeCell="B4" sqref="B4"/>
    </sheetView>
  </sheetViews>
  <sheetFormatPr baseColWidth="10" defaultColWidth="0" defaultRowHeight="14.5" zeroHeight="1"/>
  <cols>
    <col min="1" max="1" width="11.453125" customWidth="1"/>
    <col min="2" max="2" width="19.453125" style="193" customWidth="1"/>
    <col min="3" max="3" width="13.81640625" customWidth="1"/>
    <col min="4" max="4" width="15.453125" style="127" customWidth="1"/>
    <col min="5" max="5" width="11.453125" customWidth="1"/>
    <col min="6" max="6" width="11.453125" hidden="1" customWidth="1"/>
    <col min="7" max="7" width="21.54296875" hidden="1" customWidth="1"/>
    <col min="8" max="8" width="12.81640625" hidden="1" customWidth="1"/>
    <col min="9" max="9" width="10.90625" customWidth="1"/>
    <col min="10" max="10" width="13.7265625" style="215" customWidth="1"/>
    <col min="11" max="11" width="21.7265625" customWidth="1"/>
    <col min="12" max="13" width="11.453125" customWidth="1"/>
    <col min="14" max="14" width="21.7265625" customWidth="1"/>
    <col min="15" max="15" width="0" hidden="1" customWidth="1"/>
    <col min="16" max="16384" width="11.453125" hidden="1"/>
  </cols>
  <sheetData>
    <row r="1" spans="1:13" ht="35.25" customHeight="1">
      <c r="A1" s="57" t="s">
        <v>401</v>
      </c>
      <c r="B1" s="235" t="s">
        <v>402</v>
      </c>
      <c r="C1" s="132" t="s">
        <v>403</v>
      </c>
      <c r="D1" s="59" t="str">
        <f>CONCATENATE("Montant ",Controle_des_données!$A$40)</f>
        <v>Montant TTC</v>
      </c>
      <c r="E1" s="30" t="s">
        <v>218</v>
      </c>
      <c r="F1" s="29" t="s">
        <v>404</v>
      </c>
      <c r="G1" s="30" t="s">
        <v>405</v>
      </c>
      <c r="H1" s="30" t="s">
        <v>406</v>
      </c>
      <c r="I1" s="30" t="s">
        <v>407</v>
      </c>
      <c r="J1" s="188" t="s">
        <v>408</v>
      </c>
      <c r="K1" s="178" t="s">
        <v>19</v>
      </c>
      <c r="L1" s="186" t="str">
        <f>IF(Site!C41="", "Compteur 4",Site!C41)</f>
        <v>Compteur 4</v>
      </c>
    </row>
    <row r="2" spans="1:13" ht="20.25" hidden="1" customHeight="1">
      <c r="A2" s="57" t="s">
        <v>401</v>
      </c>
      <c r="B2" s="240" t="s">
        <v>402</v>
      </c>
      <c r="C2" s="58" t="s">
        <v>403</v>
      </c>
      <c r="D2" s="143" t="s">
        <v>437</v>
      </c>
      <c r="E2" s="30" t="s">
        <v>218</v>
      </c>
      <c r="F2" s="29" t="s">
        <v>404</v>
      </c>
      <c r="G2" s="30" t="s">
        <v>405</v>
      </c>
      <c r="H2" s="30" t="s">
        <v>406</v>
      </c>
      <c r="I2" s="215" t="s">
        <v>407</v>
      </c>
      <c r="J2" s="30" t="s">
        <v>408</v>
      </c>
      <c r="K2" s="178" t="s">
        <v>19</v>
      </c>
      <c r="L2" s="574">
        <f>Site!C41</f>
        <v>0</v>
      </c>
      <c r="M2" s="575"/>
    </row>
    <row r="3" spans="1:13" hidden="1">
      <c r="A3" s="3"/>
      <c r="B3" s="239">
        <f>A4-1</f>
        <v>-1</v>
      </c>
      <c r="C3" s="56">
        <v>0</v>
      </c>
      <c r="D3" s="127">
        <v>0</v>
      </c>
      <c r="E3">
        <v>0</v>
      </c>
      <c r="F3">
        <f t="shared" ref="F3:F66" si="0">IFERROR(B3-A3+1,"")</f>
        <v>0</v>
      </c>
      <c r="G3">
        <v>0</v>
      </c>
      <c r="H3">
        <v>0</v>
      </c>
      <c r="I3" s="215">
        <f t="shared" ref="I3:I66" si="1">G3</f>
        <v>0</v>
      </c>
      <c r="J3" s="38"/>
      <c r="K3" s="38"/>
      <c r="L3" s="38"/>
      <c r="M3" s="38"/>
    </row>
    <row r="4" spans="1:13">
      <c r="A4" s="3">
        <f>Site!I41</f>
        <v>0</v>
      </c>
      <c r="B4" s="88"/>
      <c r="C4" s="466"/>
      <c r="D4" s="466"/>
      <c r="E4" s="193"/>
      <c r="F4" s="193">
        <f t="shared" si="0"/>
        <v>1</v>
      </c>
      <c r="G4" s="193">
        <f>IF(IFERROR(IF(Str_TypeDonneesCpt4=Cpt_Index,Tab_Compteur_4[[#This Row],[Index]]-M4,Tab_Compteur_4[[#This Row],[Quantité]])/Tab_Compteur_4[[#This Row],[Delta Jour]],"")&lt;0,"",IFERROR(IF(Str_TypeDonneesCpt4=Cpt_Index,Tab_Compteur_4[[#This Row],[Index]]-M4,Tab_Compteur_4[[#This Row],[Quantité]])/Tab_Compteur_4[[#This Row],[Delta Jour]],""))</f>
        <v>0</v>
      </c>
      <c r="H4" s="193">
        <f>IFERROR(Tab_Compteur_4[[#This Row],[Montant]]/Tab_Compteur_4[[#This Row],[Delta Jour]],"")</f>
        <v>0</v>
      </c>
      <c r="I4" s="215">
        <f t="shared" si="1"/>
        <v>0</v>
      </c>
      <c r="J4" s="216"/>
      <c r="K4" s="223" t="s">
        <v>409</v>
      </c>
      <c r="L4" s="178"/>
      <c r="M4" s="224">
        <v>0</v>
      </c>
    </row>
    <row r="5" spans="1:13">
      <c r="A5" s="3">
        <f>IFERROR(B4+1,0)</f>
        <v>1</v>
      </c>
      <c r="B5" s="236"/>
      <c r="C5" s="466"/>
      <c r="D5" s="466"/>
      <c r="E5" s="193"/>
      <c r="F5" s="193">
        <f t="shared" si="0"/>
        <v>0</v>
      </c>
      <c r="G5" s="193" t="str">
        <f>IF(IFERROR(IF(Str_TypeDonneesCpt4=Cpt_Index,Tab_Compteur_4[[#This Row],[Index]]-E4,Tab_Compteur_4[[#This Row],[Quantité]])/Tab_Compteur_4[[#This Row],[Delta Jour]],"")&lt;0,"",IFERROR(IF(Str_TypeDonneesCpt4=Cpt_Index,Tab_Compteur_4[[#This Row],[Index]]-E4,Tab_Compteur_4[[#This Row],[Quantité]])/Tab_Compteur_4[[#This Row],[Delta Jour]],""))</f>
        <v/>
      </c>
      <c r="H5" s="193" t="str">
        <f>IFERROR(Tab_Compteur_4[[#This Row],[Montant]]/Tab_Compteur_4[[#This Row],[Delta Jour]],"")</f>
        <v/>
      </c>
      <c r="I5" s="215" t="str">
        <f t="shared" si="1"/>
        <v/>
      </c>
      <c r="J5" s="216"/>
      <c r="K5" s="38"/>
      <c r="L5" s="38"/>
      <c r="M5" s="38"/>
    </row>
    <row r="6" spans="1:13">
      <c r="A6" s="3">
        <f t="shared" ref="A6:A69" si="2">IFERROR(B5+1,0)</f>
        <v>1</v>
      </c>
      <c r="B6" s="236"/>
      <c r="C6" s="466"/>
      <c r="D6" s="466"/>
      <c r="E6" s="193"/>
      <c r="F6" s="193">
        <f t="shared" si="0"/>
        <v>0</v>
      </c>
      <c r="G6" s="193" t="str">
        <f>IF(IFERROR(IF(Str_TypeDonneesCpt4=Cpt_Index,Tab_Compteur_4[[#This Row],[Index]]-E5,Tab_Compteur_4[[#This Row],[Quantité]])/Tab_Compteur_4[[#This Row],[Delta Jour]],"")&lt;0,"",IFERROR(IF(Str_TypeDonneesCpt4=Cpt_Index,Tab_Compteur_4[[#This Row],[Index]]-E5,Tab_Compteur_4[[#This Row],[Quantité]])/Tab_Compteur_4[[#This Row],[Delta Jour]],""))</f>
        <v/>
      </c>
      <c r="H6" s="193" t="str">
        <f>IFERROR(Tab_Compteur_4[[#This Row],[Montant]]/Tab_Compteur_4[[#This Row],[Delta Jour]],"")</f>
        <v/>
      </c>
      <c r="I6" s="215" t="str">
        <f t="shared" si="1"/>
        <v/>
      </c>
      <c r="J6" s="216"/>
      <c r="K6" s="38"/>
      <c r="L6" s="38"/>
      <c r="M6" s="38"/>
    </row>
    <row r="7" spans="1:13">
      <c r="A7" s="3">
        <f t="shared" si="2"/>
        <v>1</v>
      </c>
      <c r="B7" s="236"/>
      <c r="C7" s="466"/>
      <c r="D7" s="466"/>
      <c r="E7" s="193"/>
      <c r="F7" s="193">
        <f t="shared" si="0"/>
        <v>0</v>
      </c>
      <c r="G7" s="193" t="str">
        <f>IF(IFERROR(IF(Str_TypeDonneesCpt4=Cpt_Index,Tab_Compteur_4[[#This Row],[Index]]-E6,Tab_Compteur_4[[#This Row],[Quantité]])/Tab_Compteur_4[[#This Row],[Delta Jour]],"")&lt;0,"",IFERROR(IF(Str_TypeDonneesCpt4=Cpt_Index,Tab_Compteur_4[[#This Row],[Index]]-E6,Tab_Compteur_4[[#This Row],[Quantité]])/Tab_Compteur_4[[#This Row],[Delta Jour]],""))</f>
        <v/>
      </c>
      <c r="H7" s="193" t="str">
        <f>IFERROR(Tab_Compteur_4[[#This Row],[Montant]]/Tab_Compteur_4[[#This Row],[Delta Jour]],"")</f>
        <v/>
      </c>
      <c r="I7" s="215" t="str">
        <f t="shared" si="1"/>
        <v/>
      </c>
      <c r="J7" s="216"/>
      <c r="K7" s="38"/>
      <c r="L7" s="38"/>
      <c r="M7" s="38"/>
    </row>
    <row r="8" spans="1:13">
      <c r="A8" s="3">
        <f t="shared" si="2"/>
        <v>1</v>
      </c>
      <c r="B8" s="236"/>
      <c r="C8" s="466"/>
      <c r="D8" s="466"/>
      <c r="E8" s="193"/>
      <c r="F8" s="193">
        <f t="shared" si="0"/>
        <v>0</v>
      </c>
      <c r="G8" s="193" t="str">
        <f>IF(IFERROR(IF(Str_TypeDonneesCpt4=Cpt_Index,Tab_Compteur_4[[#This Row],[Index]]-E7,Tab_Compteur_4[[#This Row],[Quantité]])/Tab_Compteur_4[[#This Row],[Delta Jour]],"")&lt;0,"",IFERROR(IF(Str_TypeDonneesCpt4=Cpt_Index,Tab_Compteur_4[[#This Row],[Index]]-E7,Tab_Compteur_4[[#This Row],[Quantité]])/Tab_Compteur_4[[#This Row],[Delta Jour]],""))</f>
        <v/>
      </c>
      <c r="H8" s="193" t="str">
        <f>IFERROR(Tab_Compteur_4[[#This Row],[Montant]]/Tab_Compteur_4[[#This Row],[Delta Jour]],"")</f>
        <v/>
      </c>
      <c r="I8" s="215" t="str">
        <f t="shared" si="1"/>
        <v/>
      </c>
      <c r="J8" s="216"/>
      <c r="K8" s="179"/>
      <c r="L8" s="179"/>
      <c r="M8" s="179"/>
    </row>
    <row r="9" spans="1:13">
      <c r="A9" s="3">
        <f t="shared" si="2"/>
        <v>1</v>
      </c>
      <c r="B9" s="236"/>
      <c r="C9" s="466"/>
      <c r="D9" s="466"/>
      <c r="E9" s="193"/>
      <c r="F9" s="193">
        <f t="shared" si="0"/>
        <v>0</v>
      </c>
      <c r="G9" s="193" t="str">
        <f>IF(IFERROR(IF(Str_TypeDonneesCpt4=Cpt_Index,Tab_Compteur_4[[#This Row],[Index]]-E8,Tab_Compteur_4[[#This Row],[Quantité]])/Tab_Compteur_4[[#This Row],[Delta Jour]],"")&lt;0,"",IFERROR(IF(Str_TypeDonneesCpt4=Cpt_Index,Tab_Compteur_4[[#This Row],[Index]]-E8,Tab_Compteur_4[[#This Row],[Quantité]])/Tab_Compteur_4[[#This Row],[Delta Jour]],""))</f>
        <v/>
      </c>
      <c r="H9" s="193" t="str">
        <f>IFERROR(Tab_Compteur_4[[#This Row],[Montant]]/Tab_Compteur_4[[#This Row],[Delta Jour]],"")</f>
        <v/>
      </c>
      <c r="I9" s="215" t="str">
        <f t="shared" si="1"/>
        <v/>
      </c>
      <c r="J9" s="216"/>
      <c r="K9" s="179"/>
      <c r="L9" s="179"/>
      <c r="M9" s="179"/>
    </row>
    <row r="10" spans="1:13">
      <c r="A10" s="3">
        <f t="shared" si="2"/>
        <v>1</v>
      </c>
      <c r="B10" s="236"/>
      <c r="C10" s="466"/>
      <c r="D10" s="466"/>
      <c r="E10" s="193"/>
      <c r="F10" s="193">
        <f t="shared" si="0"/>
        <v>0</v>
      </c>
      <c r="G10" s="193" t="str">
        <f>IF(IFERROR(IF(Str_TypeDonneesCpt4=Cpt_Index,Tab_Compteur_4[[#This Row],[Index]]-E9,Tab_Compteur_4[[#This Row],[Quantité]])/Tab_Compteur_4[[#This Row],[Delta Jour]],"")&lt;0,"",IFERROR(IF(Str_TypeDonneesCpt4=Cpt_Index,Tab_Compteur_4[[#This Row],[Index]]-E9,Tab_Compteur_4[[#This Row],[Quantité]])/Tab_Compteur_4[[#This Row],[Delta Jour]],""))</f>
        <v/>
      </c>
      <c r="H10" s="193" t="str">
        <f>IFERROR(Tab_Compteur_4[[#This Row],[Montant]]/Tab_Compteur_4[[#This Row],[Delta Jour]],"")</f>
        <v/>
      </c>
      <c r="I10" s="215" t="str">
        <f t="shared" si="1"/>
        <v/>
      </c>
      <c r="J10" s="216"/>
      <c r="K10" s="179"/>
      <c r="L10" s="179"/>
      <c r="M10" s="179"/>
    </row>
    <row r="11" spans="1:13" ht="15" customHeight="1">
      <c r="A11" s="3">
        <f t="shared" si="2"/>
        <v>1</v>
      </c>
      <c r="B11" s="236"/>
      <c r="C11" s="466"/>
      <c r="D11" s="466"/>
      <c r="E11" s="193"/>
      <c r="F11" s="193">
        <f t="shared" si="0"/>
        <v>0</v>
      </c>
      <c r="G11" s="193" t="str">
        <f>IF(IFERROR(IF(Str_TypeDonneesCpt4=Cpt_Index,Tab_Compteur_4[[#This Row],[Index]]-E10,Tab_Compteur_4[[#This Row],[Quantité]])/Tab_Compteur_4[[#This Row],[Delta Jour]],"")&lt;0,"",IFERROR(IF(Str_TypeDonneesCpt4=Cpt_Index,Tab_Compteur_4[[#This Row],[Index]]-E10,Tab_Compteur_4[[#This Row],[Quantité]])/Tab_Compteur_4[[#This Row],[Delta Jour]],""))</f>
        <v/>
      </c>
      <c r="H11" s="193" t="str">
        <f>IFERROR(Tab_Compteur_4[[#This Row],[Montant]]/Tab_Compteur_4[[#This Row],[Delta Jour]],"")</f>
        <v/>
      </c>
      <c r="I11" s="215" t="str">
        <f t="shared" si="1"/>
        <v/>
      </c>
      <c r="J11" s="216"/>
      <c r="K11" s="573"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73"/>
      <c r="M11" s="573"/>
    </row>
    <row r="12" spans="1:13">
      <c r="A12" s="3">
        <f t="shared" si="2"/>
        <v>1</v>
      </c>
      <c r="B12" s="236"/>
      <c r="C12" s="466"/>
      <c r="D12" s="466"/>
      <c r="E12" s="193"/>
      <c r="F12" s="193">
        <f t="shared" si="0"/>
        <v>0</v>
      </c>
      <c r="G12" s="193" t="str">
        <f>IF(IFERROR(IF(Str_TypeDonneesCpt4=Cpt_Index,Tab_Compteur_4[[#This Row],[Index]]-E11,Tab_Compteur_4[[#This Row],[Quantité]])/Tab_Compteur_4[[#This Row],[Delta Jour]],"")&lt;0,"",IFERROR(IF(Str_TypeDonneesCpt4=Cpt_Index,Tab_Compteur_4[[#This Row],[Index]]-E11,Tab_Compteur_4[[#This Row],[Quantité]])/Tab_Compteur_4[[#This Row],[Delta Jour]],""))</f>
        <v/>
      </c>
      <c r="H12" s="193" t="str">
        <f>IFERROR(Tab_Compteur_4[[#This Row],[Montant]]/Tab_Compteur_4[[#This Row],[Delta Jour]],"")</f>
        <v/>
      </c>
      <c r="I12" s="215" t="str">
        <f t="shared" si="1"/>
        <v/>
      </c>
      <c r="J12" s="216"/>
      <c r="K12" s="573"/>
      <c r="L12" s="573"/>
      <c r="M12" s="573"/>
    </row>
    <row r="13" spans="1:13">
      <c r="A13" s="3">
        <f t="shared" si="2"/>
        <v>1</v>
      </c>
      <c r="B13" s="236"/>
      <c r="C13" s="466"/>
      <c r="D13" s="466"/>
      <c r="E13" s="193"/>
      <c r="F13" s="193">
        <f t="shared" si="0"/>
        <v>0</v>
      </c>
      <c r="G13" s="193" t="str">
        <f>IF(IFERROR(IF(Str_TypeDonneesCpt4=Cpt_Index,Tab_Compteur_4[[#This Row],[Index]]-E12,Tab_Compteur_4[[#This Row],[Quantité]])/Tab_Compteur_4[[#This Row],[Delta Jour]],"")&lt;0,"",IFERROR(IF(Str_TypeDonneesCpt4=Cpt_Index,Tab_Compteur_4[[#This Row],[Index]]-E12,Tab_Compteur_4[[#This Row],[Quantité]])/Tab_Compteur_4[[#This Row],[Delta Jour]],""))</f>
        <v/>
      </c>
      <c r="H13" s="193" t="str">
        <f>IFERROR(Tab_Compteur_4[[#This Row],[Montant]]/Tab_Compteur_4[[#This Row],[Delta Jour]],"")</f>
        <v/>
      </c>
      <c r="I13" s="215" t="str">
        <f t="shared" si="1"/>
        <v/>
      </c>
      <c r="J13" s="216"/>
      <c r="K13" s="573"/>
      <c r="L13" s="573"/>
      <c r="M13" s="573"/>
    </row>
    <row r="14" spans="1:13">
      <c r="A14" s="3">
        <f t="shared" si="2"/>
        <v>1</v>
      </c>
      <c r="B14" s="236"/>
      <c r="C14" s="466"/>
      <c r="D14" s="466"/>
      <c r="E14" s="193"/>
      <c r="F14" s="193">
        <f t="shared" si="0"/>
        <v>0</v>
      </c>
      <c r="G14" s="193" t="str">
        <f>IF(IFERROR(IF(Str_TypeDonneesCpt4=Cpt_Index,Tab_Compteur_4[[#This Row],[Index]]-E13,Tab_Compteur_4[[#This Row],[Quantité]])/Tab_Compteur_4[[#This Row],[Delta Jour]],"")&lt;0,"",IFERROR(IF(Str_TypeDonneesCpt4=Cpt_Index,Tab_Compteur_4[[#This Row],[Index]]-E13,Tab_Compteur_4[[#This Row],[Quantité]])/Tab_Compteur_4[[#This Row],[Delta Jour]],""))</f>
        <v/>
      </c>
      <c r="H14" s="193" t="str">
        <f>IFERROR(Tab_Compteur_4[[#This Row],[Montant]]/Tab_Compteur_4[[#This Row],[Delta Jour]],"")</f>
        <v/>
      </c>
      <c r="I14" s="215" t="str">
        <f t="shared" si="1"/>
        <v/>
      </c>
      <c r="J14" s="216"/>
      <c r="K14" s="573"/>
      <c r="L14" s="573"/>
      <c r="M14" s="573"/>
    </row>
    <row r="15" spans="1:13">
      <c r="A15" s="3">
        <f t="shared" si="2"/>
        <v>1</v>
      </c>
      <c r="B15" s="467"/>
      <c r="C15" s="466"/>
      <c r="D15" s="466"/>
      <c r="E15" s="193"/>
      <c r="F15" s="193">
        <f t="shared" si="0"/>
        <v>0</v>
      </c>
      <c r="G15" s="193" t="str">
        <f>IF(IFERROR(IF(Str_TypeDonneesCpt4=Cpt_Index,Tab_Compteur_4[[#This Row],[Index]]-E14,Tab_Compteur_4[[#This Row],[Quantité]])/Tab_Compteur_4[[#This Row],[Delta Jour]],"")&lt;0,"",IFERROR(IF(Str_TypeDonneesCpt4=Cpt_Index,Tab_Compteur_4[[#This Row],[Index]]-E14,Tab_Compteur_4[[#This Row],[Quantité]])/Tab_Compteur_4[[#This Row],[Delta Jour]],""))</f>
        <v/>
      </c>
      <c r="H15" s="193" t="str">
        <f>IFERROR(Tab_Compteur_4[[#This Row],[Montant]]/Tab_Compteur_4[[#This Row],[Delta Jour]],"")</f>
        <v/>
      </c>
      <c r="I15" s="215" t="str">
        <f t="shared" si="1"/>
        <v/>
      </c>
      <c r="J15" s="216"/>
      <c r="K15" s="573"/>
      <c r="L15" s="573"/>
      <c r="M15" s="573"/>
    </row>
    <row r="16" spans="1:13">
      <c r="A16" s="3">
        <f t="shared" si="2"/>
        <v>1</v>
      </c>
      <c r="B16" s="467"/>
      <c r="C16" s="466"/>
      <c r="D16" s="466"/>
      <c r="E16" s="193"/>
      <c r="F16" s="193">
        <f t="shared" si="0"/>
        <v>0</v>
      </c>
      <c r="G16" s="193" t="str">
        <f>IF(IFERROR(IF(Str_TypeDonneesCpt4=Cpt_Index,Tab_Compteur_4[[#This Row],[Index]]-E15,Tab_Compteur_4[[#This Row],[Quantité]])/Tab_Compteur_4[[#This Row],[Delta Jour]],"")&lt;0,"",IFERROR(IF(Str_TypeDonneesCpt4=Cpt_Index,Tab_Compteur_4[[#This Row],[Index]]-E15,Tab_Compteur_4[[#This Row],[Quantité]])/Tab_Compteur_4[[#This Row],[Delta Jour]],""))</f>
        <v/>
      </c>
      <c r="H16" s="193" t="str">
        <f>IFERROR(Tab_Compteur_4[[#This Row],[Montant]]/Tab_Compteur_4[[#This Row],[Delta Jour]],"")</f>
        <v/>
      </c>
      <c r="I16" s="215" t="str">
        <f t="shared" si="1"/>
        <v/>
      </c>
      <c r="J16" s="216"/>
      <c r="K16" s="573"/>
      <c r="L16" s="573"/>
      <c r="M16" s="573"/>
    </row>
    <row r="17" spans="1:13">
      <c r="A17" s="3">
        <f t="shared" si="2"/>
        <v>1</v>
      </c>
      <c r="B17" s="467"/>
      <c r="C17" s="466"/>
      <c r="D17" s="466"/>
      <c r="E17" s="193"/>
      <c r="F17" s="193">
        <f t="shared" si="0"/>
        <v>0</v>
      </c>
      <c r="G17" s="193" t="str">
        <f>IF(IFERROR(IF(Str_TypeDonneesCpt4=Cpt_Index,Tab_Compteur_4[[#This Row],[Index]]-E16,Tab_Compteur_4[[#This Row],[Quantité]])/Tab_Compteur_4[[#This Row],[Delta Jour]],"")&lt;0,"",IFERROR(IF(Str_TypeDonneesCpt4=Cpt_Index,Tab_Compteur_4[[#This Row],[Index]]-E16,Tab_Compteur_4[[#This Row],[Quantité]])/Tab_Compteur_4[[#This Row],[Delta Jour]],""))</f>
        <v/>
      </c>
      <c r="H17" s="193" t="str">
        <f>IFERROR(Tab_Compteur_4[[#This Row],[Montant]]/Tab_Compteur_4[[#This Row],[Delta Jour]],"")</f>
        <v/>
      </c>
      <c r="I17" s="215" t="str">
        <f t="shared" si="1"/>
        <v/>
      </c>
      <c r="J17" s="216"/>
      <c r="K17" s="573"/>
      <c r="L17" s="573"/>
      <c r="M17" s="573"/>
    </row>
    <row r="18" spans="1:13">
      <c r="A18" s="3">
        <f t="shared" si="2"/>
        <v>1</v>
      </c>
      <c r="B18" s="467"/>
      <c r="C18" s="466"/>
      <c r="D18" s="466"/>
      <c r="E18" s="193"/>
      <c r="F18" s="193">
        <f t="shared" si="0"/>
        <v>0</v>
      </c>
      <c r="G18" s="193" t="str">
        <f>IF(IFERROR(IF(Str_TypeDonneesCpt4=Cpt_Index,Tab_Compteur_4[[#This Row],[Index]]-E17,Tab_Compteur_4[[#This Row],[Quantité]])/Tab_Compteur_4[[#This Row],[Delta Jour]],"")&lt;0,"",IFERROR(IF(Str_TypeDonneesCpt4=Cpt_Index,Tab_Compteur_4[[#This Row],[Index]]-E17,Tab_Compteur_4[[#This Row],[Quantité]])/Tab_Compteur_4[[#This Row],[Delta Jour]],""))</f>
        <v/>
      </c>
      <c r="H18" s="193" t="str">
        <f>IFERROR(Tab_Compteur_4[[#This Row],[Montant]]/Tab_Compteur_4[[#This Row],[Delta Jour]],"")</f>
        <v/>
      </c>
      <c r="I18" s="215" t="str">
        <f t="shared" si="1"/>
        <v/>
      </c>
      <c r="J18" s="216"/>
      <c r="K18" s="573"/>
      <c r="L18" s="573"/>
      <c r="M18" s="573"/>
    </row>
    <row r="19" spans="1:13">
      <c r="A19" s="3">
        <f t="shared" si="2"/>
        <v>1</v>
      </c>
      <c r="B19" s="467"/>
      <c r="C19" s="466"/>
      <c r="D19" s="466"/>
      <c r="E19" s="193"/>
      <c r="F19" s="193">
        <f t="shared" si="0"/>
        <v>0</v>
      </c>
      <c r="G19" s="193" t="str">
        <f>IF(IFERROR(IF(Str_TypeDonneesCpt4=Cpt_Index,Tab_Compteur_4[[#This Row],[Index]]-E18,Tab_Compteur_4[[#This Row],[Quantité]])/Tab_Compteur_4[[#This Row],[Delta Jour]],"")&lt;0,"",IFERROR(IF(Str_TypeDonneesCpt4=Cpt_Index,Tab_Compteur_4[[#This Row],[Index]]-E18,Tab_Compteur_4[[#This Row],[Quantité]])/Tab_Compteur_4[[#This Row],[Delta Jour]],""))</f>
        <v/>
      </c>
      <c r="H19" s="193" t="str">
        <f>IFERROR(Tab_Compteur_4[[#This Row],[Montant]]/Tab_Compteur_4[[#This Row],[Delta Jour]],"")</f>
        <v/>
      </c>
      <c r="I19" s="215" t="str">
        <f t="shared" si="1"/>
        <v/>
      </c>
      <c r="J19" s="216"/>
      <c r="K19" s="573"/>
      <c r="L19" s="573"/>
      <c r="M19" s="573"/>
    </row>
    <row r="20" spans="1:13">
      <c r="A20" s="3">
        <f t="shared" si="2"/>
        <v>1</v>
      </c>
      <c r="B20" s="467"/>
      <c r="C20" s="466"/>
      <c r="D20" s="466"/>
      <c r="E20" s="193"/>
      <c r="F20" s="193">
        <f t="shared" si="0"/>
        <v>0</v>
      </c>
      <c r="G20" s="193" t="str">
        <f>IF(IFERROR(IF(Str_TypeDonneesCpt4=Cpt_Index,Tab_Compteur_4[[#This Row],[Index]]-E19,Tab_Compteur_4[[#This Row],[Quantité]])/Tab_Compteur_4[[#This Row],[Delta Jour]],"")&lt;0,"",IFERROR(IF(Str_TypeDonneesCpt4=Cpt_Index,Tab_Compteur_4[[#This Row],[Index]]-E19,Tab_Compteur_4[[#This Row],[Quantité]])/Tab_Compteur_4[[#This Row],[Delta Jour]],""))</f>
        <v/>
      </c>
      <c r="H20" s="193" t="str">
        <f>IFERROR(Tab_Compteur_4[[#This Row],[Montant]]/Tab_Compteur_4[[#This Row],[Delta Jour]],"")</f>
        <v/>
      </c>
      <c r="I20" s="215" t="str">
        <f t="shared" si="1"/>
        <v/>
      </c>
      <c r="J20" s="216"/>
      <c r="K20" s="573"/>
      <c r="L20" s="573"/>
      <c r="M20" s="573"/>
    </row>
    <row r="21" spans="1:13">
      <c r="A21" s="3">
        <f t="shared" si="2"/>
        <v>1</v>
      </c>
      <c r="B21" s="467"/>
      <c r="C21" s="466"/>
      <c r="D21" s="466"/>
      <c r="E21" s="193"/>
      <c r="F21" s="193">
        <f t="shared" si="0"/>
        <v>0</v>
      </c>
      <c r="G21" s="193" t="str">
        <f>IF(IFERROR(IF(Str_TypeDonneesCpt4=Cpt_Index,Tab_Compteur_4[[#This Row],[Index]]-E20,Tab_Compteur_4[[#This Row],[Quantité]])/Tab_Compteur_4[[#This Row],[Delta Jour]],"")&lt;0,"",IFERROR(IF(Str_TypeDonneesCpt4=Cpt_Index,Tab_Compteur_4[[#This Row],[Index]]-E20,Tab_Compteur_4[[#This Row],[Quantité]])/Tab_Compteur_4[[#This Row],[Delta Jour]],""))</f>
        <v/>
      </c>
      <c r="H21" s="193" t="str">
        <f>IFERROR(Tab_Compteur_4[[#This Row],[Montant]]/Tab_Compteur_4[[#This Row],[Delta Jour]],"")</f>
        <v/>
      </c>
      <c r="I21" s="215" t="str">
        <f t="shared" si="1"/>
        <v/>
      </c>
      <c r="J21" s="216"/>
      <c r="K21" s="573"/>
      <c r="L21" s="573"/>
      <c r="M21" s="573"/>
    </row>
    <row r="22" spans="1:13">
      <c r="A22" s="3">
        <f t="shared" si="2"/>
        <v>1</v>
      </c>
      <c r="B22" s="467"/>
      <c r="C22" s="466"/>
      <c r="D22" s="466"/>
      <c r="E22" s="193"/>
      <c r="F22" s="193">
        <f t="shared" si="0"/>
        <v>0</v>
      </c>
      <c r="G22" s="193" t="str">
        <f>IF(IFERROR(IF(Str_TypeDonneesCpt4=Cpt_Index,Tab_Compteur_4[[#This Row],[Index]]-E21,Tab_Compteur_4[[#This Row],[Quantité]])/Tab_Compteur_4[[#This Row],[Delta Jour]],"")&lt;0,"",IFERROR(IF(Str_TypeDonneesCpt4=Cpt_Index,Tab_Compteur_4[[#This Row],[Index]]-E21,Tab_Compteur_4[[#This Row],[Quantité]])/Tab_Compteur_4[[#This Row],[Delta Jour]],""))</f>
        <v/>
      </c>
      <c r="H22" s="193" t="str">
        <f>IFERROR(Tab_Compteur_4[[#This Row],[Montant]]/Tab_Compteur_4[[#This Row],[Delta Jour]],"")</f>
        <v/>
      </c>
      <c r="I22" s="215" t="str">
        <f t="shared" si="1"/>
        <v/>
      </c>
      <c r="J22" s="216"/>
      <c r="K22" s="573"/>
      <c r="L22" s="573"/>
      <c r="M22" s="573"/>
    </row>
    <row r="23" spans="1:13">
      <c r="A23" s="3">
        <f t="shared" si="2"/>
        <v>1</v>
      </c>
      <c r="B23" s="467"/>
      <c r="C23" s="466"/>
      <c r="D23" s="466"/>
      <c r="E23" s="193"/>
      <c r="F23" s="193">
        <f t="shared" si="0"/>
        <v>0</v>
      </c>
      <c r="G23" s="193" t="str">
        <f>IF(IFERROR(IF(Str_TypeDonneesCpt4=Cpt_Index,Tab_Compteur_4[[#This Row],[Index]]-E22,Tab_Compteur_4[[#This Row],[Quantité]])/Tab_Compteur_4[[#This Row],[Delta Jour]],"")&lt;0,"",IFERROR(IF(Str_TypeDonneesCpt4=Cpt_Index,Tab_Compteur_4[[#This Row],[Index]]-E22,Tab_Compteur_4[[#This Row],[Quantité]])/Tab_Compteur_4[[#This Row],[Delta Jour]],""))</f>
        <v/>
      </c>
      <c r="H23" s="193" t="str">
        <f>IFERROR(Tab_Compteur_4[[#This Row],[Montant]]/Tab_Compteur_4[[#This Row],[Delta Jour]],"")</f>
        <v/>
      </c>
      <c r="I23" s="215" t="str">
        <f t="shared" si="1"/>
        <v/>
      </c>
      <c r="J23" s="216"/>
      <c r="K23" s="573"/>
      <c r="L23" s="573"/>
      <c r="M23" s="573"/>
    </row>
    <row r="24" spans="1:13">
      <c r="A24" s="3">
        <f t="shared" si="2"/>
        <v>1</v>
      </c>
      <c r="B24" s="467"/>
      <c r="C24" s="466"/>
      <c r="D24" s="466"/>
      <c r="E24" s="193"/>
      <c r="F24" s="193">
        <f t="shared" si="0"/>
        <v>0</v>
      </c>
      <c r="G24" s="193" t="str">
        <f>IF(IFERROR(IF(Str_TypeDonneesCpt4=Cpt_Index,Tab_Compteur_4[[#This Row],[Index]]-E23,Tab_Compteur_4[[#This Row],[Quantité]])/Tab_Compteur_4[[#This Row],[Delta Jour]],"")&lt;0,"",IFERROR(IF(Str_TypeDonneesCpt4=Cpt_Index,Tab_Compteur_4[[#This Row],[Index]]-E23,Tab_Compteur_4[[#This Row],[Quantité]])/Tab_Compteur_4[[#This Row],[Delta Jour]],""))</f>
        <v/>
      </c>
      <c r="H24" s="193" t="str">
        <f>IFERROR(Tab_Compteur_4[[#This Row],[Montant]]/Tab_Compteur_4[[#This Row],[Delta Jour]],"")</f>
        <v/>
      </c>
      <c r="I24" s="215" t="str">
        <f t="shared" si="1"/>
        <v/>
      </c>
      <c r="J24" s="216"/>
      <c r="K24" s="573"/>
      <c r="L24" s="573"/>
      <c r="M24" s="573"/>
    </row>
    <row r="25" spans="1:13">
      <c r="A25" s="3">
        <f t="shared" si="2"/>
        <v>1</v>
      </c>
      <c r="B25" s="467"/>
      <c r="C25" s="466"/>
      <c r="D25" s="466"/>
      <c r="E25" s="193"/>
      <c r="F25" s="193">
        <f t="shared" si="0"/>
        <v>0</v>
      </c>
      <c r="G25" s="193" t="str">
        <f>IF(IFERROR(IF(Str_TypeDonneesCpt4=Cpt_Index,Tab_Compteur_4[[#This Row],[Index]]-E24,Tab_Compteur_4[[#This Row],[Quantité]])/Tab_Compteur_4[[#This Row],[Delta Jour]],"")&lt;0,"",IFERROR(IF(Str_TypeDonneesCpt4=Cpt_Index,Tab_Compteur_4[[#This Row],[Index]]-E24,Tab_Compteur_4[[#This Row],[Quantité]])/Tab_Compteur_4[[#This Row],[Delta Jour]],""))</f>
        <v/>
      </c>
      <c r="H25" s="193" t="str">
        <f>IFERROR(Tab_Compteur_4[[#This Row],[Montant]]/Tab_Compteur_4[[#This Row],[Delta Jour]],"")</f>
        <v/>
      </c>
      <c r="I25" s="215" t="str">
        <f t="shared" si="1"/>
        <v/>
      </c>
      <c r="J25" s="216"/>
      <c r="K25" s="573"/>
      <c r="L25" s="573"/>
      <c r="M25" s="573"/>
    </row>
    <row r="26" spans="1:13">
      <c r="A26" s="3">
        <f t="shared" si="2"/>
        <v>1</v>
      </c>
      <c r="B26" s="467"/>
      <c r="C26" s="466"/>
      <c r="D26" s="466"/>
      <c r="E26" s="193"/>
      <c r="F26" s="193">
        <f t="shared" si="0"/>
        <v>0</v>
      </c>
      <c r="G26" s="193" t="str">
        <f>IF(IFERROR(IF(Str_TypeDonneesCpt4=Cpt_Index,Tab_Compteur_4[[#This Row],[Index]]-E25,Tab_Compteur_4[[#This Row],[Quantité]])/Tab_Compteur_4[[#This Row],[Delta Jour]],"")&lt;0,"",IFERROR(IF(Str_TypeDonneesCpt4=Cpt_Index,Tab_Compteur_4[[#This Row],[Index]]-E25,Tab_Compteur_4[[#This Row],[Quantité]])/Tab_Compteur_4[[#This Row],[Delta Jour]],""))</f>
        <v/>
      </c>
      <c r="H26" s="193" t="str">
        <f>IFERROR(Tab_Compteur_4[[#This Row],[Montant]]/Tab_Compteur_4[[#This Row],[Delta Jour]],"")</f>
        <v/>
      </c>
      <c r="I26" s="215" t="str">
        <f t="shared" si="1"/>
        <v/>
      </c>
      <c r="J26" s="216"/>
      <c r="K26" s="573"/>
      <c r="L26" s="573"/>
      <c r="M26" s="573"/>
    </row>
    <row r="27" spans="1:13">
      <c r="A27" s="3">
        <f t="shared" si="2"/>
        <v>1</v>
      </c>
      <c r="B27" s="467"/>
      <c r="C27" s="466"/>
      <c r="D27" s="466"/>
      <c r="E27" s="193"/>
      <c r="F27" s="193">
        <f t="shared" si="0"/>
        <v>0</v>
      </c>
      <c r="G27" s="193" t="str">
        <f>IF(IFERROR(IF(Str_TypeDonneesCpt4=Cpt_Index,Tab_Compteur_4[[#This Row],[Index]]-E26,Tab_Compteur_4[[#This Row],[Quantité]])/Tab_Compteur_4[[#This Row],[Delta Jour]],"")&lt;0,"",IFERROR(IF(Str_TypeDonneesCpt4=Cpt_Index,Tab_Compteur_4[[#This Row],[Index]]-E26,Tab_Compteur_4[[#This Row],[Quantité]])/Tab_Compteur_4[[#This Row],[Delta Jour]],""))</f>
        <v/>
      </c>
      <c r="H27" s="193" t="str">
        <f>IFERROR(Tab_Compteur_4[[#This Row],[Montant]]/Tab_Compteur_4[[#This Row],[Delta Jour]],"")</f>
        <v/>
      </c>
      <c r="I27" s="215" t="str">
        <f t="shared" si="1"/>
        <v/>
      </c>
      <c r="J27" s="216"/>
      <c r="K27" s="573"/>
      <c r="L27" s="573"/>
      <c r="M27" s="573"/>
    </row>
    <row r="28" spans="1:13">
      <c r="A28" s="3">
        <f t="shared" si="2"/>
        <v>1</v>
      </c>
      <c r="B28" s="467"/>
      <c r="C28" s="466"/>
      <c r="D28" s="466"/>
      <c r="E28" s="193"/>
      <c r="F28" s="193">
        <f t="shared" si="0"/>
        <v>0</v>
      </c>
      <c r="G28" s="193" t="str">
        <f>IF(IFERROR(IF(Str_TypeDonneesCpt4=Cpt_Index,Tab_Compteur_4[[#This Row],[Index]]-E27,Tab_Compteur_4[[#This Row],[Quantité]])/Tab_Compteur_4[[#This Row],[Delta Jour]],"")&lt;0,"",IFERROR(IF(Str_TypeDonneesCpt4=Cpt_Index,Tab_Compteur_4[[#This Row],[Index]]-E27,Tab_Compteur_4[[#This Row],[Quantité]])/Tab_Compteur_4[[#This Row],[Delta Jour]],""))</f>
        <v/>
      </c>
      <c r="H28" s="193" t="str">
        <f>IFERROR(Tab_Compteur_4[[#This Row],[Montant]]/Tab_Compteur_4[[#This Row],[Delta Jour]],"")</f>
        <v/>
      </c>
      <c r="I28" s="215" t="str">
        <f t="shared" si="1"/>
        <v/>
      </c>
      <c r="J28" s="216"/>
      <c r="K28" s="573"/>
      <c r="L28" s="573"/>
      <c r="M28" s="573"/>
    </row>
    <row r="29" spans="1:13">
      <c r="A29" s="3">
        <f t="shared" si="2"/>
        <v>1</v>
      </c>
      <c r="B29" s="467"/>
      <c r="C29" s="466"/>
      <c r="D29" s="466"/>
      <c r="E29" s="193"/>
      <c r="F29" s="193">
        <f t="shared" si="0"/>
        <v>0</v>
      </c>
      <c r="G29" s="193" t="str">
        <f>IF(IFERROR(IF(Str_TypeDonneesCpt4=Cpt_Index,Tab_Compteur_4[[#This Row],[Index]]-E28,Tab_Compteur_4[[#This Row],[Quantité]])/Tab_Compteur_4[[#This Row],[Delta Jour]],"")&lt;0,"",IFERROR(IF(Str_TypeDonneesCpt4=Cpt_Index,Tab_Compteur_4[[#This Row],[Index]]-E28,Tab_Compteur_4[[#This Row],[Quantité]])/Tab_Compteur_4[[#This Row],[Delta Jour]],""))</f>
        <v/>
      </c>
      <c r="H29" s="193" t="str">
        <f>IFERROR(Tab_Compteur_4[[#This Row],[Montant]]/Tab_Compteur_4[[#This Row],[Delta Jour]],"")</f>
        <v/>
      </c>
      <c r="I29" s="215" t="str">
        <f t="shared" si="1"/>
        <v/>
      </c>
      <c r="J29" s="216"/>
      <c r="K29" s="573"/>
      <c r="L29" s="573"/>
      <c r="M29" s="573"/>
    </row>
    <row r="30" spans="1:13">
      <c r="A30" s="3">
        <f t="shared" si="2"/>
        <v>1</v>
      </c>
      <c r="B30" s="467"/>
      <c r="C30" s="466"/>
      <c r="D30" s="466"/>
      <c r="E30" s="193"/>
      <c r="F30" s="193">
        <f t="shared" si="0"/>
        <v>0</v>
      </c>
      <c r="G30" s="193" t="str">
        <f>IF(IFERROR(IF(Str_TypeDonneesCpt4=Cpt_Index,Tab_Compteur_4[[#This Row],[Index]]-E29,Tab_Compteur_4[[#This Row],[Quantité]])/Tab_Compteur_4[[#This Row],[Delta Jour]],"")&lt;0,"",IFERROR(IF(Str_TypeDonneesCpt4=Cpt_Index,Tab_Compteur_4[[#This Row],[Index]]-E29,Tab_Compteur_4[[#This Row],[Quantité]])/Tab_Compteur_4[[#This Row],[Delta Jour]],""))</f>
        <v/>
      </c>
      <c r="H30" s="193" t="str">
        <f>IFERROR(Tab_Compteur_4[[#This Row],[Montant]]/Tab_Compteur_4[[#This Row],[Delta Jour]],"")</f>
        <v/>
      </c>
      <c r="I30" s="215" t="str">
        <f t="shared" si="1"/>
        <v/>
      </c>
      <c r="J30" s="216"/>
      <c r="K30" s="573"/>
      <c r="L30" s="573"/>
      <c r="M30" s="573"/>
    </row>
    <row r="31" spans="1:13">
      <c r="A31" s="3">
        <f t="shared" si="2"/>
        <v>1</v>
      </c>
      <c r="B31" s="467"/>
      <c r="C31" s="466"/>
      <c r="D31" s="466"/>
      <c r="E31" s="193"/>
      <c r="F31" s="193">
        <f t="shared" si="0"/>
        <v>0</v>
      </c>
      <c r="G31" s="193" t="str">
        <f>IF(IFERROR(IF(Str_TypeDonneesCpt4=Cpt_Index,Tab_Compteur_4[[#This Row],[Index]]-E30,Tab_Compteur_4[[#This Row],[Quantité]])/Tab_Compteur_4[[#This Row],[Delta Jour]],"")&lt;0,"",IFERROR(IF(Str_TypeDonneesCpt4=Cpt_Index,Tab_Compteur_4[[#This Row],[Index]]-E30,Tab_Compteur_4[[#This Row],[Quantité]])/Tab_Compteur_4[[#This Row],[Delta Jour]],""))</f>
        <v/>
      </c>
      <c r="H31" s="193" t="str">
        <f>IFERROR(Tab_Compteur_4[[#This Row],[Montant]]/Tab_Compteur_4[[#This Row],[Delta Jour]],"")</f>
        <v/>
      </c>
      <c r="I31" s="215" t="str">
        <f t="shared" si="1"/>
        <v/>
      </c>
      <c r="J31" s="216"/>
      <c r="K31" s="573"/>
      <c r="L31" s="573"/>
      <c r="M31" s="573"/>
    </row>
    <row r="32" spans="1:13">
      <c r="A32" s="3">
        <f t="shared" si="2"/>
        <v>1</v>
      </c>
      <c r="B32" s="467"/>
      <c r="C32" s="466"/>
      <c r="D32" s="466"/>
      <c r="E32" s="193"/>
      <c r="F32" s="193">
        <f t="shared" si="0"/>
        <v>0</v>
      </c>
      <c r="G32" s="193" t="str">
        <f>IF(IFERROR(IF(Str_TypeDonneesCpt4=Cpt_Index,Tab_Compteur_4[[#This Row],[Index]]-E31,Tab_Compteur_4[[#This Row],[Quantité]])/Tab_Compteur_4[[#This Row],[Delta Jour]],"")&lt;0,"",IFERROR(IF(Str_TypeDonneesCpt4=Cpt_Index,Tab_Compteur_4[[#This Row],[Index]]-E31,Tab_Compteur_4[[#This Row],[Quantité]])/Tab_Compteur_4[[#This Row],[Delta Jour]],""))</f>
        <v/>
      </c>
      <c r="H32" s="193" t="str">
        <f>IFERROR(Tab_Compteur_4[[#This Row],[Montant]]/Tab_Compteur_4[[#This Row],[Delta Jour]],"")</f>
        <v/>
      </c>
      <c r="I32" s="215" t="str">
        <f t="shared" si="1"/>
        <v/>
      </c>
      <c r="J32" s="216"/>
      <c r="K32" s="573"/>
      <c r="L32" s="573"/>
      <c r="M32" s="573"/>
    </row>
    <row r="33" spans="1:13">
      <c r="A33" s="3">
        <f t="shared" si="2"/>
        <v>1</v>
      </c>
      <c r="B33" s="467"/>
      <c r="C33" s="466"/>
      <c r="D33" s="466"/>
      <c r="E33" s="193"/>
      <c r="F33" s="193">
        <f t="shared" si="0"/>
        <v>0</v>
      </c>
      <c r="G33" s="193" t="str">
        <f>IF(IFERROR(IF(Str_TypeDonneesCpt4=Cpt_Index,Tab_Compteur_4[[#This Row],[Index]]-E32,Tab_Compteur_4[[#This Row],[Quantité]])/Tab_Compteur_4[[#This Row],[Delta Jour]],"")&lt;0,"",IFERROR(IF(Str_TypeDonneesCpt4=Cpt_Index,Tab_Compteur_4[[#This Row],[Index]]-E32,Tab_Compteur_4[[#This Row],[Quantité]])/Tab_Compteur_4[[#This Row],[Delta Jour]],""))</f>
        <v/>
      </c>
      <c r="H33" s="193" t="str">
        <f>IFERROR(Tab_Compteur_4[[#This Row],[Montant]]/Tab_Compteur_4[[#This Row],[Delta Jour]],"")</f>
        <v/>
      </c>
      <c r="I33" s="215" t="str">
        <f t="shared" si="1"/>
        <v/>
      </c>
      <c r="J33" s="216"/>
      <c r="K33" s="573"/>
      <c r="L33" s="573"/>
      <c r="M33" s="573"/>
    </row>
    <row r="34" spans="1:13">
      <c r="A34" s="3">
        <f t="shared" si="2"/>
        <v>1</v>
      </c>
      <c r="B34" s="467"/>
      <c r="C34" s="466"/>
      <c r="D34" s="466"/>
      <c r="E34" s="193"/>
      <c r="F34" s="193">
        <f t="shared" si="0"/>
        <v>0</v>
      </c>
      <c r="G34" s="193" t="str">
        <f>IF(IFERROR(IF(Str_TypeDonneesCpt4=Cpt_Index,Tab_Compteur_4[[#This Row],[Index]]-E33,Tab_Compteur_4[[#This Row],[Quantité]])/Tab_Compteur_4[[#This Row],[Delta Jour]],"")&lt;0,"",IFERROR(IF(Str_TypeDonneesCpt4=Cpt_Index,Tab_Compteur_4[[#This Row],[Index]]-E33,Tab_Compteur_4[[#This Row],[Quantité]])/Tab_Compteur_4[[#This Row],[Delta Jour]],""))</f>
        <v/>
      </c>
      <c r="H34" s="193" t="str">
        <f>IFERROR(Tab_Compteur_4[[#This Row],[Montant]]/Tab_Compteur_4[[#This Row],[Delta Jour]],"")</f>
        <v/>
      </c>
      <c r="I34" s="215" t="str">
        <f t="shared" si="1"/>
        <v/>
      </c>
      <c r="J34" s="216"/>
      <c r="K34" s="38"/>
      <c r="L34" s="38"/>
      <c r="M34" s="38"/>
    </row>
    <row r="35" spans="1:13">
      <c r="A35" s="3">
        <f t="shared" si="2"/>
        <v>1</v>
      </c>
      <c r="B35" s="467"/>
      <c r="C35" s="466"/>
      <c r="D35" s="466"/>
      <c r="E35" s="193"/>
      <c r="F35" s="193">
        <f t="shared" si="0"/>
        <v>0</v>
      </c>
      <c r="G35" s="193" t="str">
        <f>IF(IFERROR(IF(Str_TypeDonneesCpt4=Cpt_Index,Tab_Compteur_4[[#This Row],[Index]]-E34,Tab_Compteur_4[[#This Row],[Quantité]])/Tab_Compteur_4[[#This Row],[Delta Jour]],"")&lt;0,"",IFERROR(IF(Str_TypeDonneesCpt4=Cpt_Index,Tab_Compteur_4[[#This Row],[Index]]-E34,Tab_Compteur_4[[#This Row],[Quantité]])/Tab_Compteur_4[[#This Row],[Delta Jour]],""))</f>
        <v/>
      </c>
      <c r="H35" s="193" t="str">
        <f>IFERROR(Tab_Compteur_4[[#This Row],[Montant]]/Tab_Compteur_4[[#This Row],[Delta Jour]],"")</f>
        <v/>
      </c>
      <c r="I35" s="215" t="str">
        <f t="shared" si="1"/>
        <v/>
      </c>
      <c r="J35" s="216"/>
      <c r="K35" s="38"/>
      <c r="L35" s="38"/>
      <c r="M35" s="38"/>
    </row>
    <row r="36" spans="1:13">
      <c r="A36" s="3">
        <f t="shared" si="2"/>
        <v>1</v>
      </c>
      <c r="B36" s="467"/>
      <c r="C36" s="466"/>
      <c r="D36" s="466"/>
      <c r="E36" s="193"/>
      <c r="F36" s="193">
        <f t="shared" si="0"/>
        <v>0</v>
      </c>
      <c r="G36" s="193" t="str">
        <f>IF(IFERROR(IF(Str_TypeDonneesCpt4=Cpt_Index,Tab_Compteur_4[[#This Row],[Index]]-E35,Tab_Compteur_4[[#This Row],[Quantité]])/Tab_Compteur_4[[#This Row],[Delta Jour]],"")&lt;0,"",IFERROR(IF(Str_TypeDonneesCpt4=Cpt_Index,Tab_Compteur_4[[#This Row],[Index]]-E35,Tab_Compteur_4[[#This Row],[Quantité]])/Tab_Compteur_4[[#This Row],[Delta Jour]],""))</f>
        <v/>
      </c>
      <c r="H36" s="193" t="str">
        <f>IFERROR(Tab_Compteur_4[[#This Row],[Montant]]/Tab_Compteur_4[[#This Row],[Delta Jour]],"")</f>
        <v/>
      </c>
      <c r="I36" s="215" t="str">
        <f t="shared" si="1"/>
        <v/>
      </c>
      <c r="J36" s="216"/>
      <c r="K36" s="38"/>
      <c r="L36" s="38"/>
      <c r="M36" s="38"/>
    </row>
    <row r="37" spans="1:13">
      <c r="A37" s="3">
        <f t="shared" si="2"/>
        <v>1</v>
      </c>
      <c r="B37" s="467"/>
      <c r="C37" s="466"/>
      <c r="D37" s="466"/>
      <c r="E37" s="193"/>
      <c r="F37" s="193">
        <f t="shared" si="0"/>
        <v>0</v>
      </c>
      <c r="G37" s="193" t="str">
        <f>IF(IFERROR(IF(Str_TypeDonneesCpt4=Cpt_Index,Tab_Compteur_4[[#This Row],[Index]]-E36,Tab_Compteur_4[[#This Row],[Quantité]])/Tab_Compteur_4[[#This Row],[Delta Jour]],"")&lt;0,"",IFERROR(IF(Str_TypeDonneesCpt4=Cpt_Index,Tab_Compteur_4[[#This Row],[Index]]-E36,Tab_Compteur_4[[#This Row],[Quantité]])/Tab_Compteur_4[[#This Row],[Delta Jour]],""))</f>
        <v/>
      </c>
      <c r="H37" s="193" t="str">
        <f>IFERROR(Tab_Compteur_4[[#This Row],[Montant]]/Tab_Compteur_4[[#This Row],[Delta Jour]],"")</f>
        <v/>
      </c>
      <c r="I37" s="215" t="str">
        <f t="shared" si="1"/>
        <v/>
      </c>
      <c r="J37" s="216"/>
      <c r="K37" s="38"/>
      <c r="L37" s="38"/>
      <c r="M37" s="38"/>
    </row>
    <row r="38" spans="1:13">
      <c r="A38" s="3">
        <f t="shared" si="2"/>
        <v>1</v>
      </c>
      <c r="B38" s="467"/>
      <c r="C38" s="466"/>
      <c r="D38" s="466"/>
      <c r="E38" s="193"/>
      <c r="F38" s="193">
        <f t="shared" si="0"/>
        <v>0</v>
      </c>
      <c r="G38" s="193" t="str">
        <f>IF(IFERROR(IF(Str_TypeDonneesCpt4=Cpt_Index,Tab_Compteur_4[[#This Row],[Index]]-E37,Tab_Compteur_4[[#This Row],[Quantité]])/Tab_Compteur_4[[#This Row],[Delta Jour]],"")&lt;0,"",IFERROR(IF(Str_TypeDonneesCpt4=Cpt_Index,Tab_Compteur_4[[#This Row],[Index]]-E37,Tab_Compteur_4[[#This Row],[Quantité]])/Tab_Compteur_4[[#This Row],[Delta Jour]],""))</f>
        <v/>
      </c>
      <c r="H38" s="193" t="str">
        <f>IFERROR(Tab_Compteur_4[[#This Row],[Montant]]/Tab_Compteur_4[[#This Row],[Delta Jour]],"")</f>
        <v/>
      </c>
      <c r="I38" s="215" t="str">
        <f t="shared" si="1"/>
        <v/>
      </c>
      <c r="J38" s="216"/>
      <c r="K38" s="38"/>
      <c r="L38" s="38"/>
      <c r="M38" s="38"/>
    </row>
    <row r="39" spans="1:13">
      <c r="A39" s="3">
        <f t="shared" si="2"/>
        <v>1</v>
      </c>
      <c r="B39" s="467"/>
      <c r="C39" s="466"/>
      <c r="D39" s="466"/>
      <c r="E39" s="193"/>
      <c r="F39" s="193">
        <f t="shared" si="0"/>
        <v>0</v>
      </c>
      <c r="G39" s="193" t="str">
        <f>IF(IFERROR(IF(Str_TypeDonneesCpt4=Cpt_Index,Tab_Compteur_4[[#This Row],[Index]]-E38,Tab_Compteur_4[[#This Row],[Quantité]])/Tab_Compteur_4[[#This Row],[Delta Jour]],"")&lt;0,"",IFERROR(IF(Str_TypeDonneesCpt4=Cpt_Index,Tab_Compteur_4[[#This Row],[Index]]-E38,Tab_Compteur_4[[#This Row],[Quantité]])/Tab_Compteur_4[[#This Row],[Delta Jour]],""))</f>
        <v/>
      </c>
      <c r="H39" s="193" t="str">
        <f>IFERROR(Tab_Compteur_4[[#This Row],[Montant]]/Tab_Compteur_4[[#This Row],[Delta Jour]],"")</f>
        <v/>
      </c>
      <c r="I39" s="215" t="str">
        <f t="shared" si="1"/>
        <v/>
      </c>
      <c r="J39" s="216"/>
      <c r="K39" s="38"/>
      <c r="L39" s="38"/>
      <c r="M39" s="38"/>
    </row>
    <row r="40" spans="1:13">
      <c r="A40" s="3">
        <f t="shared" si="2"/>
        <v>1</v>
      </c>
      <c r="B40" s="467"/>
      <c r="C40" s="466"/>
      <c r="D40" s="466"/>
      <c r="E40" s="193"/>
      <c r="F40" s="193">
        <f t="shared" si="0"/>
        <v>0</v>
      </c>
      <c r="G40" s="193" t="str">
        <f>IF(IFERROR(IF(Str_TypeDonneesCpt4=Cpt_Index,Tab_Compteur_4[[#This Row],[Index]]-E39,Tab_Compteur_4[[#This Row],[Quantité]])/Tab_Compteur_4[[#This Row],[Delta Jour]],"")&lt;0,"",IFERROR(IF(Str_TypeDonneesCpt4=Cpt_Index,Tab_Compteur_4[[#This Row],[Index]]-E39,Tab_Compteur_4[[#This Row],[Quantité]])/Tab_Compteur_4[[#This Row],[Delta Jour]],""))</f>
        <v/>
      </c>
      <c r="H40" s="193" t="str">
        <f>IFERROR(Tab_Compteur_4[[#This Row],[Montant]]/Tab_Compteur_4[[#This Row],[Delta Jour]],"")</f>
        <v/>
      </c>
      <c r="I40" s="215" t="str">
        <f t="shared" si="1"/>
        <v/>
      </c>
      <c r="J40" s="216"/>
      <c r="K40" s="38"/>
      <c r="L40" s="38"/>
      <c r="M40" s="38"/>
    </row>
    <row r="41" spans="1:13">
      <c r="A41" s="3">
        <f t="shared" si="2"/>
        <v>1</v>
      </c>
      <c r="B41" s="467"/>
      <c r="C41" s="466"/>
      <c r="D41" s="466"/>
      <c r="E41" s="193"/>
      <c r="F41" s="193">
        <f t="shared" si="0"/>
        <v>0</v>
      </c>
      <c r="G41" s="193" t="str">
        <f>IF(IFERROR(IF(Str_TypeDonneesCpt4=Cpt_Index,Tab_Compteur_4[[#This Row],[Index]]-E40,Tab_Compteur_4[[#This Row],[Quantité]])/Tab_Compteur_4[[#This Row],[Delta Jour]],"")&lt;0,"",IFERROR(IF(Str_TypeDonneesCpt4=Cpt_Index,Tab_Compteur_4[[#This Row],[Index]]-E40,Tab_Compteur_4[[#This Row],[Quantité]])/Tab_Compteur_4[[#This Row],[Delta Jour]],""))</f>
        <v/>
      </c>
      <c r="H41" s="193" t="str">
        <f>IFERROR(Tab_Compteur_4[[#This Row],[Montant]]/Tab_Compteur_4[[#This Row],[Delta Jour]],"")</f>
        <v/>
      </c>
      <c r="I41" s="215" t="str">
        <f t="shared" si="1"/>
        <v/>
      </c>
      <c r="J41" s="216"/>
      <c r="K41" s="38"/>
      <c r="L41" s="38"/>
      <c r="M41" s="38"/>
    </row>
    <row r="42" spans="1:13">
      <c r="A42" s="3">
        <f t="shared" si="2"/>
        <v>1</v>
      </c>
      <c r="B42" s="467"/>
      <c r="C42" s="466"/>
      <c r="D42" s="466"/>
      <c r="E42" s="193"/>
      <c r="F42" s="193">
        <f t="shared" si="0"/>
        <v>0</v>
      </c>
      <c r="G42" s="193" t="str">
        <f>IF(IFERROR(IF(Str_TypeDonneesCpt4=Cpt_Index,Tab_Compteur_4[[#This Row],[Index]]-E41,Tab_Compteur_4[[#This Row],[Quantité]])/Tab_Compteur_4[[#This Row],[Delta Jour]],"")&lt;0,"",IFERROR(IF(Str_TypeDonneesCpt4=Cpt_Index,Tab_Compteur_4[[#This Row],[Index]]-E41,Tab_Compteur_4[[#This Row],[Quantité]])/Tab_Compteur_4[[#This Row],[Delta Jour]],""))</f>
        <v/>
      </c>
      <c r="H42" s="193" t="str">
        <f>IFERROR(Tab_Compteur_4[[#This Row],[Montant]]/Tab_Compteur_4[[#This Row],[Delta Jour]],"")</f>
        <v/>
      </c>
      <c r="I42" s="215" t="str">
        <f t="shared" si="1"/>
        <v/>
      </c>
      <c r="J42" s="216"/>
      <c r="K42" s="38"/>
      <c r="L42" s="38"/>
      <c r="M42" s="38"/>
    </row>
    <row r="43" spans="1:13">
      <c r="A43" s="3">
        <f t="shared" si="2"/>
        <v>1</v>
      </c>
      <c r="B43" s="467"/>
      <c r="C43" s="466"/>
      <c r="D43" s="466"/>
      <c r="E43" s="193"/>
      <c r="F43" s="193">
        <f t="shared" si="0"/>
        <v>0</v>
      </c>
      <c r="G43" s="193" t="str">
        <f>IF(IFERROR(IF(Str_TypeDonneesCpt4=Cpt_Index,Tab_Compteur_4[[#This Row],[Index]]-E42,Tab_Compteur_4[[#This Row],[Quantité]])/Tab_Compteur_4[[#This Row],[Delta Jour]],"")&lt;0,"",IFERROR(IF(Str_TypeDonneesCpt4=Cpt_Index,Tab_Compteur_4[[#This Row],[Index]]-E42,Tab_Compteur_4[[#This Row],[Quantité]])/Tab_Compteur_4[[#This Row],[Delta Jour]],""))</f>
        <v/>
      </c>
      <c r="H43" s="193" t="str">
        <f>IFERROR(Tab_Compteur_4[[#This Row],[Montant]]/Tab_Compteur_4[[#This Row],[Delta Jour]],"")</f>
        <v/>
      </c>
      <c r="I43" s="215" t="str">
        <f t="shared" si="1"/>
        <v/>
      </c>
      <c r="J43" s="216"/>
      <c r="K43" s="38"/>
      <c r="L43" s="38"/>
      <c r="M43" s="38"/>
    </row>
    <row r="44" spans="1:13">
      <c r="A44" s="3">
        <f t="shared" si="2"/>
        <v>1</v>
      </c>
      <c r="B44" s="467"/>
      <c r="C44" s="466"/>
      <c r="D44" s="466"/>
      <c r="E44" s="193"/>
      <c r="F44" s="193">
        <f t="shared" si="0"/>
        <v>0</v>
      </c>
      <c r="G44" s="193" t="str">
        <f>IF(IFERROR(IF(Str_TypeDonneesCpt4=Cpt_Index,Tab_Compteur_4[[#This Row],[Index]]-E43,Tab_Compteur_4[[#This Row],[Quantité]])/Tab_Compteur_4[[#This Row],[Delta Jour]],"")&lt;0,"",IFERROR(IF(Str_TypeDonneesCpt4=Cpt_Index,Tab_Compteur_4[[#This Row],[Index]]-E43,Tab_Compteur_4[[#This Row],[Quantité]])/Tab_Compteur_4[[#This Row],[Delta Jour]],""))</f>
        <v/>
      </c>
      <c r="H44" s="193" t="str">
        <f>IFERROR(Tab_Compteur_4[[#This Row],[Montant]]/Tab_Compteur_4[[#This Row],[Delta Jour]],"")</f>
        <v/>
      </c>
      <c r="I44" s="215" t="str">
        <f t="shared" si="1"/>
        <v/>
      </c>
      <c r="J44" s="216"/>
      <c r="K44" s="38"/>
      <c r="L44" s="38"/>
      <c r="M44" s="38"/>
    </row>
    <row r="45" spans="1:13">
      <c r="A45" s="3">
        <f t="shared" si="2"/>
        <v>1</v>
      </c>
      <c r="B45" s="467"/>
      <c r="C45" s="466"/>
      <c r="D45" s="466"/>
      <c r="E45" s="193"/>
      <c r="F45" s="193">
        <f t="shared" si="0"/>
        <v>0</v>
      </c>
      <c r="G45" s="193" t="str">
        <f>IF(IFERROR(IF(Str_TypeDonneesCpt4=Cpt_Index,Tab_Compteur_4[[#This Row],[Index]]-E44,Tab_Compteur_4[[#This Row],[Quantité]])/Tab_Compteur_4[[#This Row],[Delta Jour]],"")&lt;0,"",IFERROR(IF(Str_TypeDonneesCpt4=Cpt_Index,Tab_Compteur_4[[#This Row],[Index]]-E44,Tab_Compteur_4[[#This Row],[Quantité]])/Tab_Compteur_4[[#This Row],[Delta Jour]],""))</f>
        <v/>
      </c>
      <c r="H45" s="193" t="str">
        <f>IFERROR(Tab_Compteur_4[[#This Row],[Montant]]/Tab_Compteur_4[[#This Row],[Delta Jour]],"")</f>
        <v/>
      </c>
      <c r="I45" s="215" t="str">
        <f t="shared" si="1"/>
        <v/>
      </c>
      <c r="J45" s="216"/>
      <c r="K45" s="38"/>
      <c r="L45" s="38"/>
      <c r="M45" s="38"/>
    </row>
    <row r="46" spans="1:13">
      <c r="A46" s="3">
        <f t="shared" si="2"/>
        <v>1</v>
      </c>
      <c r="B46" s="467"/>
      <c r="C46" s="466"/>
      <c r="D46" s="466"/>
      <c r="E46" s="193"/>
      <c r="F46" s="193">
        <f t="shared" si="0"/>
        <v>0</v>
      </c>
      <c r="G46" s="193" t="str">
        <f>IF(IFERROR(IF(Str_TypeDonneesCpt4=Cpt_Index,Tab_Compteur_4[[#This Row],[Index]]-E45,Tab_Compteur_4[[#This Row],[Quantité]])/Tab_Compteur_4[[#This Row],[Delta Jour]],"")&lt;0,"",IFERROR(IF(Str_TypeDonneesCpt4=Cpt_Index,Tab_Compteur_4[[#This Row],[Index]]-E45,Tab_Compteur_4[[#This Row],[Quantité]])/Tab_Compteur_4[[#This Row],[Delta Jour]],""))</f>
        <v/>
      </c>
      <c r="H46" s="193" t="str">
        <f>IFERROR(Tab_Compteur_4[[#This Row],[Montant]]/Tab_Compteur_4[[#This Row],[Delta Jour]],"")</f>
        <v/>
      </c>
      <c r="I46" s="215" t="str">
        <f t="shared" si="1"/>
        <v/>
      </c>
      <c r="J46" s="216"/>
      <c r="K46" s="38"/>
      <c r="L46" s="38"/>
      <c r="M46" s="38"/>
    </row>
    <row r="47" spans="1:13">
      <c r="A47" s="3">
        <f t="shared" si="2"/>
        <v>1</v>
      </c>
      <c r="B47" s="467"/>
      <c r="C47" s="466"/>
      <c r="D47" s="466"/>
      <c r="E47" s="193"/>
      <c r="F47" s="193">
        <f t="shared" si="0"/>
        <v>0</v>
      </c>
      <c r="G47" s="193" t="str">
        <f>IF(IFERROR(IF(Str_TypeDonneesCpt4=Cpt_Index,Tab_Compteur_4[[#This Row],[Index]]-E46,Tab_Compteur_4[[#This Row],[Quantité]])/Tab_Compteur_4[[#This Row],[Delta Jour]],"")&lt;0,"",IFERROR(IF(Str_TypeDonneesCpt4=Cpt_Index,Tab_Compteur_4[[#This Row],[Index]]-E46,Tab_Compteur_4[[#This Row],[Quantité]])/Tab_Compteur_4[[#This Row],[Delta Jour]],""))</f>
        <v/>
      </c>
      <c r="H47" s="193" t="str">
        <f>IFERROR(Tab_Compteur_4[[#This Row],[Montant]]/Tab_Compteur_4[[#This Row],[Delta Jour]],"")</f>
        <v/>
      </c>
      <c r="I47" s="215" t="str">
        <f t="shared" si="1"/>
        <v/>
      </c>
      <c r="J47" s="216"/>
      <c r="K47" s="38"/>
      <c r="L47" s="38"/>
      <c r="M47" s="38"/>
    </row>
    <row r="48" spans="1:13">
      <c r="A48" s="3">
        <f t="shared" si="2"/>
        <v>1</v>
      </c>
      <c r="B48" s="467"/>
      <c r="C48" s="466"/>
      <c r="D48" s="466"/>
      <c r="E48" s="193"/>
      <c r="F48" s="193">
        <f t="shared" si="0"/>
        <v>0</v>
      </c>
      <c r="G48" s="193" t="str">
        <f>IF(IFERROR(IF(Str_TypeDonneesCpt4=Cpt_Index,Tab_Compteur_4[[#This Row],[Index]]-E47,Tab_Compteur_4[[#This Row],[Quantité]])/Tab_Compteur_4[[#This Row],[Delta Jour]],"")&lt;0,"",IFERROR(IF(Str_TypeDonneesCpt4=Cpt_Index,Tab_Compteur_4[[#This Row],[Index]]-E47,Tab_Compteur_4[[#This Row],[Quantité]])/Tab_Compteur_4[[#This Row],[Delta Jour]],""))</f>
        <v/>
      </c>
      <c r="H48" s="193" t="str">
        <f>IFERROR(Tab_Compteur_4[[#This Row],[Montant]]/Tab_Compteur_4[[#This Row],[Delta Jour]],"")</f>
        <v/>
      </c>
      <c r="I48" s="215" t="str">
        <f t="shared" si="1"/>
        <v/>
      </c>
      <c r="J48" s="216"/>
      <c r="K48" s="38"/>
      <c r="L48" s="38"/>
      <c r="M48" s="38"/>
    </row>
    <row r="49" spans="1:13">
      <c r="A49" s="3">
        <f t="shared" si="2"/>
        <v>1</v>
      </c>
      <c r="B49" s="467"/>
      <c r="C49" s="466"/>
      <c r="D49" s="466"/>
      <c r="E49" s="193"/>
      <c r="F49" s="193">
        <f t="shared" si="0"/>
        <v>0</v>
      </c>
      <c r="G49" s="193" t="str">
        <f>IF(IFERROR(IF(Str_TypeDonneesCpt4=Cpt_Index,Tab_Compteur_4[[#This Row],[Index]]-E48,Tab_Compteur_4[[#This Row],[Quantité]])/Tab_Compteur_4[[#This Row],[Delta Jour]],"")&lt;0,"",IFERROR(IF(Str_TypeDonneesCpt4=Cpt_Index,Tab_Compteur_4[[#This Row],[Index]]-E48,Tab_Compteur_4[[#This Row],[Quantité]])/Tab_Compteur_4[[#This Row],[Delta Jour]],""))</f>
        <v/>
      </c>
      <c r="H49" s="193" t="str">
        <f>IFERROR(Tab_Compteur_4[[#This Row],[Montant]]/Tab_Compteur_4[[#This Row],[Delta Jour]],"")</f>
        <v/>
      </c>
      <c r="I49" s="215" t="str">
        <f t="shared" si="1"/>
        <v/>
      </c>
      <c r="J49" s="216"/>
      <c r="K49" s="38"/>
      <c r="L49" s="38"/>
      <c r="M49" s="38"/>
    </row>
    <row r="50" spans="1:13">
      <c r="A50" s="3">
        <f t="shared" si="2"/>
        <v>1</v>
      </c>
      <c r="B50" s="467"/>
      <c r="C50" s="466"/>
      <c r="D50" s="466"/>
      <c r="E50" s="193"/>
      <c r="F50" s="193">
        <f t="shared" si="0"/>
        <v>0</v>
      </c>
      <c r="G50" s="193" t="str">
        <f>IF(IFERROR(IF(Str_TypeDonneesCpt4=Cpt_Index,Tab_Compteur_4[[#This Row],[Index]]-E49,Tab_Compteur_4[[#This Row],[Quantité]])/Tab_Compteur_4[[#This Row],[Delta Jour]],"")&lt;0,"",IFERROR(IF(Str_TypeDonneesCpt4=Cpt_Index,Tab_Compteur_4[[#This Row],[Index]]-E49,Tab_Compteur_4[[#This Row],[Quantité]])/Tab_Compteur_4[[#This Row],[Delta Jour]],""))</f>
        <v/>
      </c>
      <c r="H50" s="193" t="str">
        <f>IFERROR(Tab_Compteur_4[[#This Row],[Montant]]/Tab_Compteur_4[[#This Row],[Delta Jour]],"")</f>
        <v/>
      </c>
      <c r="I50" s="215" t="str">
        <f t="shared" si="1"/>
        <v/>
      </c>
      <c r="J50" s="216"/>
      <c r="K50" s="38"/>
      <c r="L50" s="38"/>
      <c r="M50" s="38"/>
    </row>
    <row r="51" spans="1:13">
      <c r="A51" s="3">
        <f t="shared" si="2"/>
        <v>1</v>
      </c>
      <c r="B51" s="467"/>
      <c r="C51" s="466"/>
      <c r="D51" s="466"/>
      <c r="E51" s="193"/>
      <c r="F51" s="193">
        <f t="shared" si="0"/>
        <v>0</v>
      </c>
      <c r="G51" s="193" t="str">
        <f>IF(IFERROR(IF(Str_TypeDonneesCpt4=Cpt_Index,Tab_Compteur_4[[#This Row],[Index]]-E50,Tab_Compteur_4[[#This Row],[Quantité]])/Tab_Compteur_4[[#This Row],[Delta Jour]],"")&lt;0,"",IFERROR(IF(Str_TypeDonneesCpt4=Cpt_Index,Tab_Compteur_4[[#This Row],[Index]]-E50,Tab_Compteur_4[[#This Row],[Quantité]])/Tab_Compteur_4[[#This Row],[Delta Jour]],""))</f>
        <v/>
      </c>
      <c r="H51" s="193" t="str">
        <f>IFERROR(Tab_Compteur_4[[#This Row],[Montant]]/Tab_Compteur_4[[#This Row],[Delta Jour]],"")</f>
        <v/>
      </c>
      <c r="I51" s="215" t="str">
        <f t="shared" si="1"/>
        <v/>
      </c>
      <c r="J51" s="216"/>
      <c r="K51" s="38"/>
      <c r="L51" s="38"/>
      <c r="M51" s="38"/>
    </row>
    <row r="52" spans="1:13">
      <c r="A52" s="3">
        <f t="shared" si="2"/>
        <v>1</v>
      </c>
      <c r="B52" s="467"/>
      <c r="C52" s="466"/>
      <c r="D52" s="466"/>
      <c r="E52" s="193"/>
      <c r="F52" s="193">
        <f t="shared" si="0"/>
        <v>0</v>
      </c>
      <c r="G52" s="193" t="str">
        <f>IF(IFERROR(IF(Str_TypeDonneesCpt4=Cpt_Index,Tab_Compteur_4[[#This Row],[Index]]-E51,Tab_Compteur_4[[#This Row],[Quantité]])/Tab_Compteur_4[[#This Row],[Delta Jour]],"")&lt;0,"",IFERROR(IF(Str_TypeDonneesCpt4=Cpt_Index,Tab_Compteur_4[[#This Row],[Index]]-E51,Tab_Compteur_4[[#This Row],[Quantité]])/Tab_Compteur_4[[#This Row],[Delta Jour]],""))</f>
        <v/>
      </c>
      <c r="H52" s="193" t="str">
        <f>IFERROR(Tab_Compteur_4[[#This Row],[Montant]]/Tab_Compteur_4[[#This Row],[Delta Jour]],"")</f>
        <v/>
      </c>
      <c r="I52" s="215" t="str">
        <f t="shared" si="1"/>
        <v/>
      </c>
      <c r="J52" s="216"/>
      <c r="K52" s="38"/>
      <c r="L52" s="38"/>
      <c r="M52" s="38"/>
    </row>
    <row r="53" spans="1:13">
      <c r="A53" s="3">
        <f t="shared" si="2"/>
        <v>1</v>
      </c>
      <c r="B53" s="467"/>
      <c r="C53" s="466"/>
      <c r="D53" s="466"/>
      <c r="E53" s="193"/>
      <c r="F53" s="193">
        <f t="shared" si="0"/>
        <v>0</v>
      </c>
      <c r="G53" s="193" t="str">
        <f>IF(IFERROR(IF(Str_TypeDonneesCpt4=Cpt_Index,Tab_Compteur_4[[#This Row],[Index]]-E52,Tab_Compteur_4[[#This Row],[Quantité]])/Tab_Compteur_4[[#This Row],[Delta Jour]],"")&lt;0,"",IFERROR(IF(Str_TypeDonneesCpt4=Cpt_Index,Tab_Compteur_4[[#This Row],[Index]]-E52,Tab_Compteur_4[[#This Row],[Quantité]])/Tab_Compteur_4[[#This Row],[Delta Jour]],""))</f>
        <v/>
      </c>
      <c r="H53" s="193" t="str">
        <f>IFERROR(Tab_Compteur_4[[#This Row],[Montant]]/Tab_Compteur_4[[#This Row],[Delta Jour]],"")</f>
        <v/>
      </c>
      <c r="I53" s="215" t="str">
        <f t="shared" si="1"/>
        <v/>
      </c>
      <c r="J53" s="216"/>
      <c r="K53" s="38"/>
      <c r="L53" s="38"/>
      <c r="M53" s="38"/>
    </row>
    <row r="54" spans="1:13">
      <c r="A54" s="3">
        <f t="shared" si="2"/>
        <v>1</v>
      </c>
      <c r="B54" s="467"/>
      <c r="C54" s="466"/>
      <c r="D54" s="466"/>
      <c r="E54" s="193"/>
      <c r="F54" s="193">
        <f t="shared" si="0"/>
        <v>0</v>
      </c>
      <c r="G54" s="193" t="str">
        <f>IF(IFERROR(IF(Str_TypeDonneesCpt4=Cpt_Index,Tab_Compteur_4[[#This Row],[Index]]-E53,Tab_Compteur_4[[#This Row],[Quantité]])/Tab_Compteur_4[[#This Row],[Delta Jour]],"")&lt;0,"",IFERROR(IF(Str_TypeDonneesCpt4=Cpt_Index,Tab_Compteur_4[[#This Row],[Index]]-E53,Tab_Compteur_4[[#This Row],[Quantité]])/Tab_Compteur_4[[#This Row],[Delta Jour]],""))</f>
        <v/>
      </c>
      <c r="H54" s="193" t="str">
        <f>IFERROR(Tab_Compteur_4[[#This Row],[Montant]]/Tab_Compteur_4[[#This Row],[Delta Jour]],"")</f>
        <v/>
      </c>
      <c r="I54" s="215" t="str">
        <f t="shared" si="1"/>
        <v/>
      </c>
      <c r="J54" s="216"/>
      <c r="K54" s="38"/>
      <c r="L54" s="38"/>
      <c r="M54" s="38"/>
    </row>
    <row r="55" spans="1:13">
      <c r="A55" s="3">
        <f t="shared" si="2"/>
        <v>1</v>
      </c>
      <c r="B55" s="467"/>
      <c r="C55" s="466"/>
      <c r="D55" s="466"/>
      <c r="E55" s="193"/>
      <c r="F55" s="193">
        <f t="shared" si="0"/>
        <v>0</v>
      </c>
      <c r="G55" s="193" t="str">
        <f>IF(IFERROR(IF(Str_TypeDonneesCpt4=Cpt_Index,Tab_Compteur_4[[#This Row],[Index]]-E54,Tab_Compteur_4[[#This Row],[Quantité]])/Tab_Compteur_4[[#This Row],[Delta Jour]],"")&lt;0,"",IFERROR(IF(Str_TypeDonneesCpt4=Cpt_Index,Tab_Compteur_4[[#This Row],[Index]]-E54,Tab_Compteur_4[[#This Row],[Quantité]])/Tab_Compteur_4[[#This Row],[Delta Jour]],""))</f>
        <v/>
      </c>
      <c r="H55" s="193" t="str">
        <f>IFERROR(Tab_Compteur_4[[#This Row],[Montant]]/Tab_Compteur_4[[#This Row],[Delta Jour]],"")</f>
        <v/>
      </c>
      <c r="I55" s="215" t="str">
        <f t="shared" si="1"/>
        <v/>
      </c>
      <c r="J55" s="216"/>
      <c r="K55" s="38"/>
      <c r="L55" s="38"/>
      <c r="M55" s="38"/>
    </row>
    <row r="56" spans="1:13">
      <c r="A56" s="3">
        <f t="shared" si="2"/>
        <v>1</v>
      </c>
      <c r="B56" s="467"/>
      <c r="C56" s="466"/>
      <c r="D56" s="466"/>
      <c r="E56" s="193"/>
      <c r="F56" s="193">
        <f t="shared" si="0"/>
        <v>0</v>
      </c>
      <c r="G56" s="193" t="str">
        <f>IF(IFERROR(IF(Str_TypeDonneesCpt4=Cpt_Index,Tab_Compteur_4[[#This Row],[Index]]-E55,Tab_Compteur_4[[#This Row],[Quantité]])/Tab_Compteur_4[[#This Row],[Delta Jour]],"")&lt;0,"",IFERROR(IF(Str_TypeDonneesCpt4=Cpt_Index,Tab_Compteur_4[[#This Row],[Index]]-E55,Tab_Compteur_4[[#This Row],[Quantité]])/Tab_Compteur_4[[#This Row],[Delta Jour]],""))</f>
        <v/>
      </c>
      <c r="H56" s="193" t="str">
        <f>IFERROR(Tab_Compteur_4[[#This Row],[Montant]]/Tab_Compteur_4[[#This Row],[Delta Jour]],"")</f>
        <v/>
      </c>
      <c r="I56" s="215" t="str">
        <f t="shared" si="1"/>
        <v/>
      </c>
      <c r="J56" s="216"/>
      <c r="K56" s="38"/>
      <c r="L56" s="38"/>
      <c r="M56" s="38"/>
    </row>
    <row r="57" spans="1:13">
      <c r="A57" s="3">
        <f t="shared" si="2"/>
        <v>1</v>
      </c>
      <c r="B57" s="467"/>
      <c r="C57" s="466"/>
      <c r="D57" s="466"/>
      <c r="E57" s="193"/>
      <c r="F57" s="193">
        <f t="shared" si="0"/>
        <v>0</v>
      </c>
      <c r="G57" s="193" t="str">
        <f>IF(IFERROR(IF(Str_TypeDonneesCpt4=Cpt_Index,Tab_Compteur_4[[#This Row],[Index]]-E56,Tab_Compteur_4[[#This Row],[Quantité]])/Tab_Compteur_4[[#This Row],[Delta Jour]],"")&lt;0,"",IFERROR(IF(Str_TypeDonneesCpt4=Cpt_Index,Tab_Compteur_4[[#This Row],[Index]]-E56,Tab_Compteur_4[[#This Row],[Quantité]])/Tab_Compteur_4[[#This Row],[Delta Jour]],""))</f>
        <v/>
      </c>
      <c r="H57" s="193" t="str">
        <f>IFERROR(Tab_Compteur_4[[#This Row],[Montant]]/Tab_Compteur_4[[#This Row],[Delta Jour]],"")</f>
        <v/>
      </c>
      <c r="I57" s="215" t="str">
        <f t="shared" si="1"/>
        <v/>
      </c>
      <c r="J57" s="216"/>
      <c r="K57" s="38"/>
      <c r="L57" s="38"/>
      <c r="M57" s="38"/>
    </row>
    <row r="58" spans="1:13">
      <c r="A58" s="3">
        <f t="shared" si="2"/>
        <v>1</v>
      </c>
      <c r="B58" s="88"/>
      <c r="C58" s="199"/>
      <c r="D58" s="200"/>
      <c r="E58" s="193"/>
      <c r="F58" s="193">
        <f t="shared" si="0"/>
        <v>0</v>
      </c>
      <c r="G58" s="193" t="str">
        <f>IF(IFERROR(IF(Str_TypeDonneesCpt4=Cpt_Index,Tab_Compteur_4[[#This Row],[Index]]-E57,Tab_Compteur_4[[#This Row],[Quantité]])/Tab_Compteur_4[[#This Row],[Delta Jour]],"")&lt;0,"",IFERROR(IF(Str_TypeDonneesCpt4=Cpt_Index,Tab_Compteur_4[[#This Row],[Index]]-E57,Tab_Compteur_4[[#This Row],[Quantité]])/Tab_Compteur_4[[#This Row],[Delta Jour]],""))</f>
        <v/>
      </c>
      <c r="H58" s="193" t="str">
        <f>IFERROR(Tab_Compteur_4[[#This Row],[Montant]]/Tab_Compteur_4[[#This Row],[Delta Jour]],"")</f>
        <v/>
      </c>
      <c r="I58" s="215" t="str">
        <f t="shared" si="1"/>
        <v/>
      </c>
      <c r="J58" s="216"/>
      <c r="K58" s="38"/>
      <c r="L58" s="38"/>
      <c r="M58" s="38"/>
    </row>
    <row r="59" spans="1:13">
      <c r="A59" s="3">
        <f t="shared" si="2"/>
        <v>1</v>
      </c>
      <c r="B59" s="88"/>
      <c r="C59" s="199"/>
      <c r="D59" s="200"/>
      <c r="E59" s="193"/>
      <c r="F59" s="193">
        <f t="shared" si="0"/>
        <v>0</v>
      </c>
      <c r="G59" s="193" t="str">
        <f>IF(IFERROR(IF(Str_TypeDonneesCpt4=Cpt_Index,Tab_Compteur_4[[#This Row],[Index]]-E58,Tab_Compteur_4[[#This Row],[Quantité]])/Tab_Compteur_4[[#This Row],[Delta Jour]],"")&lt;0,"",IFERROR(IF(Str_TypeDonneesCpt4=Cpt_Index,Tab_Compteur_4[[#This Row],[Index]]-E58,Tab_Compteur_4[[#This Row],[Quantité]])/Tab_Compteur_4[[#This Row],[Delta Jour]],""))</f>
        <v/>
      </c>
      <c r="H59" s="193" t="str">
        <f>IFERROR(Tab_Compteur_4[[#This Row],[Montant]]/Tab_Compteur_4[[#This Row],[Delta Jour]],"")</f>
        <v/>
      </c>
      <c r="I59" s="215" t="str">
        <f t="shared" si="1"/>
        <v/>
      </c>
      <c r="J59" s="216"/>
      <c r="K59" s="38"/>
      <c r="L59" s="38"/>
      <c r="M59" s="38"/>
    </row>
    <row r="60" spans="1:13">
      <c r="A60" s="3">
        <f t="shared" si="2"/>
        <v>1</v>
      </c>
      <c r="B60" s="88"/>
      <c r="C60" s="196"/>
      <c r="D60" s="195"/>
      <c r="E60" s="193"/>
      <c r="F60" s="193">
        <f t="shared" si="0"/>
        <v>0</v>
      </c>
      <c r="G60" s="193" t="str">
        <f>IF(IFERROR(IF(Str_TypeDonneesCpt4=Cpt_Index,Tab_Compteur_4[[#This Row],[Index]]-E59,Tab_Compteur_4[[#This Row],[Quantité]])/Tab_Compteur_4[[#This Row],[Delta Jour]],"")&lt;0,"",IFERROR(IF(Str_TypeDonneesCpt4=Cpt_Index,Tab_Compteur_4[[#This Row],[Index]]-E59,Tab_Compteur_4[[#This Row],[Quantité]])/Tab_Compteur_4[[#This Row],[Delta Jour]],""))</f>
        <v/>
      </c>
      <c r="H60" s="193" t="str">
        <f>IFERROR(Tab_Compteur_4[[#This Row],[Montant]]/Tab_Compteur_4[[#This Row],[Delta Jour]],"")</f>
        <v/>
      </c>
      <c r="I60" s="215" t="str">
        <f t="shared" si="1"/>
        <v/>
      </c>
      <c r="J60" s="216"/>
      <c r="K60" s="38"/>
      <c r="L60" s="38"/>
      <c r="M60" s="38"/>
    </row>
    <row r="61" spans="1:13">
      <c r="A61" s="3">
        <f t="shared" si="2"/>
        <v>1</v>
      </c>
      <c r="B61" s="88"/>
      <c r="C61" s="196"/>
      <c r="D61" s="195"/>
      <c r="E61" s="193"/>
      <c r="F61" s="193">
        <f t="shared" si="0"/>
        <v>0</v>
      </c>
      <c r="G61" s="193" t="str">
        <f>IF(IFERROR(IF(Str_TypeDonneesCpt4=Cpt_Index,Tab_Compteur_4[[#This Row],[Index]]-E60,Tab_Compteur_4[[#This Row],[Quantité]])/Tab_Compteur_4[[#This Row],[Delta Jour]],"")&lt;0,"",IFERROR(IF(Str_TypeDonneesCpt4=Cpt_Index,Tab_Compteur_4[[#This Row],[Index]]-E60,Tab_Compteur_4[[#This Row],[Quantité]])/Tab_Compteur_4[[#This Row],[Delta Jour]],""))</f>
        <v/>
      </c>
      <c r="H61" s="193" t="str">
        <f>IFERROR(Tab_Compteur_4[[#This Row],[Montant]]/Tab_Compteur_4[[#This Row],[Delta Jour]],"")</f>
        <v/>
      </c>
      <c r="I61" s="215" t="str">
        <f t="shared" si="1"/>
        <v/>
      </c>
      <c r="J61" s="216"/>
      <c r="K61" s="38"/>
      <c r="L61" s="38"/>
      <c r="M61" s="38"/>
    </row>
    <row r="62" spans="1:13">
      <c r="A62" s="3">
        <f t="shared" si="2"/>
        <v>1</v>
      </c>
      <c r="B62" s="88"/>
      <c r="C62" s="196"/>
      <c r="D62" s="195"/>
      <c r="E62" s="193"/>
      <c r="F62" s="193">
        <f t="shared" si="0"/>
        <v>0</v>
      </c>
      <c r="G62" s="193" t="str">
        <f>IF(IFERROR(IF(Str_TypeDonneesCpt4=Cpt_Index,Tab_Compteur_4[[#This Row],[Index]]-E61,Tab_Compteur_4[[#This Row],[Quantité]])/Tab_Compteur_4[[#This Row],[Delta Jour]],"")&lt;0,"",IFERROR(IF(Str_TypeDonneesCpt4=Cpt_Index,Tab_Compteur_4[[#This Row],[Index]]-E61,Tab_Compteur_4[[#This Row],[Quantité]])/Tab_Compteur_4[[#This Row],[Delta Jour]],""))</f>
        <v/>
      </c>
      <c r="H62" s="193" t="str">
        <f>IFERROR(Tab_Compteur_4[[#This Row],[Montant]]/Tab_Compteur_4[[#This Row],[Delta Jour]],"")</f>
        <v/>
      </c>
      <c r="I62" s="215" t="str">
        <f t="shared" si="1"/>
        <v/>
      </c>
      <c r="J62" s="216"/>
      <c r="K62" s="38"/>
      <c r="L62" s="38"/>
      <c r="M62" s="38"/>
    </row>
    <row r="63" spans="1:13">
      <c r="A63" s="3">
        <f t="shared" si="2"/>
        <v>1</v>
      </c>
      <c r="B63" s="88"/>
      <c r="C63" s="196"/>
      <c r="D63" s="195"/>
      <c r="E63" s="193"/>
      <c r="F63" s="193">
        <f t="shared" si="0"/>
        <v>0</v>
      </c>
      <c r="G63" s="193" t="str">
        <f>IF(IFERROR(IF(Str_TypeDonneesCpt4=Cpt_Index,Tab_Compteur_4[[#This Row],[Index]]-E62,Tab_Compteur_4[[#This Row],[Quantité]])/Tab_Compteur_4[[#This Row],[Delta Jour]],"")&lt;0,"",IFERROR(IF(Str_TypeDonneesCpt4=Cpt_Index,Tab_Compteur_4[[#This Row],[Index]]-E62,Tab_Compteur_4[[#This Row],[Quantité]])/Tab_Compteur_4[[#This Row],[Delta Jour]],""))</f>
        <v/>
      </c>
      <c r="H63" s="193" t="str">
        <f>IFERROR(Tab_Compteur_4[[#This Row],[Montant]]/Tab_Compteur_4[[#This Row],[Delta Jour]],"")</f>
        <v/>
      </c>
      <c r="I63" s="215" t="str">
        <f t="shared" si="1"/>
        <v/>
      </c>
      <c r="J63" s="216"/>
      <c r="K63" s="38"/>
      <c r="L63" s="38"/>
      <c r="M63" s="38"/>
    </row>
    <row r="64" spans="1:13">
      <c r="A64" s="3">
        <f t="shared" si="2"/>
        <v>1</v>
      </c>
      <c r="B64" s="88"/>
      <c r="C64" s="196"/>
      <c r="D64" s="195"/>
      <c r="E64" s="193"/>
      <c r="F64" s="193">
        <f t="shared" si="0"/>
        <v>0</v>
      </c>
      <c r="G64" s="193" t="str">
        <f>IF(IFERROR(IF(Str_TypeDonneesCpt4=Cpt_Index,Tab_Compteur_4[[#This Row],[Index]]-E63,Tab_Compteur_4[[#This Row],[Quantité]])/Tab_Compteur_4[[#This Row],[Delta Jour]],"")&lt;0,"",IFERROR(IF(Str_TypeDonneesCpt4=Cpt_Index,Tab_Compteur_4[[#This Row],[Index]]-E63,Tab_Compteur_4[[#This Row],[Quantité]])/Tab_Compteur_4[[#This Row],[Delta Jour]],""))</f>
        <v/>
      </c>
      <c r="H64" s="193" t="str">
        <f>IFERROR(Tab_Compteur_4[[#This Row],[Montant]]/Tab_Compteur_4[[#This Row],[Delta Jour]],"")</f>
        <v/>
      </c>
      <c r="I64" s="215" t="str">
        <f t="shared" si="1"/>
        <v/>
      </c>
      <c r="J64" s="216"/>
      <c r="K64" s="38"/>
      <c r="L64" s="38"/>
      <c r="M64" s="38"/>
    </row>
    <row r="65" spans="1:13">
      <c r="A65" s="3">
        <f t="shared" si="2"/>
        <v>1</v>
      </c>
      <c r="B65" s="88"/>
      <c r="C65" s="196"/>
      <c r="D65" s="195"/>
      <c r="E65" s="193"/>
      <c r="F65" s="193">
        <f t="shared" si="0"/>
        <v>0</v>
      </c>
      <c r="G65" s="193" t="str">
        <f>IF(IFERROR(IF(Str_TypeDonneesCpt4=Cpt_Index,Tab_Compteur_4[[#This Row],[Index]]-E64,Tab_Compteur_4[[#This Row],[Quantité]])/Tab_Compteur_4[[#This Row],[Delta Jour]],"")&lt;0,"",IFERROR(IF(Str_TypeDonneesCpt4=Cpt_Index,Tab_Compteur_4[[#This Row],[Index]]-E64,Tab_Compteur_4[[#This Row],[Quantité]])/Tab_Compteur_4[[#This Row],[Delta Jour]],""))</f>
        <v/>
      </c>
      <c r="H65" s="193" t="str">
        <f>IFERROR(Tab_Compteur_4[[#This Row],[Montant]]/Tab_Compteur_4[[#This Row],[Delta Jour]],"")</f>
        <v/>
      </c>
      <c r="I65" s="215" t="str">
        <f t="shared" si="1"/>
        <v/>
      </c>
      <c r="J65" s="216"/>
      <c r="K65" s="38"/>
      <c r="L65" s="38"/>
      <c r="M65" s="38"/>
    </row>
    <row r="66" spans="1:13">
      <c r="A66" s="3">
        <f t="shared" si="2"/>
        <v>1</v>
      </c>
      <c r="B66" s="88"/>
      <c r="C66" s="196"/>
      <c r="D66" s="195"/>
      <c r="E66" s="193"/>
      <c r="F66" s="193">
        <f t="shared" si="0"/>
        <v>0</v>
      </c>
      <c r="G66" s="193" t="str">
        <f>IF(IFERROR(IF(Str_TypeDonneesCpt4=Cpt_Index,Tab_Compteur_4[[#This Row],[Index]]-E65,Tab_Compteur_4[[#This Row],[Quantité]])/Tab_Compteur_4[[#This Row],[Delta Jour]],"")&lt;0,"",IFERROR(IF(Str_TypeDonneesCpt4=Cpt_Index,Tab_Compteur_4[[#This Row],[Index]]-E65,Tab_Compteur_4[[#This Row],[Quantité]])/Tab_Compteur_4[[#This Row],[Delta Jour]],""))</f>
        <v/>
      </c>
      <c r="H66" s="193" t="str">
        <f>IFERROR(Tab_Compteur_4[[#This Row],[Montant]]/Tab_Compteur_4[[#This Row],[Delta Jour]],"")</f>
        <v/>
      </c>
      <c r="I66" s="215" t="str">
        <f t="shared" si="1"/>
        <v/>
      </c>
      <c r="J66" s="216"/>
      <c r="K66" s="38"/>
      <c r="L66" s="38"/>
      <c r="M66" s="38"/>
    </row>
    <row r="67" spans="1:13">
      <c r="A67" s="3">
        <f t="shared" si="2"/>
        <v>1</v>
      </c>
      <c r="B67" s="88"/>
      <c r="C67" s="196"/>
      <c r="D67" s="195"/>
      <c r="E67" s="193"/>
      <c r="F67" s="193">
        <f t="shared" ref="F67:F130" si="3">IFERROR(B67-A67+1,"")</f>
        <v>0</v>
      </c>
      <c r="G67" s="193" t="str">
        <f>IF(IFERROR(IF(Str_TypeDonneesCpt4=Cpt_Index,Tab_Compteur_4[[#This Row],[Index]]-E66,Tab_Compteur_4[[#This Row],[Quantité]])/Tab_Compteur_4[[#This Row],[Delta Jour]],"")&lt;0,"",IFERROR(IF(Str_TypeDonneesCpt4=Cpt_Index,Tab_Compteur_4[[#This Row],[Index]]-E66,Tab_Compteur_4[[#This Row],[Quantité]])/Tab_Compteur_4[[#This Row],[Delta Jour]],""))</f>
        <v/>
      </c>
      <c r="H67" s="193" t="str">
        <f>IFERROR(Tab_Compteur_4[[#This Row],[Montant]]/Tab_Compteur_4[[#This Row],[Delta Jour]],"")</f>
        <v/>
      </c>
      <c r="I67" s="215" t="str">
        <f t="shared" ref="I67:I130" si="4">G67</f>
        <v/>
      </c>
      <c r="J67" s="216"/>
      <c r="K67" s="38"/>
      <c r="L67" s="38"/>
      <c r="M67" s="38"/>
    </row>
    <row r="68" spans="1:13">
      <c r="A68" s="3">
        <f t="shared" si="2"/>
        <v>1</v>
      </c>
      <c r="B68" s="88"/>
      <c r="C68" s="196"/>
      <c r="D68" s="195"/>
      <c r="E68" s="193"/>
      <c r="F68" s="193">
        <f t="shared" si="3"/>
        <v>0</v>
      </c>
      <c r="G68" s="193" t="str">
        <f>IF(IFERROR(IF(Str_TypeDonneesCpt4=Cpt_Index,Tab_Compteur_4[[#This Row],[Index]]-E67,Tab_Compteur_4[[#This Row],[Quantité]])/Tab_Compteur_4[[#This Row],[Delta Jour]],"")&lt;0,"",IFERROR(IF(Str_TypeDonneesCpt4=Cpt_Index,Tab_Compteur_4[[#This Row],[Index]]-E67,Tab_Compteur_4[[#This Row],[Quantité]])/Tab_Compteur_4[[#This Row],[Delta Jour]],""))</f>
        <v/>
      </c>
      <c r="H68" s="193" t="str">
        <f>IFERROR(Tab_Compteur_4[[#This Row],[Montant]]/Tab_Compteur_4[[#This Row],[Delta Jour]],"")</f>
        <v/>
      </c>
      <c r="I68" s="215" t="str">
        <f t="shared" si="4"/>
        <v/>
      </c>
      <c r="J68" s="216"/>
      <c r="K68" s="38"/>
      <c r="L68" s="38"/>
      <c r="M68" s="38"/>
    </row>
    <row r="69" spans="1:13">
      <c r="A69" s="3">
        <f t="shared" si="2"/>
        <v>1</v>
      </c>
      <c r="B69" s="88"/>
      <c r="C69" s="196"/>
      <c r="D69" s="195"/>
      <c r="E69" s="193"/>
      <c r="F69" s="193">
        <f t="shared" si="3"/>
        <v>0</v>
      </c>
      <c r="G69" s="193" t="str">
        <f>IF(IFERROR(IF(Str_TypeDonneesCpt4=Cpt_Index,Tab_Compteur_4[[#This Row],[Index]]-E68,Tab_Compteur_4[[#This Row],[Quantité]])/Tab_Compteur_4[[#This Row],[Delta Jour]],"")&lt;0,"",IFERROR(IF(Str_TypeDonneesCpt4=Cpt_Index,Tab_Compteur_4[[#This Row],[Index]]-E68,Tab_Compteur_4[[#This Row],[Quantité]])/Tab_Compteur_4[[#This Row],[Delta Jour]],""))</f>
        <v/>
      </c>
      <c r="H69" s="193" t="str">
        <f>IFERROR(Tab_Compteur_4[[#This Row],[Montant]]/Tab_Compteur_4[[#This Row],[Delta Jour]],"")</f>
        <v/>
      </c>
      <c r="I69" s="215" t="str">
        <f t="shared" si="4"/>
        <v/>
      </c>
      <c r="J69" s="216"/>
      <c r="K69" s="38"/>
      <c r="L69" s="38"/>
      <c r="M69" s="38"/>
    </row>
    <row r="70" spans="1:13">
      <c r="A70" s="3">
        <f t="shared" ref="A70:A133" si="5">IFERROR(B69+1,0)</f>
        <v>1</v>
      </c>
      <c r="B70" s="88"/>
      <c r="C70" s="196"/>
      <c r="D70" s="195"/>
      <c r="E70" s="193"/>
      <c r="F70" s="193">
        <f t="shared" si="3"/>
        <v>0</v>
      </c>
      <c r="G70" s="193" t="str">
        <f>IF(IFERROR(IF(Str_TypeDonneesCpt4=Cpt_Index,Tab_Compteur_4[[#This Row],[Index]]-E69,Tab_Compteur_4[[#This Row],[Quantité]])/Tab_Compteur_4[[#This Row],[Delta Jour]],"")&lt;0,"",IFERROR(IF(Str_TypeDonneesCpt4=Cpt_Index,Tab_Compteur_4[[#This Row],[Index]]-E69,Tab_Compteur_4[[#This Row],[Quantité]])/Tab_Compteur_4[[#This Row],[Delta Jour]],""))</f>
        <v/>
      </c>
      <c r="H70" s="193" t="str">
        <f>IFERROR(Tab_Compteur_4[[#This Row],[Montant]]/Tab_Compteur_4[[#This Row],[Delta Jour]],"")</f>
        <v/>
      </c>
      <c r="I70" s="215" t="str">
        <f t="shared" si="4"/>
        <v/>
      </c>
      <c r="J70" s="216"/>
      <c r="K70" s="38"/>
      <c r="L70" s="38"/>
      <c r="M70" s="38"/>
    </row>
    <row r="71" spans="1:13">
      <c r="A71" s="3">
        <f t="shared" si="5"/>
        <v>1</v>
      </c>
      <c r="B71" s="88"/>
      <c r="C71" s="196"/>
      <c r="D71" s="195"/>
      <c r="E71" s="193"/>
      <c r="F71" s="193">
        <f t="shared" si="3"/>
        <v>0</v>
      </c>
      <c r="G71" s="193" t="str">
        <f>IF(IFERROR(IF(Str_TypeDonneesCpt4=Cpt_Index,Tab_Compteur_4[[#This Row],[Index]]-E70,Tab_Compteur_4[[#This Row],[Quantité]])/Tab_Compteur_4[[#This Row],[Delta Jour]],"")&lt;0,"",IFERROR(IF(Str_TypeDonneesCpt4=Cpt_Index,Tab_Compteur_4[[#This Row],[Index]]-E70,Tab_Compteur_4[[#This Row],[Quantité]])/Tab_Compteur_4[[#This Row],[Delta Jour]],""))</f>
        <v/>
      </c>
      <c r="H71" s="193" t="str">
        <f>IFERROR(Tab_Compteur_4[[#This Row],[Montant]]/Tab_Compteur_4[[#This Row],[Delta Jour]],"")</f>
        <v/>
      </c>
      <c r="I71" s="215" t="str">
        <f t="shared" si="4"/>
        <v/>
      </c>
      <c r="J71" s="216"/>
      <c r="K71" s="38"/>
      <c r="L71" s="38"/>
      <c r="M71" s="38"/>
    </row>
    <row r="72" spans="1:13">
      <c r="A72" s="3">
        <f t="shared" si="5"/>
        <v>1</v>
      </c>
      <c r="B72" s="88"/>
      <c r="C72" s="196"/>
      <c r="D72" s="195"/>
      <c r="E72" s="193"/>
      <c r="F72" s="193">
        <f t="shared" si="3"/>
        <v>0</v>
      </c>
      <c r="G72" s="193" t="str">
        <f>IF(IFERROR(IF(Str_TypeDonneesCpt4=Cpt_Index,Tab_Compteur_4[[#This Row],[Index]]-E71,Tab_Compteur_4[[#This Row],[Quantité]])/Tab_Compteur_4[[#This Row],[Delta Jour]],"")&lt;0,"",IFERROR(IF(Str_TypeDonneesCpt4=Cpt_Index,Tab_Compteur_4[[#This Row],[Index]]-E71,Tab_Compteur_4[[#This Row],[Quantité]])/Tab_Compteur_4[[#This Row],[Delta Jour]],""))</f>
        <v/>
      </c>
      <c r="H72" s="193" t="str">
        <f>IFERROR(Tab_Compteur_4[[#This Row],[Montant]]/Tab_Compteur_4[[#This Row],[Delta Jour]],"")</f>
        <v/>
      </c>
      <c r="I72" s="215" t="str">
        <f t="shared" si="4"/>
        <v/>
      </c>
      <c r="J72" s="216"/>
      <c r="K72" s="38"/>
      <c r="L72" s="38"/>
      <c r="M72" s="38"/>
    </row>
    <row r="73" spans="1:13">
      <c r="A73" s="3">
        <f t="shared" si="5"/>
        <v>1</v>
      </c>
      <c r="B73" s="88"/>
      <c r="C73" s="196"/>
      <c r="D73" s="195"/>
      <c r="E73" s="193"/>
      <c r="F73" s="193">
        <f t="shared" si="3"/>
        <v>0</v>
      </c>
      <c r="G73" s="193" t="str">
        <f>IF(IFERROR(IF(Str_TypeDonneesCpt4=Cpt_Index,Tab_Compteur_4[[#This Row],[Index]]-E72,Tab_Compteur_4[[#This Row],[Quantité]])/Tab_Compteur_4[[#This Row],[Delta Jour]],"")&lt;0,"",IFERROR(IF(Str_TypeDonneesCpt4=Cpt_Index,Tab_Compteur_4[[#This Row],[Index]]-E72,Tab_Compteur_4[[#This Row],[Quantité]])/Tab_Compteur_4[[#This Row],[Delta Jour]],""))</f>
        <v/>
      </c>
      <c r="H73" s="193" t="str">
        <f>IFERROR(Tab_Compteur_4[[#This Row],[Montant]]/Tab_Compteur_4[[#This Row],[Delta Jour]],"")</f>
        <v/>
      </c>
      <c r="I73" s="215" t="str">
        <f t="shared" si="4"/>
        <v/>
      </c>
      <c r="J73" s="216"/>
      <c r="K73" s="38"/>
      <c r="L73" s="38"/>
      <c r="M73" s="38"/>
    </row>
    <row r="74" spans="1:13">
      <c r="A74" s="3">
        <f t="shared" si="5"/>
        <v>1</v>
      </c>
      <c r="B74" s="88"/>
      <c r="C74" s="196"/>
      <c r="D74" s="195"/>
      <c r="E74" s="193"/>
      <c r="F74" s="193">
        <f t="shared" si="3"/>
        <v>0</v>
      </c>
      <c r="G74" s="193" t="str">
        <f>IF(IFERROR(IF(Str_TypeDonneesCpt4=Cpt_Index,Tab_Compteur_4[[#This Row],[Index]]-E73,Tab_Compteur_4[[#This Row],[Quantité]])/Tab_Compteur_4[[#This Row],[Delta Jour]],"")&lt;0,"",IFERROR(IF(Str_TypeDonneesCpt4=Cpt_Index,Tab_Compteur_4[[#This Row],[Index]]-E73,Tab_Compteur_4[[#This Row],[Quantité]])/Tab_Compteur_4[[#This Row],[Delta Jour]],""))</f>
        <v/>
      </c>
      <c r="H74" s="193" t="str">
        <f>IFERROR(Tab_Compteur_4[[#This Row],[Montant]]/Tab_Compteur_4[[#This Row],[Delta Jour]],"")</f>
        <v/>
      </c>
      <c r="I74" s="215" t="str">
        <f t="shared" si="4"/>
        <v/>
      </c>
      <c r="J74" s="216"/>
      <c r="K74" s="38"/>
      <c r="L74" s="38"/>
      <c r="M74" s="38"/>
    </row>
    <row r="75" spans="1:13">
      <c r="A75" s="3">
        <f t="shared" si="5"/>
        <v>1</v>
      </c>
      <c r="B75" s="88"/>
      <c r="C75" s="196"/>
      <c r="D75" s="195"/>
      <c r="E75" s="193"/>
      <c r="F75" s="193">
        <f t="shared" si="3"/>
        <v>0</v>
      </c>
      <c r="G75" s="193" t="str">
        <f>IF(IFERROR(IF(Str_TypeDonneesCpt4=Cpt_Index,Tab_Compteur_4[[#This Row],[Index]]-E74,Tab_Compteur_4[[#This Row],[Quantité]])/Tab_Compteur_4[[#This Row],[Delta Jour]],"")&lt;0,"",IFERROR(IF(Str_TypeDonneesCpt4=Cpt_Index,Tab_Compteur_4[[#This Row],[Index]]-E74,Tab_Compteur_4[[#This Row],[Quantité]])/Tab_Compteur_4[[#This Row],[Delta Jour]],""))</f>
        <v/>
      </c>
      <c r="H75" s="193" t="str">
        <f>IFERROR(Tab_Compteur_4[[#This Row],[Montant]]/Tab_Compteur_4[[#This Row],[Delta Jour]],"")</f>
        <v/>
      </c>
      <c r="I75" s="215" t="str">
        <f t="shared" si="4"/>
        <v/>
      </c>
      <c r="J75" s="216"/>
      <c r="K75" s="38"/>
      <c r="L75" s="38"/>
      <c r="M75" s="38"/>
    </row>
    <row r="76" spans="1:13">
      <c r="A76" s="3">
        <f t="shared" si="5"/>
        <v>1</v>
      </c>
      <c r="B76" s="88"/>
      <c r="C76" s="196"/>
      <c r="D76" s="195"/>
      <c r="E76" s="193"/>
      <c r="F76" s="193">
        <f t="shared" si="3"/>
        <v>0</v>
      </c>
      <c r="G76" s="193" t="str">
        <f>IF(IFERROR(IF(Str_TypeDonneesCpt4=Cpt_Index,Tab_Compteur_4[[#This Row],[Index]]-E75,Tab_Compteur_4[[#This Row],[Quantité]])/Tab_Compteur_4[[#This Row],[Delta Jour]],"")&lt;0,"",IFERROR(IF(Str_TypeDonneesCpt4=Cpt_Index,Tab_Compteur_4[[#This Row],[Index]]-E75,Tab_Compteur_4[[#This Row],[Quantité]])/Tab_Compteur_4[[#This Row],[Delta Jour]],""))</f>
        <v/>
      </c>
      <c r="H76" s="193" t="str">
        <f>IFERROR(Tab_Compteur_4[[#This Row],[Montant]]/Tab_Compteur_4[[#This Row],[Delta Jour]],"")</f>
        <v/>
      </c>
      <c r="I76" s="215" t="str">
        <f t="shared" si="4"/>
        <v/>
      </c>
      <c r="J76" s="216"/>
      <c r="K76" s="38"/>
      <c r="L76" s="38"/>
      <c r="M76" s="38"/>
    </row>
    <row r="77" spans="1:13">
      <c r="A77" s="3">
        <f t="shared" si="5"/>
        <v>1</v>
      </c>
      <c r="B77" s="88"/>
      <c r="C77" s="196"/>
      <c r="D77" s="195"/>
      <c r="E77" s="193"/>
      <c r="F77" s="193">
        <f t="shared" si="3"/>
        <v>0</v>
      </c>
      <c r="G77" s="193" t="str">
        <f>IF(IFERROR(IF(Str_TypeDonneesCpt4=Cpt_Index,Tab_Compteur_4[[#This Row],[Index]]-E76,Tab_Compteur_4[[#This Row],[Quantité]])/Tab_Compteur_4[[#This Row],[Delta Jour]],"")&lt;0,"",IFERROR(IF(Str_TypeDonneesCpt4=Cpt_Index,Tab_Compteur_4[[#This Row],[Index]]-E76,Tab_Compteur_4[[#This Row],[Quantité]])/Tab_Compteur_4[[#This Row],[Delta Jour]],""))</f>
        <v/>
      </c>
      <c r="H77" s="193" t="str">
        <f>IFERROR(Tab_Compteur_4[[#This Row],[Montant]]/Tab_Compteur_4[[#This Row],[Delta Jour]],"")</f>
        <v/>
      </c>
      <c r="I77" s="215" t="str">
        <f t="shared" si="4"/>
        <v/>
      </c>
      <c r="J77" s="216"/>
      <c r="K77" s="38"/>
      <c r="L77" s="38"/>
      <c r="M77" s="38"/>
    </row>
    <row r="78" spans="1:13">
      <c r="A78" s="3">
        <f t="shared" si="5"/>
        <v>1</v>
      </c>
      <c r="B78" s="88"/>
      <c r="C78" s="196"/>
      <c r="D78" s="195"/>
      <c r="E78" s="193"/>
      <c r="F78" s="193">
        <f t="shared" si="3"/>
        <v>0</v>
      </c>
      <c r="G78" s="193" t="str">
        <f>IF(IFERROR(IF(Str_TypeDonneesCpt4=Cpt_Index,Tab_Compteur_4[[#This Row],[Index]]-E77,Tab_Compteur_4[[#This Row],[Quantité]])/Tab_Compteur_4[[#This Row],[Delta Jour]],"")&lt;0,"",IFERROR(IF(Str_TypeDonneesCpt4=Cpt_Index,Tab_Compteur_4[[#This Row],[Index]]-E77,Tab_Compteur_4[[#This Row],[Quantité]])/Tab_Compteur_4[[#This Row],[Delta Jour]],""))</f>
        <v/>
      </c>
      <c r="H78" s="193" t="str">
        <f>IFERROR(Tab_Compteur_4[[#This Row],[Montant]]/Tab_Compteur_4[[#This Row],[Delta Jour]],"")</f>
        <v/>
      </c>
      <c r="I78" s="215" t="str">
        <f t="shared" si="4"/>
        <v/>
      </c>
      <c r="J78" s="216"/>
      <c r="K78" s="38"/>
      <c r="L78" s="38"/>
      <c r="M78" s="38"/>
    </row>
    <row r="79" spans="1:13">
      <c r="A79" s="3">
        <f t="shared" si="5"/>
        <v>1</v>
      </c>
      <c r="B79" s="88"/>
      <c r="C79" s="196"/>
      <c r="D79" s="195"/>
      <c r="E79" s="193"/>
      <c r="F79" s="193">
        <f t="shared" si="3"/>
        <v>0</v>
      </c>
      <c r="G79" s="193" t="str">
        <f>IF(IFERROR(IF(Str_TypeDonneesCpt4=Cpt_Index,Tab_Compteur_4[[#This Row],[Index]]-E78,Tab_Compteur_4[[#This Row],[Quantité]])/Tab_Compteur_4[[#This Row],[Delta Jour]],"")&lt;0,"",IFERROR(IF(Str_TypeDonneesCpt4=Cpt_Index,Tab_Compteur_4[[#This Row],[Index]]-E78,Tab_Compteur_4[[#This Row],[Quantité]])/Tab_Compteur_4[[#This Row],[Delta Jour]],""))</f>
        <v/>
      </c>
      <c r="H79" s="193" t="str">
        <f>IFERROR(Tab_Compteur_4[[#This Row],[Montant]]/Tab_Compteur_4[[#This Row],[Delta Jour]],"")</f>
        <v/>
      </c>
      <c r="I79" s="215" t="str">
        <f t="shared" si="4"/>
        <v/>
      </c>
      <c r="J79" s="216"/>
      <c r="K79" s="38"/>
      <c r="L79" s="38"/>
      <c r="M79" s="38"/>
    </row>
    <row r="80" spans="1:13">
      <c r="A80" s="3">
        <f t="shared" si="5"/>
        <v>1</v>
      </c>
      <c r="B80" s="88"/>
      <c r="C80" s="196"/>
      <c r="D80" s="195"/>
      <c r="E80" s="193"/>
      <c r="F80" s="193">
        <f t="shared" si="3"/>
        <v>0</v>
      </c>
      <c r="G80" s="193" t="str">
        <f>IF(IFERROR(IF(Str_TypeDonneesCpt4=Cpt_Index,Tab_Compteur_4[[#This Row],[Index]]-E79,Tab_Compteur_4[[#This Row],[Quantité]])/Tab_Compteur_4[[#This Row],[Delta Jour]],"")&lt;0,"",IFERROR(IF(Str_TypeDonneesCpt4=Cpt_Index,Tab_Compteur_4[[#This Row],[Index]]-E79,Tab_Compteur_4[[#This Row],[Quantité]])/Tab_Compteur_4[[#This Row],[Delta Jour]],""))</f>
        <v/>
      </c>
      <c r="H80" s="193" t="str">
        <f>IFERROR(Tab_Compteur_4[[#This Row],[Montant]]/Tab_Compteur_4[[#This Row],[Delta Jour]],"")</f>
        <v/>
      </c>
      <c r="I80" s="215" t="str">
        <f t="shared" si="4"/>
        <v/>
      </c>
      <c r="J80" s="216"/>
      <c r="K80" s="38"/>
      <c r="L80" s="38"/>
      <c r="M80" s="38"/>
    </row>
    <row r="81" spans="1:13">
      <c r="A81" s="3">
        <f t="shared" si="5"/>
        <v>1</v>
      </c>
      <c r="B81" s="88"/>
      <c r="C81" s="196"/>
      <c r="D81" s="195"/>
      <c r="E81" s="193"/>
      <c r="F81" s="193">
        <f t="shared" si="3"/>
        <v>0</v>
      </c>
      <c r="G81" s="193" t="str">
        <f>IF(IFERROR(IF(Str_TypeDonneesCpt4=Cpt_Index,Tab_Compteur_4[[#This Row],[Index]]-E80,Tab_Compteur_4[[#This Row],[Quantité]])/Tab_Compteur_4[[#This Row],[Delta Jour]],"")&lt;0,"",IFERROR(IF(Str_TypeDonneesCpt4=Cpt_Index,Tab_Compteur_4[[#This Row],[Index]]-E80,Tab_Compteur_4[[#This Row],[Quantité]])/Tab_Compteur_4[[#This Row],[Delta Jour]],""))</f>
        <v/>
      </c>
      <c r="H81" s="193" t="str">
        <f>IFERROR(Tab_Compteur_4[[#This Row],[Montant]]/Tab_Compteur_4[[#This Row],[Delta Jour]],"")</f>
        <v/>
      </c>
      <c r="I81" s="215" t="str">
        <f t="shared" si="4"/>
        <v/>
      </c>
      <c r="J81" s="216"/>
      <c r="K81" s="38"/>
      <c r="L81" s="38"/>
      <c r="M81" s="38"/>
    </row>
    <row r="82" spans="1:13">
      <c r="A82" s="3">
        <f t="shared" si="5"/>
        <v>1</v>
      </c>
      <c r="B82" s="88"/>
      <c r="C82" s="196"/>
      <c r="D82" s="195"/>
      <c r="E82" s="193"/>
      <c r="F82" s="193">
        <f t="shared" si="3"/>
        <v>0</v>
      </c>
      <c r="G82" s="193" t="str">
        <f>IF(IFERROR(IF(Str_TypeDonneesCpt4=Cpt_Index,Tab_Compteur_4[[#This Row],[Index]]-E81,Tab_Compteur_4[[#This Row],[Quantité]])/Tab_Compteur_4[[#This Row],[Delta Jour]],"")&lt;0,"",IFERROR(IF(Str_TypeDonneesCpt4=Cpt_Index,Tab_Compteur_4[[#This Row],[Index]]-E81,Tab_Compteur_4[[#This Row],[Quantité]])/Tab_Compteur_4[[#This Row],[Delta Jour]],""))</f>
        <v/>
      </c>
      <c r="H82" s="193" t="str">
        <f>IFERROR(Tab_Compteur_4[[#This Row],[Montant]]/Tab_Compteur_4[[#This Row],[Delta Jour]],"")</f>
        <v/>
      </c>
      <c r="I82" s="215" t="str">
        <f t="shared" si="4"/>
        <v/>
      </c>
      <c r="J82" s="216"/>
      <c r="K82" s="38"/>
      <c r="L82" s="38"/>
      <c r="M82" s="38"/>
    </row>
    <row r="83" spans="1:13">
      <c r="A83" s="3">
        <f t="shared" si="5"/>
        <v>1</v>
      </c>
      <c r="B83" s="88"/>
      <c r="C83" s="196"/>
      <c r="D83" s="195"/>
      <c r="E83" s="193"/>
      <c r="F83" s="193">
        <f t="shared" si="3"/>
        <v>0</v>
      </c>
      <c r="G83" s="193" t="str">
        <f>IF(IFERROR(IF(Str_TypeDonneesCpt4=Cpt_Index,Tab_Compteur_4[[#This Row],[Index]]-E82,Tab_Compteur_4[[#This Row],[Quantité]])/Tab_Compteur_4[[#This Row],[Delta Jour]],"")&lt;0,"",IFERROR(IF(Str_TypeDonneesCpt4=Cpt_Index,Tab_Compteur_4[[#This Row],[Index]]-E82,Tab_Compteur_4[[#This Row],[Quantité]])/Tab_Compteur_4[[#This Row],[Delta Jour]],""))</f>
        <v/>
      </c>
      <c r="H83" s="193" t="str">
        <f>IFERROR(Tab_Compteur_4[[#This Row],[Montant]]/Tab_Compteur_4[[#This Row],[Delta Jour]],"")</f>
        <v/>
      </c>
      <c r="I83" s="215" t="str">
        <f t="shared" si="4"/>
        <v/>
      </c>
      <c r="J83" s="216"/>
      <c r="K83" s="38"/>
      <c r="L83" s="38"/>
      <c r="M83" s="38"/>
    </row>
    <row r="84" spans="1:13">
      <c r="A84" s="3">
        <f t="shared" si="5"/>
        <v>1</v>
      </c>
      <c r="B84" s="88"/>
      <c r="C84" s="196"/>
      <c r="D84" s="195"/>
      <c r="E84" s="193"/>
      <c r="F84" s="193">
        <f t="shared" si="3"/>
        <v>0</v>
      </c>
      <c r="G84" s="193" t="str">
        <f>IF(IFERROR(IF(Str_TypeDonneesCpt4=Cpt_Index,Tab_Compteur_4[[#This Row],[Index]]-E83,Tab_Compteur_4[[#This Row],[Quantité]])/Tab_Compteur_4[[#This Row],[Delta Jour]],"")&lt;0,"",IFERROR(IF(Str_TypeDonneesCpt4=Cpt_Index,Tab_Compteur_4[[#This Row],[Index]]-E83,Tab_Compteur_4[[#This Row],[Quantité]])/Tab_Compteur_4[[#This Row],[Delta Jour]],""))</f>
        <v/>
      </c>
      <c r="H84" s="193" t="str">
        <f>IFERROR(Tab_Compteur_4[[#This Row],[Montant]]/Tab_Compteur_4[[#This Row],[Delta Jour]],"")</f>
        <v/>
      </c>
      <c r="I84" s="215" t="str">
        <f t="shared" si="4"/>
        <v/>
      </c>
      <c r="J84" s="216"/>
      <c r="K84" s="38"/>
      <c r="L84" s="38"/>
      <c r="M84" s="38"/>
    </row>
    <row r="85" spans="1:13">
      <c r="A85" s="3">
        <f t="shared" si="5"/>
        <v>1</v>
      </c>
      <c r="B85" s="88"/>
      <c r="C85" s="196"/>
      <c r="D85" s="195"/>
      <c r="E85" s="193"/>
      <c r="F85" s="193">
        <f t="shared" si="3"/>
        <v>0</v>
      </c>
      <c r="G85" s="193" t="str">
        <f>IF(IFERROR(IF(Str_TypeDonneesCpt4=Cpt_Index,Tab_Compteur_4[[#This Row],[Index]]-E84,Tab_Compteur_4[[#This Row],[Quantité]])/Tab_Compteur_4[[#This Row],[Delta Jour]],"")&lt;0,"",IFERROR(IF(Str_TypeDonneesCpt4=Cpt_Index,Tab_Compteur_4[[#This Row],[Index]]-E84,Tab_Compteur_4[[#This Row],[Quantité]])/Tab_Compteur_4[[#This Row],[Delta Jour]],""))</f>
        <v/>
      </c>
      <c r="H85" s="193" t="str">
        <f>IFERROR(Tab_Compteur_4[[#This Row],[Montant]]/Tab_Compteur_4[[#This Row],[Delta Jour]],"")</f>
        <v/>
      </c>
      <c r="I85" s="215" t="str">
        <f t="shared" si="4"/>
        <v/>
      </c>
      <c r="J85" s="216"/>
      <c r="K85" s="38"/>
      <c r="L85" s="38"/>
      <c r="M85" s="38"/>
    </row>
    <row r="86" spans="1:13">
      <c r="A86" s="3">
        <f t="shared" si="5"/>
        <v>1</v>
      </c>
      <c r="B86" s="88"/>
      <c r="C86" s="196"/>
      <c r="D86" s="195"/>
      <c r="E86" s="193"/>
      <c r="F86" s="193">
        <f t="shared" si="3"/>
        <v>0</v>
      </c>
      <c r="G86" s="193" t="str">
        <f>IF(IFERROR(IF(Str_TypeDonneesCpt4=Cpt_Index,Tab_Compteur_4[[#This Row],[Index]]-E85,Tab_Compteur_4[[#This Row],[Quantité]])/Tab_Compteur_4[[#This Row],[Delta Jour]],"")&lt;0,"",IFERROR(IF(Str_TypeDonneesCpt4=Cpt_Index,Tab_Compteur_4[[#This Row],[Index]]-E85,Tab_Compteur_4[[#This Row],[Quantité]])/Tab_Compteur_4[[#This Row],[Delta Jour]],""))</f>
        <v/>
      </c>
      <c r="H86" s="193" t="str">
        <f>IFERROR(Tab_Compteur_4[[#This Row],[Montant]]/Tab_Compteur_4[[#This Row],[Delta Jour]],"")</f>
        <v/>
      </c>
      <c r="I86" s="215" t="str">
        <f t="shared" si="4"/>
        <v/>
      </c>
      <c r="J86" s="216"/>
      <c r="K86" s="38"/>
      <c r="L86" s="38"/>
      <c r="M86" s="38"/>
    </row>
    <row r="87" spans="1:13">
      <c r="A87" s="3">
        <f t="shared" si="5"/>
        <v>1</v>
      </c>
      <c r="B87" s="88"/>
      <c r="C87" s="196"/>
      <c r="D87" s="195"/>
      <c r="E87" s="193"/>
      <c r="F87" s="193">
        <f t="shared" si="3"/>
        <v>0</v>
      </c>
      <c r="G87" s="193" t="str">
        <f>IF(IFERROR(IF(Str_TypeDonneesCpt4=Cpt_Index,Tab_Compteur_4[[#This Row],[Index]]-E86,Tab_Compteur_4[[#This Row],[Quantité]])/Tab_Compteur_4[[#This Row],[Delta Jour]],"")&lt;0,"",IFERROR(IF(Str_TypeDonneesCpt4=Cpt_Index,Tab_Compteur_4[[#This Row],[Index]]-E86,Tab_Compteur_4[[#This Row],[Quantité]])/Tab_Compteur_4[[#This Row],[Delta Jour]],""))</f>
        <v/>
      </c>
      <c r="H87" s="193" t="str">
        <f>IFERROR(Tab_Compteur_4[[#This Row],[Montant]]/Tab_Compteur_4[[#This Row],[Delta Jour]],"")</f>
        <v/>
      </c>
      <c r="I87" s="215" t="str">
        <f t="shared" si="4"/>
        <v/>
      </c>
      <c r="J87" s="216"/>
      <c r="K87" s="38"/>
      <c r="L87" s="38"/>
      <c r="M87" s="38"/>
    </row>
    <row r="88" spans="1:13">
      <c r="A88" s="3">
        <f t="shared" si="5"/>
        <v>1</v>
      </c>
      <c r="B88" s="88"/>
      <c r="C88" s="196"/>
      <c r="D88" s="195"/>
      <c r="E88" s="193"/>
      <c r="F88" s="193">
        <f t="shared" si="3"/>
        <v>0</v>
      </c>
      <c r="G88" s="193" t="str">
        <f>IF(IFERROR(IF(Str_TypeDonneesCpt4=Cpt_Index,Tab_Compteur_4[[#This Row],[Index]]-E87,Tab_Compteur_4[[#This Row],[Quantité]])/Tab_Compteur_4[[#This Row],[Delta Jour]],"")&lt;0,"",IFERROR(IF(Str_TypeDonneesCpt4=Cpt_Index,Tab_Compteur_4[[#This Row],[Index]]-E87,Tab_Compteur_4[[#This Row],[Quantité]])/Tab_Compteur_4[[#This Row],[Delta Jour]],""))</f>
        <v/>
      </c>
      <c r="H88" s="193" t="str">
        <f>IFERROR(Tab_Compteur_4[[#This Row],[Montant]]/Tab_Compteur_4[[#This Row],[Delta Jour]],"")</f>
        <v/>
      </c>
      <c r="I88" s="215" t="str">
        <f t="shared" si="4"/>
        <v/>
      </c>
      <c r="J88" s="216"/>
      <c r="K88" s="38"/>
      <c r="L88" s="38"/>
      <c r="M88" s="38"/>
    </row>
    <row r="89" spans="1:13">
      <c r="A89" s="3">
        <f t="shared" si="5"/>
        <v>1</v>
      </c>
      <c r="B89" s="88"/>
      <c r="C89" s="196"/>
      <c r="D89" s="195"/>
      <c r="E89" s="193"/>
      <c r="F89" s="193">
        <f t="shared" si="3"/>
        <v>0</v>
      </c>
      <c r="G89" s="193" t="str">
        <f>IF(IFERROR(IF(Str_TypeDonneesCpt4=Cpt_Index,Tab_Compteur_4[[#This Row],[Index]]-E88,Tab_Compteur_4[[#This Row],[Quantité]])/Tab_Compteur_4[[#This Row],[Delta Jour]],"")&lt;0,"",IFERROR(IF(Str_TypeDonneesCpt4=Cpt_Index,Tab_Compteur_4[[#This Row],[Index]]-E88,Tab_Compteur_4[[#This Row],[Quantité]])/Tab_Compteur_4[[#This Row],[Delta Jour]],""))</f>
        <v/>
      </c>
      <c r="H89" s="193" t="str">
        <f>IFERROR(Tab_Compteur_4[[#This Row],[Montant]]/Tab_Compteur_4[[#This Row],[Delta Jour]],"")</f>
        <v/>
      </c>
      <c r="I89" s="215" t="str">
        <f t="shared" si="4"/>
        <v/>
      </c>
      <c r="J89" s="216"/>
      <c r="K89" s="38"/>
      <c r="L89" s="38"/>
      <c r="M89" s="38"/>
    </row>
    <row r="90" spans="1:13">
      <c r="A90" s="3">
        <f t="shared" si="5"/>
        <v>1</v>
      </c>
      <c r="B90" s="88"/>
      <c r="C90" s="196"/>
      <c r="D90" s="195"/>
      <c r="E90" s="193"/>
      <c r="F90" s="193">
        <f t="shared" si="3"/>
        <v>0</v>
      </c>
      <c r="G90" s="193" t="str">
        <f>IF(IFERROR(IF(Str_TypeDonneesCpt4=Cpt_Index,Tab_Compteur_4[[#This Row],[Index]]-E89,Tab_Compteur_4[[#This Row],[Quantité]])/Tab_Compteur_4[[#This Row],[Delta Jour]],"")&lt;0,"",IFERROR(IF(Str_TypeDonneesCpt4=Cpt_Index,Tab_Compteur_4[[#This Row],[Index]]-E89,Tab_Compteur_4[[#This Row],[Quantité]])/Tab_Compteur_4[[#This Row],[Delta Jour]],""))</f>
        <v/>
      </c>
      <c r="H90" s="193" t="str">
        <f>IFERROR(Tab_Compteur_4[[#This Row],[Montant]]/Tab_Compteur_4[[#This Row],[Delta Jour]],"")</f>
        <v/>
      </c>
      <c r="I90" s="215" t="str">
        <f t="shared" si="4"/>
        <v/>
      </c>
      <c r="J90" s="216"/>
      <c r="K90" s="38"/>
      <c r="L90" s="38"/>
      <c r="M90" s="38"/>
    </row>
    <row r="91" spans="1:13">
      <c r="A91" s="3">
        <f t="shared" si="5"/>
        <v>1</v>
      </c>
      <c r="B91" s="88"/>
      <c r="C91" s="196"/>
      <c r="D91" s="195"/>
      <c r="E91" s="193"/>
      <c r="F91" s="193">
        <f t="shared" si="3"/>
        <v>0</v>
      </c>
      <c r="G91" s="193" t="str">
        <f>IF(IFERROR(IF(Str_TypeDonneesCpt4=Cpt_Index,Tab_Compteur_4[[#This Row],[Index]]-E90,Tab_Compteur_4[[#This Row],[Quantité]])/Tab_Compteur_4[[#This Row],[Delta Jour]],"")&lt;0,"",IFERROR(IF(Str_TypeDonneesCpt4=Cpt_Index,Tab_Compteur_4[[#This Row],[Index]]-E90,Tab_Compteur_4[[#This Row],[Quantité]])/Tab_Compteur_4[[#This Row],[Delta Jour]],""))</f>
        <v/>
      </c>
      <c r="H91" s="193" t="str">
        <f>IFERROR(Tab_Compteur_4[[#This Row],[Montant]]/Tab_Compteur_4[[#This Row],[Delta Jour]],"")</f>
        <v/>
      </c>
      <c r="I91" s="215" t="str">
        <f t="shared" si="4"/>
        <v/>
      </c>
      <c r="J91" s="216"/>
      <c r="K91" s="38"/>
      <c r="L91" s="38"/>
      <c r="M91" s="38"/>
    </row>
    <row r="92" spans="1:13">
      <c r="A92" s="3">
        <f t="shared" si="5"/>
        <v>1</v>
      </c>
      <c r="B92" s="88"/>
      <c r="C92" s="196"/>
      <c r="D92" s="195"/>
      <c r="E92" s="193"/>
      <c r="F92" s="193">
        <f t="shared" si="3"/>
        <v>0</v>
      </c>
      <c r="G92" s="193" t="str">
        <f>IF(IFERROR(IF(Str_TypeDonneesCpt4=Cpt_Index,Tab_Compteur_4[[#This Row],[Index]]-E91,Tab_Compteur_4[[#This Row],[Quantité]])/Tab_Compteur_4[[#This Row],[Delta Jour]],"")&lt;0,"",IFERROR(IF(Str_TypeDonneesCpt4=Cpt_Index,Tab_Compteur_4[[#This Row],[Index]]-E91,Tab_Compteur_4[[#This Row],[Quantité]])/Tab_Compteur_4[[#This Row],[Delta Jour]],""))</f>
        <v/>
      </c>
      <c r="H92" s="193" t="str">
        <f>IFERROR(Tab_Compteur_4[[#This Row],[Montant]]/Tab_Compteur_4[[#This Row],[Delta Jour]],"")</f>
        <v/>
      </c>
      <c r="I92" s="215" t="str">
        <f t="shared" si="4"/>
        <v/>
      </c>
      <c r="J92" s="216"/>
      <c r="K92" s="38"/>
      <c r="L92" s="38"/>
      <c r="M92" s="38"/>
    </row>
    <row r="93" spans="1:13">
      <c r="A93" s="3">
        <f t="shared" si="5"/>
        <v>1</v>
      </c>
      <c r="B93" s="88"/>
      <c r="C93" s="196"/>
      <c r="D93" s="195"/>
      <c r="E93" s="193"/>
      <c r="F93" s="193">
        <f t="shared" si="3"/>
        <v>0</v>
      </c>
      <c r="G93" s="193" t="str">
        <f>IF(IFERROR(IF(Str_TypeDonneesCpt4=Cpt_Index,Tab_Compteur_4[[#This Row],[Index]]-E92,Tab_Compteur_4[[#This Row],[Quantité]])/Tab_Compteur_4[[#This Row],[Delta Jour]],"")&lt;0,"",IFERROR(IF(Str_TypeDonneesCpt4=Cpt_Index,Tab_Compteur_4[[#This Row],[Index]]-E92,Tab_Compteur_4[[#This Row],[Quantité]])/Tab_Compteur_4[[#This Row],[Delta Jour]],""))</f>
        <v/>
      </c>
      <c r="H93" s="193" t="str">
        <f>IFERROR(Tab_Compteur_4[[#This Row],[Montant]]/Tab_Compteur_4[[#This Row],[Delta Jour]],"")</f>
        <v/>
      </c>
      <c r="I93" s="215" t="str">
        <f t="shared" si="4"/>
        <v/>
      </c>
      <c r="J93" s="216"/>
      <c r="K93" s="38"/>
      <c r="L93" s="38"/>
      <c r="M93" s="38"/>
    </row>
    <row r="94" spans="1:13">
      <c r="A94" s="3">
        <f t="shared" si="5"/>
        <v>1</v>
      </c>
      <c r="B94" s="88"/>
      <c r="C94" s="196"/>
      <c r="D94" s="195"/>
      <c r="E94" s="193"/>
      <c r="F94" s="193">
        <f t="shared" si="3"/>
        <v>0</v>
      </c>
      <c r="G94" s="193" t="str">
        <f>IF(IFERROR(IF(Str_TypeDonneesCpt4=Cpt_Index,Tab_Compteur_4[[#This Row],[Index]]-E93,Tab_Compteur_4[[#This Row],[Quantité]])/Tab_Compteur_4[[#This Row],[Delta Jour]],"")&lt;0,"",IFERROR(IF(Str_TypeDonneesCpt4=Cpt_Index,Tab_Compteur_4[[#This Row],[Index]]-E93,Tab_Compteur_4[[#This Row],[Quantité]])/Tab_Compteur_4[[#This Row],[Delta Jour]],""))</f>
        <v/>
      </c>
      <c r="H94" s="193" t="str">
        <f>IFERROR(Tab_Compteur_4[[#This Row],[Montant]]/Tab_Compteur_4[[#This Row],[Delta Jour]],"")</f>
        <v/>
      </c>
      <c r="I94" s="215" t="str">
        <f t="shared" si="4"/>
        <v/>
      </c>
      <c r="J94" s="216"/>
      <c r="K94" s="38"/>
      <c r="L94" s="38"/>
      <c r="M94" s="38"/>
    </row>
    <row r="95" spans="1:13">
      <c r="A95" s="3">
        <f t="shared" si="5"/>
        <v>1</v>
      </c>
      <c r="B95" s="88"/>
      <c r="C95" s="196"/>
      <c r="D95" s="195"/>
      <c r="E95" s="193"/>
      <c r="F95" s="193">
        <f t="shared" si="3"/>
        <v>0</v>
      </c>
      <c r="G95" s="193" t="str">
        <f>IF(IFERROR(IF(Str_TypeDonneesCpt4=Cpt_Index,Tab_Compteur_4[[#This Row],[Index]]-E94,Tab_Compteur_4[[#This Row],[Quantité]])/Tab_Compteur_4[[#This Row],[Delta Jour]],"")&lt;0,"",IFERROR(IF(Str_TypeDonneesCpt4=Cpt_Index,Tab_Compteur_4[[#This Row],[Index]]-E94,Tab_Compteur_4[[#This Row],[Quantité]])/Tab_Compteur_4[[#This Row],[Delta Jour]],""))</f>
        <v/>
      </c>
      <c r="H95" s="193" t="str">
        <f>IFERROR(Tab_Compteur_4[[#This Row],[Montant]]/Tab_Compteur_4[[#This Row],[Delta Jour]],"")</f>
        <v/>
      </c>
      <c r="I95" s="215" t="str">
        <f t="shared" si="4"/>
        <v/>
      </c>
      <c r="J95" s="216"/>
      <c r="K95" s="38"/>
      <c r="L95" s="38"/>
      <c r="M95" s="38"/>
    </row>
    <row r="96" spans="1:13">
      <c r="A96" s="3">
        <f t="shared" si="5"/>
        <v>1</v>
      </c>
      <c r="B96" s="88"/>
      <c r="C96" s="196"/>
      <c r="D96" s="195"/>
      <c r="E96" s="193"/>
      <c r="F96" s="193">
        <f t="shared" si="3"/>
        <v>0</v>
      </c>
      <c r="G96" s="193" t="str">
        <f>IF(IFERROR(IF(Str_TypeDonneesCpt4=Cpt_Index,Tab_Compteur_4[[#This Row],[Index]]-E95,Tab_Compteur_4[[#This Row],[Quantité]])/Tab_Compteur_4[[#This Row],[Delta Jour]],"")&lt;0,"",IFERROR(IF(Str_TypeDonneesCpt4=Cpt_Index,Tab_Compteur_4[[#This Row],[Index]]-E95,Tab_Compteur_4[[#This Row],[Quantité]])/Tab_Compteur_4[[#This Row],[Delta Jour]],""))</f>
        <v/>
      </c>
      <c r="H96" s="193" t="str">
        <f>IFERROR(Tab_Compteur_4[[#This Row],[Montant]]/Tab_Compteur_4[[#This Row],[Delta Jour]],"")</f>
        <v/>
      </c>
      <c r="I96" s="215" t="str">
        <f t="shared" si="4"/>
        <v/>
      </c>
      <c r="J96" s="216"/>
      <c r="K96" s="38"/>
      <c r="L96" s="38"/>
      <c r="M96" s="38"/>
    </row>
    <row r="97" spans="1:13">
      <c r="A97" s="3">
        <f t="shared" si="5"/>
        <v>1</v>
      </c>
      <c r="B97" s="88"/>
      <c r="C97" s="196"/>
      <c r="D97" s="195"/>
      <c r="E97" s="193"/>
      <c r="F97" s="193">
        <f t="shared" si="3"/>
        <v>0</v>
      </c>
      <c r="G97" s="193" t="str">
        <f>IF(IFERROR(IF(Str_TypeDonneesCpt4=Cpt_Index,Tab_Compteur_4[[#This Row],[Index]]-E96,Tab_Compteur_4[[#This Row],[Quantité]])/Tab_Compteur_4[[#This Row],[Delta Jour]],"")&lt;0,"",IFERROR(IF(Str_TypeDonneesCpt4=Cpt_Index,Tab_Compteur_4[[#This Row],[Index]]-E96,Tab_Compteur_4[[#This Row],[Quantité]])/Tab_Compteur_4[[#This Row],[Delta Jour]],""))</f>
        <v/>
      </c>
      <c r="H97" s="193" t="str">
        <f>IFERROR(Tab_Compteur_4[[#This Row],[Montant]]/Tab_Compteur_4[[#This Row],[Delta Jour]],"")</f>
        <v/>
      </c>
      <c r="I97" s="215" t="str">
        <f t="shared" si="4"/>
        <v/>
      </c>
      <c r="J97" s="216"/>
      <c r="K97" s="38"/>
      <c r="L97" s="38"/>
      <c r="M97" s="38"/>
    </row>
    <row r="98" spans="1:13">
      <c r="A98" s="3">
        <f t="shared" si="5"/>
        <v>1</v>
      </c>
      <c r="B98" s="88"/>
      <c r="C98" s="196"/>
      <c r="D98" s="195"/>
      <c r="E98" s="193"/>
      <c r="F98" s="193">
        <f t="shared" si="3"/>
        <v>0</v>
      </c>
      <c r="G98" s="193" t="str">
        <f>IF(IFERROR(IF(Str_TypeDonneesCpt4=Cpt_Index,Tab_Compteur_4[[#This Row],[Index]]-E97,Tab_Compteur_4[[#This Row],[Quantité]])/Tab_Compteur_4[[#This Row],[Delta Jour]],"")&lt;0,"",IFERROR(IF(Str_TypeDonneesCpt4=Cpt_Index,Tab_Compteur_4[[#This Row],[Index]]-E97,Tab_Compteur_4[[#This Row],[Quantité]])/Tab_Compteur_4[[#This Row],[Delta Jour]],""))</f>
        <v/>
      </c>
      <c r="H98" s="193" t="str">
        <f>IFERROR(Tab_Compteur_4[[#This Row],[Montant]]/Tab_Compteur_4[[#This Row],[Delta Jour]],"")</f>
        <v/>
      </c>
      <c r="I98" s="215" t="str">
        <f t="shared" si="4"/>
        <v/>
      </c>
      <c r="J98" s="216"/>
      <c r="K98" s="38"/>
      <c r="L98" s="38"/>
      <c r="M98" s="38"/>
    </row>
    <row r="99" spans="1:13">
      <c r="A99" s="3">
        <f t="shared" si="5"/>
        <v>1</v>
      </c>
      <c r="B99" s="88"/>
      <c r="C99" s="196"/>
      <c r="D99" s="195"/>
      <c r="E99" s="193"/>
      <c r="F99" s="193">
        <f t="shared" si="3"/>
        <v>0</v>
      </c>
      <c r="G99" s="193" t="str">
        <f>IF(IFERROR(IF(Str_TypeDonneesCpt4=Cpt_Index,Tab_Compteur_4[[#This Row],[Index]]-E98,Tab_Compteur_4[[#This Row],[Quantité]])/Tab_Compteur_4[[#This Row],[Delta Jour]],"")&lt;0,"",IFERROR(IF(Str_TypeDonneesCpt4=Cpt_Index,Tab_Compteur_4[[#This Row],[Index]]-E98,Tab_Compteur_4[[#This Row],[Quantité]])/Tab_Compteur_4[[#This Row],[Delta Jour]],""))</f>
        <v/>
      </c>
      <c r="H99" s="193" t="str">
        <f>IFERROR(Tab_Compteur_4[[#This Row],[Montant]]/Tab_Compteur_4[[#This Row],[Delta Jour]],"")</f>
        <v/>
      </c>
      <c r="I99" s="215" t="str">
        <f t="shared" si="4"/>
        <v/>
      </c>
      <c r="J99" s="216"/>
      <c r="K99" s="38"/>
      <c r="L99" s="38"/>
      <c r="M99" s="38"/>
    </row>
    <row r="100" spans="1:13">
      <c r="A100" s="3">
        <f t="shared" si="5"/>
        <v>1</v>
      </c>
      <c r="B100" s="88"/>
      <c r="C100" s="196"/>
      <c r="D100" s="195"/>
      <c r="E100" s="193"/>
      <c r="F100" s="193">
        <f t="shared" si="3"/>
        <v>0</v>
      </c>
      <c r="G100" s="193" t="str">
        <f>IF(IFERROR(IF(Str_TypeDonneesCpt4=Cpt_Index,Tab_Compteur_4[[#This Row],[Index]]-E99,Tab_Compteur_4[[#This Row],[Quantité]])/Tab_Compteur_4[[#This Row],[Delta Jour]],"")&lt;0,"",IFERROR(IF(Str_TypeDonneesCpt4=Cpt_Index,Tab_Compteur_4[[#This Row],[Index]]-E99,Tab_Compteur_4[[#This Row],[Quantité]])/Tab_Compteur_4[[#This Row],[Delta Jour]],""))</f>
        <v/>
      </c>
      <c r="H100" s="193" t="str">
        <f>IFERROR(Tab_Compteur_4[[#This Row],[Montant]]/Tab_Compteur_4[[#This Row],[Delta Jour]],"")</f>
        <v/>
      </c>
      <c r="I100" s="215" t="str">
        <f t="shared" si="4"/>
        <v/>
      </c>
      <c r="J100" s="216"/>
      <c r="K100" s="38"/>
      <c r="L100" s="38"/>
      <c r="M100" s="38"/>
    </row>
    <row r="101" spans="1:13">
      <c r="A101" s="3">
        <f t="shared" si="5"/>
        <v>1</v>
      </c>
      <c r="B101" s="88"/>
      <c r="C101" s="196"/>
      <c r="D101" s="195"/>
      <c r="E101" s="193"/>
      <c r="F101" s="193">
        <f t="shared" si="3"/>
        <v>0</v>
      </c>
      <c r="G101" s="193" t="str">
        <f>IF(IFERROR(IF(Str_TypeDonneesCpt4=Cpt_Index,Tab_Compteur_4[[#This Row],[Index]]-E100,Tab_Compteur_4[[#This Row],[Quantité]])/Tab_Compteur_4[[#This Row],[Delta Jour]],"")&lt;0,"",IFERROR(IF(Str_TypeDonneesCpt4=Cpt_Index,Tab_Compteur_4[[#This Row],[Index]]-E100,Tab_Compteur_4[[#This Row],[Quantité]])/Tab_Compteur_4[[#This Row],[Delta Jour]],""))</f>
        <v/>
      </c>
      <c r="H101" s="193" t="str">
        <f>IFERROR(Tab_Compteur_4[[#This Row],[Montant]]/Tab_Compteur_4[[#This Row],[Delta Jour]],"")</f>
        <v/>
      </c>
      <c r="I101" s="215" t="str">
        <f t="shared" si="4"/>
        <v/>
      </c>
      <c r="J101" s="216"/>
      <c r="K101" s="38"/>
      <c r="L101" s="38"/>
      <c r="M101" s="38"/>
    </row>
    <row r="102" spans="1:13">
      <c r="A102" s="3">
        <f t="shared" si="5"/>
        <v>1</v>
      </c>
      <c r="B102" s="88"/>
      <c r="C102" s="196"/>
      <c r="D102" s="195"/>
      <c r="E102" s="193"/>
      <c r="F102" s="193">
        <f t="shared" si="3"/>
        <v>0</v>
      </c>
      <c r="G102" s="193" t="str">
        <f>IF(IFERROR(IF(Str_TypeDonneesCpt4=Cpt_Index,Tab_Compteur_4[[#This Row],[Index]]-E101,Tab_Compteur_4[[#This Row],[Quantité]])/Tab_Compteur_4[[#This Row],[Delta Jour]],"")&lt;0,"",IFERROR(IF(Str_TypeDonneesCpt4=Cpt_Index,Tab_Compteur_4[[#This Row],[Index]]-E101,Tab_Compteur_4[[#This Row],[Quantité]])/Tab_Compteur_4[[#This Row],[Delta Jour]],""))</f>
        <v/>
      </c>
      <c r="H102" s="193" t="str">
        <f>IFERROR(Tab_Compteur_4[[#This Row],[Montant]]/Tab_Compteur_4[[#This Row],[Delta Jour]],"")</f>
        <v/>
      </c>
      <c r="I102" s="215" t="str">
        <f t="shared" si="4"/>
        <v/>
      </c>
      <c r="J102" s="216"/>
      <c r="K102" s="38"/>
      <c r="L102" s="38"/>
      <c r="M102" s="38"/>
    </row>
    <row r="103" spans="1:13">
      <c r="A103" s="3">
        <f t="shared" si="5"/>
        <v>1</v>
      </c>
      <c r="B103" s="88"/>
      <c r="C103" s="196"/>
      <c r="D103" s="195"/>
      <c r="E103" s="193"/>
      <c r="F103" s="193">
        <f t="shared" si="3"/>
        <v>0</v>
      </c>
      <c r="G103" s="193" t="str">
        <f>IF(IFERROR(IF(Str_TypeDonneesCpt4=Cpt_Index,Tab_Compteur_4[[#This Row],[Index]]-E102,Tab_Compteur_4[[#This Row],[Quantité]])/Tab_Compteur_4[[#This Row],[Delta Jour]],"")&lt;0,"",IFERROR(IF(Str_TypeDonneesCpt4=Cpt_Index,Tab_Compteur_4[[#This Row],[Index]]-E102,Tab_Compteur_4[[#This Row],[Quantité]])/Tab_Compteur_4[[#This Row],[Delta Jour]],""))</f>
        <v/>
      </c>
      <c r="H103" s="193" t="str">
        <f>IFERROR(Tab_Compteur_4[[#This Row],[Montant]]/Tab_Compteur_4[[#This Row],[Delta Jour]],"")</f>
        <v/>
      </c>
      <c r="I103" s="215" t="str">
        <f t="shared" si="4"/>
        <v/>
      </c>
      <c r="J103" s="216"/>
      <c r="K103" s="38"/>
      <c r="L103" s="38"/>
      <c r="M103" s="38"/>
    </row>
    <row r="104" spans="1:13">
      <c r="A104" s="3">
        <f t="shared" si="5"/>
        <v>1</v>
      </c>
      <c r="B104" s="88"/>
      <c r="C104" s="196"/>
      <c r="D104" s="195"/>
      <c r="E104" s="193"/>
      <c r="F104" s="193">
        <f t="shared" si="3"/>
        <v>0</v>
      </c>
      <c r="G104" s="193" t="str">
        <f>IF(IFERROR(IF(Str_TypeDonneesCpt4=Cpt_Index,Tab_Compteur_4[[#This Row],[Index]]-E103,Tab_Compteur_4[[#This Row],[Quantité]])/Tab_Compteur_4[[#This Row],[Delta Jour]],"")&lt;0,"",IFERROR(IF(Str_TypeDonneesCpt4=Cpt_Index,Tab_Compteur_4[[#This Row],[Index]]-E103,Tab_Compteur_4[[#This Row],[Quantité]])/Tab_Compteur_4[[#This Row],[Delta Jour]],""))</f>
        <v/>
      </c>
      <c r="H104" s="193" t="str">
        <f>IFERROR(Tab_Compteur_4[[#This Row],[Montant]]/Tab_Compteur_4[[#This Row],[Delta Jour]],"")</f>
        <v/>
      </c>
      <c r="I104" s="215" t="str">
        <f t="shared" si="4"/>
        <v/>
      </c>
      <c r="J104" s="216"/>
      <c r="K104" s="38"/>
      <c r="L104" s="38"/>
      <c r="M104" s="38"/>
    </row>
    <row r="105" spans="1:13">
      <c r="A105" s="3">
        <f t="shared" si="5"/>
        <v>1</v>
      </c>
      <c r="B105" s="88"/>
      <c r="C105" s="196"/>
      <c r="D105" s="195"/>
      <c r="E105" s="193"/>
      <c r="F105" s="193">
        <f t="shared" si="3"/>
        <v>0</v>
      </c>
      <c r="G105" s="193" t="str">
        <f>IF(IFERROR(IF(Str_TypeDonneesCpt4=Cpt_Index,Tab_Compteur_4[[#This Row],[Index]]-E104,Tab_Compteur_4[[#This Row],[Quantité]])/Tab_Compteur_4[[#This Row],[Delta Jour]],"")&lt;0,"",IFERROR(IF(Str_TypeDonneesCpt4=Cpt_Index,Tab_Compteur_4[[#This Row],[Index]]-E104,Tab_Compteur_4[[#This Row],[Quantité]])/Tab_Compteur_4[[#This Row],[Delta Jour]],""))</f>
        <v/>
      </c>
      <c r="H105" s="193" t="str">
        <f>IFERROR(Tab_Compteur_4[[#This Row],[Montant]]/Tab_Compteur_4[[#This Row],[Delta Jour]],"")</f>
        <v/>
      </c>
      <c r="I105" s="215" t="str">
        <f t="shared" si="4"/>
        <v/>
      </c>
      <c r="J105" s="216"/>
      <c r="K105" s="38"/>
      <c r="L105" s="38"/>
      <c r="M105" s="38"/>
    </row>
    <row r="106" spans="1:13">
      <c r="A106" s="3">
        <f t="shared" si="5"/>
        <v>1</v>
      </c>
      <c r="B106" s="88"/>
      <c r="C106" s="196"/>
      <c r="D106" s="195"/>
      <c r="E106" s="193"/>
      <c r="F106" s="193">
        <f t="shared" si="3"/>
        <v>0</v>
      </c>
      <c r="G106" s="193" t="str">
        <f>IF(IFERROR(IF(Str_TypeDonneesCpt4=Cpt_Index,Tab_Compteur_4[[#This Row],[Index]]-E105,Tab_Compteur_4[[#This Row],[Quantité]])/Tab_Compteur_4[[#This Row],[Delta Jour]],"")&lt;0,"",IFERROR(IF(Str_TypeDonneesCpt4=Cpt_Index,Tab_Compteur_4[[#This Row],[Index]]-E105,Tab_Compteur_4[[#This Row],[Quantité]])/Tab_Compteur_4[[#This Row],[Delta Jour]],""))</f>
        <v/>
      </c>
      <c r="H106" s="193" t="str">
        <f>IFERROR(Tab_Compteur_4[[#This Row],[Montant]]/Tab_Compteur_4[[#This Row],[Delta Jour]],"")</f>
        <v/>
      </c>
      <c r="I106" s="215" t="str">
        <f t="shared" si="4"/>
        <v/>
      </c>
      <c r="J106" s="216"/>
      <c r="K106" s="38"/>
      <c r="L106" s="38"/>
      <c r="M106" s="38"/>
    </row>
    <row r="107" spans="1:13">
      <c r="A107" s="3">
        <f t="shared" si="5"/>
        <v>1</v>
      </c>
      <c r="B107" s="88"/>
      <c r="C107" s="196"/>
      <c r="D107" s="195"/>
      <c r="E107" s="193"/>
      <c r="F107" s="193">
        <f t="shared" si="3"/>
        <v>0</v>
      </c>
      <c r="G107" s="193" t="str">
        <f>IF(IFERROR(IF(Str_TypeDonneesCpt4=Cpt_Index,Tab_Compteur_4[[#This Row],[Index]]-E106,Tab_Compteur_4[[#This Row],[Quantité]])/Tab_Compteur_4[[#This Row],[Delta Jour]],"")&lt;0,"",IFERROR(IF(Str_TypeDonneesCpt4=Cpt_Index,Tab_Compteur_4[[#This Row],[Index]]-E106,Tab_Compteur_4[[#This Row],[Quantité]])/Tab_Compteur_4[[#This Row],[Delta Jour]],""))</f>
        <v/>
      </c>
      <c r="H107" s="193" t="str">
        <f>IFERROR(Tab_Compteur_4[[#This Row],[Montant]]/Tab_Compteur_4[[#This Row],[Delta Jour]],"")</f>
        <v/>
      </c>
      <c r="I107" s="215" t="str">
        <f t="shared" si="4"/>
        <v/>
      </c>
      <c r="J107" s="216"/>
      <c r="K107" s="38"/>
      <c r="L107" s="38"/>
      <c r="M107" s="38"/>
    </row>
    <row r="108" spans="1:13">
      <c r="A108" s="3">
        <f t="shared" si="5"/>
        <v>1</v>
      </c>
      <c r="B108" s="88"/>
      <c r="C108" s="196"/>
      <c r="D108" s="195"/>
      <c r="E108" s="193"/>
      <c r="F108" s="193">
        <f t="shared" si="3"/>
        <v>0</v>
      </c>
      <c r="G108" s="193" t="str">
        <f>IF(IFERROR(IF(Str_TypeDonneesCpt4=Cpt_Index,Tab_Compteur_4[[#This Row],[Index]]-E107,Tab_Compteur_4[[#This Row],[Quantité]])/Tab_Compteur_4[[#This Row],[Delta Jour]],"")&lt;0,"",IFERROR(IF(Str_TypeDonneesCpt4=Cpt_Index,Tab_Compteur_4[[#This Row],[Index]]-E107,Tab_Compteur_4[[#This Row],[Quantité]])/Tab_Compteur_4[[#This Row],[Delta Jour]],""))</f>
        <v/>
      </c>
      <c r="H108" s="193" t="str">
        <f>IFERROR(Tab_Compteur_4[[#This Row],[Montant]]/Tab_Compteur_4[[#This Row],[Delta Jour]],"")</f>
        <v/>
      </c>
      <c r="I108" s="215" t="str">
        <f t="shared" si="4"/>
        <v/>
      </c>
      <c r="J108" s="216"/>
      <c r="K108" s="38"/>
      <c r="L108" s="38"/>
      <c r="M108" s="38"/>
    </row>
    <row r="109" spans="1:13">
      <c r="A109" s="3">
        <f t="shared" si="5"/>
        <v>1</v>
      </c>
      <c r="B109" s="88"/>
      <c r="C109" s="196"/>
      <c r="D109" s="195"/>
      <c r="E109" s="193"/>
      <c r="F109" s="193">
        <f t="shared" si="3"/>
        <v>0</v>
      </c>
      <c r="G109" s="193" t="str">
        <f>IF(IFERROR(IF(Str_TypeDonneesCpt4=Cpt_Index,Tab_Compteur_4[[#This Row],[Index]]-E108,Tab_Compteur_4[[#This Row],[Quantité]])/Tab_Compteur_4[[#This Row],[Delta Jour]],"")&lt;0,"",IFERROR(IF(Str_TypeDonneesCpt4=Cpt_Index,Tab_Compteur_4[[#This Row],[Index]]-E108,Tab_Compteur_4[[#This Row],[Quantité]])/Tab_Compteur_4[[#This Row],[Delta Jour]],""))</f>
        <v/>
      </c>
      <c r="H109" s="193" t="str">
        <f>IFERROR(Tab_Compteur_4[[#This Row],[Montant]]/Tab_Compteur_4[[#This Row],[Delta Jour]],"")</f>
        <v/>
      </c>
      <c r="I109" s="215" t="str">
        <f t="shared" si="4"/>
        <v/>
      </c>
      <c r="J109" s="216"/>
      <c r="K109" s="38"/>
      <c r="L109" s="38"/>
      <c r="M109" s="38"/>
    </row>
    <row r="110" spans="1:13">
      <c r="A110" s="3">
        <f t="shared" si="5"/>
        <v>1</v>
      </c>
      <c r="B110" s="88"/>
      <c r="C110" s="196"/>
      <c r="D110" s="195"/>
      <c r="E110" s="193"/>
      <c r="F110" s="193">
        <f t="shared" si="3"/>
        <v>0</v>
      </c>
      <c r="G110" s="193" t="str">
        <f>IF(IFERROR(IF(Str_TypeDonneesCpt4=Cpt_Index,Tab_Compteur_4[[#This Row],[Index]]-E109,Tab_Compteur_4[[#This Row],[Quantité]])/Tab_Compteur_4[[#This Row],[Delta Jour]],"")&lt;0,"",IFERROR(IF(Str_TypeDonneesCpt4=Cpt_Index,Tab_Compteur_4[[#This Row],[Index]]-E109,Tab_Compteur_4[[#This Row],[Quantité]])/Tab_Compteur_4[[#This Row],[Delta Jour]],""))</f>
        <v/>
      </c>
      <c r="H110" s="193" t="str">
        <f>IFERROR(Tab_Compteur_4[[#This Row],[Montant]]/Tab_Compteur_4[[#This Row],[Delta Jour]],"")</f>
        <v/>
      </c>
      <c r="I110" s="215" t="str">
        <f t="shared" si="4"/>
        <v/>
      </c>
      <c r="J110" s="216"/>
      <c r="K110" s="38"/>
      <c r="L110" s="38"/>
      <c r="M110" s="38"/>
    </row>
    <row r="111" spans="1:13">
      <c r="A111" s="3">
        <f t="shared" si="5"/>
        <v>1</v>
      </c>
      <c r="B111" s="88"/>
      <c r="C111" s="196"/>
      <c r="D111" s="195"/>
      <c r="E111" s="193"/>
      <c r="F111" s="193">
        <f t="shared" si="3"/>
        <v>0</v>
      </c>
      <c r="G111" s="193" t="str">
        <f>IF(IFERROR(IF(Str_TypeDonneesCpt4=Cpt_Index,Tab_Compteur_4[[#This Row],[Index]]-E110,Tab_Compteur_4[[#This Row],[Quantité]])/Tab_Compteur_4[[#This Row],[Delta Jour]],"")&lt;0,"",IFERROR(IF(Str_TypeDonneesCpt4=Cpt_Index,Tab_Compteur_4[[#This Row],[Index]]-E110,Tab_Compteur_4[[#This Row],[Quantité]])/Tab_Compteur_4[[#This Row],[Delta Jour]],""))</f>
        <v/>
      </c>
      <c r="H111" s="193" t="str">
        <f>IFERROR(Tab_Compteur_4[[#This Row],[Montant]]/Tab_Compteur_4[[#This Row],[Delta Jour]],"")</f>
        <v/>
      </c>
      <c r="I111" s="215" t="str">
        <f t="shared" si="4"/>
        <v/>
      </c>
      <c r="J111" s="216"/>
      <c r="K111" s="38"/>
      <c r="L111" s="38"/>
      <c r="M111" s="38"/>
    </row>
    <row r="112" spans="1:13">
      <c r="A112" s="3">
        <f t="shared" si="5"/>
        <v>1</v>
      </c>
      <c r="B112" s="88"/>
      <c r="C112" s="196"/>
      <c r="D112" s="195"/>
      <c r="E112" s="193"/>
      <c r="F112" s="193">
        <f t="shared" si="3"/>
        <v>0</v>
      </c>
      <c r="G112" s="193" t="str">
        <f>IF(IFERROR(IF(Str_TypeDonneesCpt4=Cpt_Index,Tab_Compteur_4[[#This Row],[Index]]-E111,Tab_Compteur_4[[#This Row],[Quantité]])/Tab_Compteur_4[[#This Row],[Delta Jour]],"")&lt;0,"",IFERROR(IF(Str_TypeDonneesCpt4=Cpt_Index,Tab_Compteur_4[[#This Row],[Index]]-E111,Tab_Compteur_4[[#This Row],[Quantité]])/Tab_Compteur_4[[#This Row],[Delta Jour]],""))</f>
        <v/>
      </c>
      <c r="H112" s="193" t="str">
        <f>IFERROR(Tab_Compteur_4[[#This Row],[Montant]]/Tab_Compteur_4[[#This Row],[Delta Jour]],"")</f>
        <v/>
      </c>
      <c r="I112" s="215" t="str">
        <f t="shared" si="4"/>
        <v/>
      </c>
      <c r="J112" s="216"/>
      <c r="K112" s="38"/>
      <c r="L112" s="38"/>
      <c r="M112" s="38"/>
    </row>
    <row r="113" spans="1:13">
      <c r="A113" s="3">
        <f t="shared" si="5"/>
        <v>1</v>
      </c>
      <c r="B113" s="88"/>
      <c r="C113" s="196"/>
      <c r="D113" s="195"/>
      <c r="E113" s="193"/>
      <c r="F113" s="193">
        <f t="shared" si="3"/>
        <v>0</v>
      </c>
      <c r="G113" s="193" t="str">
        <f>IF(IFERROR(IF(Str_TypeDonneesCpt4=Cpt_Index,Tab_Compteur_4[[#This Row],[Index]]-E112,Tab_Compteur_4[[#This Row],[Quantité]])/Tab_Compteur_4[[#This Row],[Delta Jour]],"")&lt;0,"",IFERROR(IF(Str_TypeDonneesCpt4=Cpt_Index,Tab_Compteur_4[[#This Row],[Index]]-E112,Tab_Compteur_4[[#This Row],[Quantité]])/Tab_Compteur_4[[#This Row],[Delta Jour]],""))</f>
        <v/>
      </c>
      <c r="H113" s="193" t="str">
        <f>IFERROR(Tab_Compteur_4[[#This Row],[Montant]]/Tab_Compteur_4[[#This Row],[Delta Jour]],"")</f>
        <v/>
      </c>
      <c r="I113" s="215" t="str">
        <f t="shared" si="4"/>
        <v/>
      </c>
      <c r="J113" s="216"/>
      <c r="K113" s="38"/>
      <c r="L113" s="38"/>
      <c r="M113" s="38"/>
    </row>
    <row r="114" spans="1:13">
      <c r="A114" s="3">
        <f t="shared" si="5"/>
        <v>1</v>
      </c>
      <c r="B114" s="88"/>
      <c r="C114" s="196"/>
      <c r="D114" s="195"/>
      <c r="E114" s="193"/>
      <c r="F114" s="193">
        <f t="shared" si="3"/>
        <v>0</v>
      </c>
      <c r="G114" s="193" t="str">
        <f>IF(IFERROR(IF(Str_TypeDonneesCpt4=Cpt_Index,Tab_Compteur_4[[#This Row],[Index]]-E113,Tab_Compteur_4[[#This Row],[Quantité]])/Tab_Compteur_4[[#This Row],[Delta Jour]],"")&lt;0,"",IFERROR(IF(Str_TypeDonneesCpt4=Cpt_Index,Tab_Compteur_4[[#This Row],[Index]]-E113,Tab_Compteur_4[[#This Row],[Quantité]])/Tab_Compteur_4[[#This Row],[Delta Jour]],""))</f>
        <v/>
      </c>
      <c r="H114" s="193" t="str">
        <f>IFERROR(Tab_Compteur_4[[#This Row],[Montant]]/Tab_Compteur_4[[#This Row],[Delta Jour]],"")</f>
        <v/>
      </c>
      <c r="I114" s="215" t="str">
        <f t="shared" si="4"/>
        <v/>
      </c>
      <c r="J114" s="216"/>
      <c r="K114" s="38"/>
      <c r="L114" s="38"/>
      <c r="M114" s="38"/>
    </row>
    <row r="115" spans="1:13">
      <c r="A115" s="3">
        <f t="shared" si="5"/>
        <v>1</v>
      </c>
      <c r="B115" s="88"/>
      <c r="C115" s="196"/>
      <c r="D115" s="195"/>
      <c r="E115" s="193"/>
      <c r="F115" s="193">
        <f t="shared" si="3"/>
        <v>0</v>
      </c>
      <c r="G115" s="193" t="str">
        <f>IF(IFERROR(IF(Str_TypeDonneesCpt4=Cpt_Index,Tab_Compteur_4[[#This Row],[Index]]-E114,Tab_Compteur_4[[#This Row],[Quantité]])/Tab_Compteur_4[[#This Row],[Delta Jour]],"")&lt;0,"",IFERROR(IF(Str_TypeDonneesCpt4=Cpt_Index,Tab_Compteur_4[[#This Row],[Index]]-E114,Tab_Compteur_4[[#This Row],[Quantité]])/Tab_Compteur_4[[#This Row],[Delta Jour]],""))</f>
        <v/>
      </c>
      <c r="H115" s="193" t="str">
        <f>IFERROR(Tab_Compteur_4[[#This Row],[Montant]]/Tab_Compteur_4[[#This Row],[Delta Jour]],"")</f>
        <v/>
      </c>
      <c r="I115" s="215" t="str">
        <f t="shared" si="4"/>
        <v/>
      </c>
      <c r="J115" s="216"/>
      <c r="K115" s="38"/>
      <c r="L115" s="38"/>
      <c r="M115" s="38"/>
    </row>
    <row r="116" spans="1:13">
      <c r="A116" s="3">
        <f t="shared" si="5"/>
        <v>1</v>
      </c>
      <c r="B116" s="88"/>
      <c r="C116" s="196"/>
      <c r="D116" s="195"/>
      <c r="E116" s="193"/>
      <c r="F116" s="193">
        <f t="shared" si="3"/>
        <v>0</v>
      </c>
      <c r="G116" s="193" t="str">
        <f>IF(IFERROR(IF(Str_TypeDonneesCpt4=Cpt_Index,Tab_Compteur_4[[#This Row],[Index]]-E115,Tab_Compteur_4[[#This Row],[Quantité]])/Tab_Compteur_4[[#This Row],[Delta Jour]],"")&lt;0,"",IFERROR(IF(Str_TypeDonneesCpt4=Cpt_Index,Tab_Compteur_4[[#This Row],[Index]]-E115,Tab_Compteur_4[[#This Row],[Quantité]])/Tab_Compteur_4[[#This Row],[Delta Jour]],""))</f>
        <v/>
      </c>
      <c r="H116" s="193" t="str">
        <f>IFERROR(Tab_Compteur_4[[#This Row],[Montant]]/Tab_Compteur_4[[#This Row],[Delta Jour]],"")</f>
        <v/>
      </c>
      <c r="I116" s="215" t="str">
        <f t="shared" si="4"/>
        <v/>
      </c>
      <c r="J116" s="216"/>
      <c r="K116" s="38"/>
      <c r="L116" s="38"/>
      <c r="M116" s="38"/>
    </row>
    <row r="117" spans="1:13">
      <c r="A117" s="3">
        <f t="shared" si="5"/>
        <v>1</v>
      </c>
      <c r="B117" s="88"/>
      <c r="C117" s="196"/>
      <c r="D117" s="195"/>
      <c r="E117" s="193"/>
      <c r="F117" s="193">
        <f t="shared" si="3"/>
        <v>0</v>
      </c>
      <c r="G117" s="193" t="str">
        <f>IF(IFERROR(IF(Str_TypeDonneesCpt4=Cpt_Index,Tab_Compteur_4[[#This Row],[Index]]-E116,Tab_Compteur_4[[#This Row],[Quantité]])/Tab_Compteur_4[[#This Row],[Delta Jour]],"")&lt;0,"",IFERROR(IF(Str_TypeDonneesCpt4=Cpt_Index,Tab_Compteur_4[[#This Row],[Index]]-E116,Tab_Compteur_4[[#This Row],[Quantité]])/Tab_Compteur_4[[#This Row],[Delta Jour]],""))</f>
        <v/>
      </c>
      <c r="H117" s="193" t="str">
        <f>IFERROR(Tab_Compteur_4[[#This Row],[Montant]]/Tab_Compteur_4[[#This Row],[Delta Jour]],"")</f>
        <v/>
      </c>
      <c r="I117" s="215" t="str">
        <f t="shared" si="4"/>
        <v/>
      </c>
      <c r="J117" s="216"/>
      <c r="K117" s="38"/>
      <c r="L117" s="38"/>
      <c r="M117" s="38"/>
    </row>
    <row r="118" spans="1:13">
      <c r="A118" s="3">
        <f t="shared" si="5"/>
        <v>1</v>
      </c>
      <c r="B118" s="88"/>
      <c r="C118" s="196"/>
      <c r="D118" s="195"/>
      <c r="E118" s="193"/>
      <c r="F118" s="193">
        <f t="shared" si="3"/>
        <v>0</v>
      </c>
      <c r="G118" s="193" t="str">
        <f>IF(IFERROR(IF(Str_TypeDonneesCpt4=Cpt_Index,Tab_Compteur_4[[#This Row],[Index]]-E117,Tab_Compteur_4[[#This Row],[Quantité]])/Tab_Compteur_4[[#This Row],[Delta Jour]],"")&lt;0,"",IFERROR(IF(Str_TypeDonneesCpt4=Cpt_Index,Tab_Compteur_4[[#This Row],[Index]]-E117,Tab_Compteur_4[[#This Row],[Quantité]])/Tab_Compteur_4[[#This Row],[Delta Jour]],""))</f>
        <v/>
      </c>
      <c r="H118" s="193" t="str">
        <f>IFERROR(Tab_Compteur_4[[#This Row],[Montant]]/Tab_Compteur_4[[#This Row],[Delta Jour]],"")</f>
        <v/>
      </c>
      <c r="I118" s="215" t="str">
        <f t="shared" si="4"/>
        <v/>
      </c>
      <c r="J118" s="216"/>
      <c r="K118" s="38"/>
      <c r="L118" s="38"/>
      <c r="M118" s="38"/>
    </row>
    <row r="119" spans="1:13">
      <c r="A119" s="3">
        <f t="shared" si="5"/>
        <v>1</v>
      </c>
      <c r="B119" s="88"/>
      <c r="C119" s="196"/>
      <c r="D119" s="195"/>
      <c r="E119" s="193"/>
      <c r="F119" s="193">
        <f t="shared" si="3"/>
        <v>0</v>
      </c>
      <c r="G119" s="193" t="str">
        <f>IF(IFERROR(IF(Str_TypeDonneesCpt4=Cpt_Index,Tab_Compteur_4[[#This Row],[Index]]-E118,Tab_Compteur_4[[#This Row],[Quantité]])/Tab_Compteur_4[[#This Row],[Delta Jour]],"")&lt;0,"",IFERROR(IF(Str_TypeDonneesCpt4=Cpt_Index,Tab_Compteur_4[[#This Row],[Index]]-E118,Tab_Compteur_4[[#This Row],[Quantité]])/Tab_Compteur_4[[#This Row],[Delta Jour]],""))</f>
        <v/>
      </c>
      <c r="H119" s="193" t="str">
        <f>IFERROR(Tab_Compteur_4[[#This Row],[Montant]]/Tab_Compteur_4[[#This Row],[Delta Jour]],"")</f>
        <v/>
      </c>
      <c r="I119" s="215" t="str">
        <f t="shared" si="4"/>
        <v/>
      </c>
      <c r="J119" s="216"/>
      <c r="K119" s="38"/>
      <c r="L119" s="38"/>
      <c r="M119" s="38"/>
    </row>
    <row r="120" spans="1:13">
      <c r="A120" s="3">
        <f t="shared" si="5"/>
        <v>1</v>
      </c>
      <c r="B120" s="88"/>
      <c r="C120" s="196"/>
      <c r="D120" s="195"/>
      <c r="E120" s="193"/>
      <c r="F120" s="193">
        <f t="shared" si="3"/>
        <v>0</v>
      </c>
      <c r="G120" s="193" t="str">
        <f>IF(IFERROR(IF(Str_TypeDonneesCpt4=Cpt_Index,Tab_Compteur_4[[#This Row],[Index]]-E119,Tab_Compteur_4[[#This Row],[Quantité]])/Tab_Compteur_4[[#This Row],[Delta Jour]],"")&lt;0,"",IFERROR(IF(Str_TypeDonneesCpt4=Cpt_Index,Tab_Compteur_4[[#This Row],[Index]]-E119,Tab_Compteur_4[[#This Row],[Quantité]])/Tab_Compteur_4[[#This Row],[Delta Jour]],""))</f>
        <v/>
      </c>
      <c r="H120" s="193" t="str">
        <f>IFERROR(Tab_Compteur_4[[#This Row],[Montant]]/Tab_Compteur_4[[#This Row],[Delta Jour]],"")</f>
        <v/>
      </c>
      <c r="I120" s="215" t="str">
        <f t="shared" si="4"/>
        <v/>
      </c>
      <c r="J120" s="216"/>
      <c r="K120" s="38"/>
      <c r="L120" s="38"/>
      <c r="M120" s="38"/>
    </row>
    <row r="121" spans="1:13">
      <c r="A121" s="3">
        <f t="shared" si="5"/>
        <v>1</v>
      </c>
      <c r="B121" s="88"/>
      <c r="C121" s="196"/>
      <c r="D121" s="195"/>
      <c r="E121" s="193"/>
      <c r="F121" s="193">
        <f t="shared" si="3"/>
        <v>0</v>
      </c>
      <c r="G121" s="193" t="str">
        <f>IF(IFERROR(IF(Str_TypeDonneesCpt4=Cpt_Index,Tab_Compteur_4[[#This Row],[Index]]-E120,Tab_Compteur_4[[#This Row],[Quantité]])/Tab_Compteur_4[[#This Row],[Delta Jour]],"")&lt;0,"",IFERROR(IF(Str_TypeDonneesCpt4=Cpt_Index,Tab_Compteur_4[[#This Row],[Index]]-E120,Tab_Compteur_4[[#This Row],[Quantité]])/Tab_Compteur_4[[#This Row],[Delta Jour]],""))</f>
        <v/>
      </c>
      <c r="H121" s="193" t="str">
        <f>IFERROR(Tab_Compteur_4[[#This Row],[Montant]]/Tab_Compteur_4[[#This Row],[Delta Jour]],"")</f>
        <v/>
      </c>
      <c r="I121" s="215" t="str">
        <f t="shared" si="4"/>
        <v/>
      </c>
      <c r="J121" s="216"/>
      <c r="K121" s="38"/>
      <c r="L121" s="38"/>
      <c r="M121" s="38"/>
    </row>
    <row r="122" spans="1:13">
      <c r="A122" s="3">
        <f t="shared" si="5"/>
        <v>1</v>
      </c>
      <c r="B122" s="88"/>
      <c r="C122" s="196"/>
      <c r="D122" s="195"/>
      <c r="E122" s="193"/>
      <c r="F122" s="193">
        <f t="shared" si="3"/>
        <v>0</v>
      </c>
      <c r="G122" s="193" t="str">
        <f>IF(IFERROR(IF(Str_TypeDonneesCpt4=Cpt_Index,Tab_Compteur_4[[#This Row],[Index]]-E121,Tab_Compteur_4[[#This Row],[Quantité]])/Tab_Compteur_4[[#This Row],[Delta Jour]],"")&lt;0,"",IFERROR(IF(Str_TypeDonneesCpt4=Cpt_Index,Tab_Compteur_4[[#This Row],[Index]]-E121,Tab_Compteur_4[[#This Row],[Quantité]])/Tab_Compteur_4[[#This Row],[Delta Jour]],""))</f>
        <v/>
      </c>
      <c r="H122" s="193" t="str">
        <f>IFERROR(Tab_Compteur_4[[#This Row],[Montant]]/Tab_Compteur_4[[#This Row],[Delta Jour]],"")</f>
        <v/>
      </c>
      <c r="I122" s="215" t="str">
        <f t="shared" si="4"/>
        <v/>
      </c>
      <c r="J122" s="216"/>
      <c r="K122" s="38"/>
      <c r="L122" s="38"/>
      <c r="M122" s="38"/>
    </row>
    <row r="123" spans="1:13">
      <c r="A123" s="3">
        <f t="shared" si="5"/>
        <v>1</v>
      </c>
      <c r="B123" s="88"/>
      <c r="C123" s="196"/>
      <c r="D123" s="195"/>
      <c r="E123" s="193"/>
      <c r="F123" s="193">
        <f t="shared" si="3"/>
        <v>0</v>
      </c>
      <c r="G123" s="193" t="str">
        <f>IF(IFERROR(IF(Str_TypeDonneesCpt4=Cpt_Index,Tab_Compteur_4[[#This Row],[Index]]-E122,Tab_Compteur_4[[#This Row],[Quantité]])/Tab_Compteur_4[[#This Row],[Delta Jour]],"")&lt;0,"",IFERROR(IF(Str_TypeDonneesCpt4=Cpt_Index,Tab_Compteur_4[[#This Row],[Index]]-E122,Tab_Compteur_4[[#This Row],[Quantité]])/Tab_Compteur_4[[#This Row],[Delta Jour]],""))</f>
        <v/>
      </c>
      <c r="H123" s="193" t="str">
        <f>IFERROR(Tab_Compteur_4[[#This Row],[Montant]]/Tab_Compteur_4[[#This Row],[Delta Jour]],"")</f>
        <v/>
      </c>
      <c r="I123" s="215" t="str">
        <f t="shared" si="4"/>
        <v/>
      </c>
      <c r="J123" s="216"/>
      <c r="K123" s="38"/>
      <c r="L123" s="38"/>
      <c r="M123" s="38"/>
    </row>
    <row r="124" spans="1:13">
      <c r="A124" s="3">
        <f t="shared" si="5"/>
        <v>1</v>
      </c>
      <c r="B124" s="88"/>
      <c r="C124" s="196"/>
      <c r="D124" s="195"/>
      <c r="E124" s="193"/>
      <c r="F124" s="193">
        <f t="shared" si="3"/>
        <v>0</v>
      </c>
      <c r="G124" s="193" t="str">
        <f>IF(IFERROR(IF(Str_TypeDonneesCpt4=Cpt_Index,Tab_Compteur_4[[#This Row],[Index]]-E123,Tab_Compteur_4[[#This Row],[Quantité]])/Tab_Compteur_4[[#This Row],[Delta Jour]],"")&lt;0,"",IFERROR(IF(Str_TypeDonneesCpt4=Cpt_Index,Tab_Compteur_4[[#This Row],[Index]]-E123,Tab_Compteur_4[[#This Row],[Quantité]])/Tab_Compteur_4[[#This Row],[Delta Jour]],""))</f>
        <v/>
      </c>
      <c r="H124" s="193" t="str">
        <f>IFERROR(Tab_Compteur_4[[#This Row],[Montant]]/Tab_Compteur_4[[#This Row],[Delta Jour]],"")</f>
        <v/>
      </c>
      <c r="I124" s="215" t="str">
        <f t="shared" si="4"/>
        <v/>
      </c>
      <c r="J124" s="216"/>
      <c r="K124" s="38"/>
      <c r="L124" s="38"/>
      <c r="M124" s="38"/>
    </row>
    <row r="125" spans="1:13">
      <c r="A125" s="3">
        <f t="shared" si="5"/>
        <v>1</v>
      </c>
      <c r="B125" s="88"/>
      <c r="C125" s="196"/>
      <c r="D125" s="195"/>
      <c r="E125" s="193"/>
      <c r="F125" s="193">
        <f t="shared" si="3"/>
        <v>0</v>
      </c>
      <c r="G125" s="193" t="str">
        <f>IF(IFERROR(IF(Str_TypeDonneesCpt4=Cpt_Index,Tab_Compteur_4[[#This Row],[Index]]-E124,Tab_Compteur_4[[#This Row],[Quantité]])/Tab_Compteur_4[[#This Row],[Delta Jour]],"")&lt;0,"",IFERROR(IF(Str_TypeDonneesCpt4=Cpt_Index,Tab_Compteur_4[[#This Row],[Index]]-E124,Tab_Compteur_4[[#This Row],[Quantité]])/Tab_Compteur_4[[#This Row],[Delta Jour]],""))</f>
        <v/>
      </c>
      <c r="H125" s="193" t="str">
        <f>IFERROR(Tab_Compteur_4[[#This Row],[Montant]]/Tab_Compteur_4[[#This Row],[Delta Jour]],"")</f>
        <v/>
      </c>
      <c r="I125" s="215" t="str">
        <f t="shared" si="4"/>
        <v/>
      </c>
      <c r="J125" s="216"/>
      <c r="K125" s="38"/>
      <c r="L125" s="38"/>
      <c r="M125" s="38"/>
    </row>
    <row r="126" spans="1:13">
      <c r="A126" s="3">
        <f t="shared" si="5"/>
        <v>1</v>
      </c>
      <c r="B126" s="88"/>
      <c r="C126" s="196"/>
      <c r="D126" s="195"/>
      <c r="E126" s="193"/>
      <c r="F126" s="193">
        <f t="shared" si="3"/>
        <v>0</v>
      </c>
      <c r="G126" s="193" t="str">
        <f>IF(IFERROR(IF(Str_TypeDonneesCpt4=Cpt_Index,Tab_Compteur_4[[#This Row],[Index]]-E125,Tab_Compteur_4[[#This Row],[Quantité]])/Tab_Compteur_4[[#This Row],[Delta Jour]],"")&lt;0,"",IFERROR(IF(Str_TypeDonneesCpt4=Cpt_Index,Tab_Compteur_4[[#This Row],[Index]]-E125,Tab_Compteur_4[[#This Row],[Quantité]])/Tab_Compteur_4[[#This Row],[Delta Jour]],""))</f>
        <v/>
      </c>
      <c r="H126" s="193" t="str">
        <f>IFERROR(Tab_Compteur_4[[#This Row],[Montant]]/Tab_Compteur_4[[#This Row],[Delta Jour]],"")</f>
        <v/>
      </c>
      <c r="I126" s="215" t="str">
        <f t="shared" si="4"/>
        <v/>
      </c>
      <c r="J126" s="216"/>
      <c r="K126" s="38"/>
      <c r="L126" s="38"/>
      <c r="M126" s="38"/>
    </row>
    <row r="127" spans="1:13">
      <c r="A127" s="3">
        <f t="shared" si="5"/>
        <v>1</v>
      </c>
      <c r="B127" s="88"/>
      <c r="C127" s="196"/>
      <c r="D127" s="195"/>
      <c r="E127" s="193"/>
      <c r="F127" s="193">
        <f t="shared" si="3"/>
        <v>0</v>
      </c>
      <c r="G127" s="193" t="str">
        <f>IF(IFERROR(IF(Str_TypeDonneesCpt4=Cpt_Index,Tab_Compteur_4[[#This Row],[Index]]-E126,Tab_Compteur_4[[#This Row],[Quantité]])/Tab_Compteur_4[[#This Row],[Delta Jour]],"")&lt;0,"",IFERROR(IF(Str_TypeDonneesCpt4=Cpt_Index,Tab_Compteur_4[[#This Row],[Index]]-E126,Tab_Compteur_4[[#This Row],[Quantité]])/Tab_Compteur_4[[#This Row],[Delta Jour]],""))</f>
        <v/>
      </c>
      <c r="H127" s="193" t="str">
        <f>IFERROR(Tab_Compteur_4[[#This Row],[Montant]]/Tab_Compteur_4[[#This Row],[Delta Jour]],"")</f>
        <v/>
      </c>
      <c r="I127" s="215" t="str">
        <f t="shared" si="4"/>
        <v/>
      </c>
      <c r="J127" s="216"/>
      <c r="K127" s="38"/>
      <c r="L127" s="38"/>
      <c r="M127" s="38"/>
    </row>
    <row r="128" spans="1:13">
      <c r="A128" s="3">
        <f t="shared" si="5"/>
        <v>1</v>
      </c>
      <c r="B128" s="88"/>
      <c r="C128" s="196"/>
      <c r="D128" s="195"/>
      <c r="E128" s="193"/>
      <c r="F128" s="193">
        <f t="shared" si="3"/>
        <v>0</v>
      </c>
      <c r="G128" s="193" t="str">
        <f>IF(IFERROR(IF(Str_TypeDonneesCpt4=Cpt_Index,Tab_Compteur_4[[#This Row],[Index]]-E127,Tab_Compteur_4[[#This Row],[Quantité]])/Tab_Compteur_4[[#This Row],[Delta Jour]],"")&lt;0,"",IFERROR(IF(Str_TypeDonneesCpt4=Cpt_Index,Tab_Compteur_4[[#This Row],[Index]]-E127,Tab_Compteur_4[[#This Row],[Quantité]])/Tab_Compteur_4[[#This Row],[Delta Jour]],""))</f>
        <v/>
      </c>
      <c r="H128" s="193" t="str">
        <f>IFERROR(Tab_Compteur_4[[#This Row],[Montant]]/Tab_Compteur_4[[#This Row],[Delta Jour]],"")</f>
        <v/>
      </c>
      <c r="I128" s="215" t="str">
        <f t="shared" si="4"/>
        <v/>
      </c>
      <c r="J128" s="216"/>
      <c r="K128" s="38"/>
      <c r="L128" s="38"/>
      <c r="M128" s="38"/>
    </row>
    <row r="129" spans="1:13">
      <c r="A129" s="3">
        <f t="shared" si="5"/>
        <v>1</v>
      </c>
      <c r="B129" s="88"/>
      <c r="C129" s="196"/>
      <c r="D129" s="195"/>
      <c r="E129" s="193"/>
      <c r="F129" s="193">
        <f t="shared" si="3"/>
        <v>0</v>
      </c>
      <c r="G129" s="193" t="str">
        <f>IF(IFERROR(IF(Str_TypeDonneesCpt4=Cpt_Index,Tab_Compteur_4[[#This Row],[Index]]-E128,Tab_Compteur_4[[#This Row],[Quantité]])/Tab_Compteur_4[[#This Row],[Delta Jour]],"")&lt;0,"",IFERROR(IF(Str_TypeDonneesCpt4=Cpt_Index,Tab_Compteur_4[[#This Row],[Index]]-E128,Tab_Compteur_4[[#This Row],[Quantité]])/Tab_Compteur_4[[#This Row],[Delta Jour]],""))</f>
        <v/>
      </c>
      <c r="H129" s="193" t="str">
        <f>IFERROR(Tab_Compteur_4[[#This Row],[Montant]]/Tab_Compteur_4[[#This Row],[Delta Jour]],"")</f>
        <v/>
      </c>
      <c r="I129" s="215" t="str">
        <f t="shared" si="4"/>
        <v/>
      </c>
      <c r="J129" s="216"/>
      <c r="K129" s="38"/>
      <c r="L129" s="38"/>
      <c r="M129" s="38"/>
    </row>
    <row r="130" spans="1:13">
      <c r="A130" s="3">
        <f t="shared" si="5"/>
        <v>1</v>
      </c>
      <c r="B130" s="88"/>
      <c r="C130" s="196"/>
      <c r="D130" s="195"/>
      <c r="E130" s="193"/>
      <c r="F130" s="193">
        <f t="shared" si="3"/>
        <v>0</v>
      </c>
      <c r="G130" s="193" t="str">
        <f>IF(IFERROR(IF(Str_TypeDonneesCpt4=Cpt_Index,Tab_Compteur_4[[#This Row],[Index]]-E129,Tab_Compteur_4[[#This Row],[Quantité]])/Tab_Compteur_4[[#This Row],[Delta Jour]],"")&lt;0,"",IFERROR(IF(Str_TypeDonneesCpt4=Cpt_Index,Tab_Compteur_4[[#This Row],[Index]]-E129,Tab_Compteur_4[[#This Row],[Quantité]])/Tab_Compteur_4[[#This Row],[Delta Jour]],""))</f>
        <v/>
      </c>
      <c r="H130" s="193" t="str">
        <f>IFERROR(Tab_Compteur_4[[#This Row],[Montant]]/Tab_Compteur_4[[#This Row],[Delta Jour]],"")</f>
        <v/>
      </c>
      <c r="I130" s="215" t="str">
        <f t="shared" si="4"/>
        <v/>
      </c>
      <c r="J130" s="216"/>
      <c r="K130" s="38"/>
      <c r="L130" s="38"/>
      <c r="M130" s="38"/>
    </row>
    <row r="131" spans="1:13">
      <c r="A131" s="3">
        <f t="shared" si="5"/>
        <v>1</v>
      </c>
      <c r="B131" s="88"/>
      <c r="C131" s="196"/>
      <c r="D131" s="195"/>
      <c r="E131" s="193"/>
      <c r="F131" s="193">
        <f t="shared" ref="F131:F194" si="6">IFERROR(B131-A131+1,"")</f>
        <v>0</v>
      </c>
      <c r="G131" s="193" t="str">
        <f>IF(IFERROR(IF(Str_TypeDonneesCpt4=Cpt_Index,Tab_Compteur_4[[#This Row],[Index]]-E130,Tab_Compteur_4[[#This Row],[Quantité]])/Tab_Compteur_4[[#This Row],[Delta Jour]],"")&lt;0,"",IFERROR(IF(Str_TypeDonneesCpt4=Cpt_Index,Tab_Compteur_4[[#This Row],[Index]]-E130,Tab_Compteur_4[[#This Row],[Quantité]])/Tab_Compteur_4[[#This Row],[Delta Jour]],""))</f>
        <v/>
      </c>
      <c r="H131" s="193" t="str">
        <f>IFERROR(Tab_Compteur_4[[#This Row],[Montant]]/Tab_Compteur_4[[#This Row],[Delta Jour]],"")</f>
        <v/>
      </c>
      <c r="I131" s="215" t="str">
        <f t="shared" ref="I131:I194" si="7">G131</f>
        <v/>
      </c>
      <c r="J131" s="216"/>
      <c r="K131" s="38"/>
      <c r="L131" s="38"/>
      <c r="M131" s="38"/>
    </row>
    <row r="132" spans="1:13">
      <c r="A132" s="3">
        <f t="shared" si="5"/>
        <v>1</v>
      </c>
      <c r="B132" s="88"/>
      <c r="C132" s="196"/>
      <c r="D132" s="195"/>
      <c r="E132" s="193"/>
      <c r="F132" s="193">
        <f t="shared" si="6"/>
        <v>0</v>
      </c>
      <c r="G132" s="193" t="str">
        <f>IF(IFERROR(IF(Str_TypeDonneesCpt4=Cpt_Index,Tab_Compteur_4[[#This Row],[Index]]-E131,Tab_Compteur_4[[#This Row],[Quantité]])/Tab_Compteur_4[[#This Row],[Delta Jour]],"")&lt;0,"",IFERROR(IF(Str_TypeDonneesCpt4=Cpt_Index,Tab_Compteur_4[[#This Row],[Index]]-E131,Tab_Compteur_4[[#This Row],[Quantité]])/Tab_Compteur_4[[#This Row],[Delta Jour]],""))</f>
        <v/>
      </c>
      <c r="H132" s="193" t="str">
        <f>IFERROR(Tab_Compteur_4[[#This Row],[Montant]]/Tab_Compteur_4[[#This Row],[Delta Jour]],"")</f>
        <v/>
      </c>
      <c r="I132" s="215" t="str">
        <f t="shared" si="7"/>
        <v/>
      </c>
      <c r="J132" s="216"/>
      <c r="K132" s="38"/>
      <c r="L132" s="38"/>
      <c r="M132" s="38"/>
    </row>
    <row r="133" spans="1:13">
      <c r="A133" s="3">
        <f t="shared" si="5"/>
        <v>1</v>
      </c>
      <c r="B133" s="88"/>
      <c r="C133" s="196"/>
      <c r="D133" s="195"/>
      <c r="E133" s="193"/>
      <c r="F133" s="193">
        <f t="shared" si="6"/>
        <v>0</v>
      </c>
      <c r="G133" s="193" t="str">
        <f>IF(IFERROR(IF(Str_TypeDonneesCpt4=Cpt_Index,Tab_Compteur_4[[#This Row],[Index]]-E132,Tab_Compteur_4[[#This Row],[Quantité]])/Tab_Compteur_4[[#This Row],[Delta Jour]],"")&lt;0,"",IFERROR(IF(Str_TypeDonneesCpt4=Cpt_Index,Tab_Compteur_4[[#This Row],[Index]]-E132,Tab_Compteur_4[[#This Row],[Quantité]])/Tab_Compteur_4[[#This Row],[Delta Jour]],""))</f>
        <v/>
      </c>
      <c r="H133" s="193" t="str">
        <f>IFERROR(Tab_Compteur_4[[#This Row],[Montant]]/Tab_Compteur_4[[#This Row],[Delta Jour]],"")</f>
        <v/>
      </c>
      <c r="I133" s="215" t="str">
        <f t="shared" si="7"/>
        <v/>
      </c>
      <c r="J133" s="216"/>
      <c r="K133" s="38"/>
      <c r="L133" s="38"/>
      <c r="M133" s="38"/>
    </row>
    <row r="134" spans="1:13">
      <c r="A134" s="3">
        <f t="shared" ref="A134:A197" si="8">IFERROR(B133+1,0)</f>
        <v>1</v>
      </c>
      <c r="B134" s="88"/>
      <c r="C134" s="196"/>
      <c r="D134" s="195"/>
      <c r="E134" s="193"/>
      <c r="F134" s="193">
        <f t="shared" si="6"/>
        <v>0</v>
      </c>
      <c r="G134" s="193" t="str">
        <f>IF(IFERROR(IF(Str_TypeDonneesCpt4=Cpt_Index,Tab_Compteur_4[[#This Row],[Index]]-E133,Tab_Compteur_4[[#This Row],[Quantité]])/Tab_Compteur_4[[#This Row],[Delta Jour]],"")&lt;0,"",IFERROR(IF(Str_TypeDonneesCpt4=Cpt_Index,Tab_Compteur_4[[#This Row],[Index]]-E133,Tab_Compteur_4[[#This Row],[Quantité]])/Tab_Compteur_4[[#This Row],[Delta Jour]],""))</f>
        <v/>
      </c>
      <c r="H134" s="193" t="str">
        <f>IFERROR(Tab_Compteur_4[[#This Row],[Montant]]/Tab_Compteur_4[[#This Row],[Delta Jour]],"")</f>
        <v/>
      </c>
      <c r="I134" s="215" t="str">
        <f t="shared" si="7"/>
        <v/>
      </c>
      <c r="J134" s="216"/>
      <c r="K134" s="38"/>
      <c r="L134" s="38"/>
      <c r="M134" s="38"/>
    </row>
    <row r="135" spans="1:13">
      <c r="A135" s="3">
        <f t="shared" si="8"/>
        <v>1</v>
      </c>
      <c r="B135" s="88"/>
      <c r="C135" s="196"/>
      <c r="D135" s="195"/>
      <c r="E135" s="193"/>
      <c r="F135" s="193">
        <f t="shared" si="6"/>
        <v>0</v>
      </c>
      <c r="G135" s="193" t="str">
        <f>IF(IFERROR(IF(Str_TypeDonneesCpt4=Cpt_Index,Tab_Compteur_4[[#This Row],[Index]]-E134,Tab_Compteur_4[[#This Row],[Quantité]])/Tab_Compteur_4[[#This Row],[Delta Jour]],"")&lt;0,"",IFERROR(IF(Str_TypeDonneesCpt4=Cpt_Index,Tab_Compteur_4[[#This Row],[Index]]-E134,Tab_Compteur_4[[#This Row],[Quantité]])/Tab_Compteur_4[[#This Row],[Delta Jour]],""))</f>
        <v/>
      </c>
      <c r="H135" s="193" t="str">
        <f>IFERROR(Tab_Compteur_4[[#This Row],[Montant]]/Tab_Compteur_4[[#This Row],[Delta Jour]],"")</f>
        <v/>
      </c>
      <c r="I135" s="215" t="str">
        <f t="shared" si="7"/>
        <v/>
      </c>
      <c r="J135" s="216"/>
      <c r="K135" s="38"/>
      <c r="L135" s="38"/>
      <c r="M135" s="38"/>
    </row>
    <row r="136" spans="1:13">
      <c r="A136" s="3">
        <f t="shared" si="8"/>
        <v>1</v>
      </c>
      <c r="B136" s="88"/>
      <c r="C136" s="196"/>
      <c r="D136" s="195"/>
      <c r="E136" s="193"/>
      <c r="F136" s="193">
        <f t="shared" si="6"/>
        <v>0</v>
      </c>
      <c r="G136" s="193" t="str">
        <f>IF(IFERROR(IF(Str_TypeDonneesCpt4=Cpt_Index,Tab_Compteur_4[[#This Row],[Index]]-E135,Tab_Compteur_4[[#This Row],[Quantité]])/Tab_Compteur_4[[#This Row],[Delta Jour]],"")&lt;0,"",IFERROR(IF(Str_TypeDonneesCpt4=Cpt_Index,Tab_Compteur_4[[#This Row],[Index]]-E135,Tab_Compteur_4[[#This Row],[Quantité]])/Tab_Compteur_4[[#This Row],[Delta Jour]],""))</f>
        <v/>
      </c>
      <c r="H136" s="193" t="str">
        <f>IFERROR(Tab_Compteur_4[[#This Row],[Montant]]/Tab_Compteur_4[[#This Row],[Delta Jour]],"")</f>
        <v/>
      </c>
      <c r="I136" s="215" t="str">
        <f t="shared" si="7"/>
        <v/>
      </c>
      <c r="J136" s="216"/>
      <c r="K136" s="38"/>
      <c r="L136" s="38"/>
      <c r="M136" s="38"/>
    </row>
    <row r="137" spans="1:13">
      <c r="A137" s="3">
        <f t="shared" si="8"/>
        <v>1</v>
      </c>
      <c r="B137" s="88"/>
      <c r="C137" s="196"/>
      <c r="D137" s="195"/>
      <c r="E137" s="193"/>
      <c r="F137" s="193">
        <f t="shared" si="6"/>
        <v>0</v>
      </c>
      <c r="G137" s="193" t="str">
        <f>IF(IFERROR(IF(Str_TypeDonneesCpt4=Cpt_Index,Tab_Compteur_4[[#This Row],[Index]]-E136,Tab_Compteur_4[[#This Row],[Quantité]])/Tab_Compteur_4[[#This Row],[Delta Jour]],"")&lt;0,"",IFERROR(IF(Str_TypeDonneesCpt4=Cpt_Index,Tab_Compteur_4[[#This Row],[Index]]-E136,Tab_Compteur_4[[#This Row],[Quantité]])/Tab_Compteur_4[[#This Row],[Delta Jour]],""))</f>
        <v/>
      </c>
      <c r="H137" s="193" t="str">
        <f>IFERROR(Tab_Compteur_4[[#This Row],[Montant]]/Tab_Compteur_4[[#This Row],[Delta Jour]],"")</f>
        <v/>
      </c>
      <c r="I137" s="215" t="str">
        <f t="shared" si="7"/>
        <v/>
      </c>
      <c r="J137" s="216"/>
      <c r="K137" s="38"/>
      <c r="L137" s="38"/>
      <c r="M137" s="38"/>
    </row>
    <row r="138" spans="1:13">
      <c r="A138" s="3">
        <f t="shared" si="8"/>
        <v>1</v>
      </c>
      <c r="B138" s="88"/>
      <c r="C138" s="196"/>
      <c r="D138" s="195"/>
      <c r="E138" s="193"/>
      <c r="F138" s="193">
        <f t="shared" si="6"/>
        <v>0</v>
      </c>
      <c r="G138" s="193" t="str">
        <f>IF(IFERROR(IF(Str_TypeDonneesCpt4=Cpt_Index,Tab_Compteur_4[[#This Row],[Index]]-E137,Tab_Compteur_4[[#This Row],[Quantité]])/Tab_Compteur_4[[#This Row],[Delta Jour]],"")&lt;0,"",IFERROR(IF(Str_TypeDonneesCpt4=Cpt_Index,Tab_Compteur_4[[#This Row],[Index]]-E137,Tab_Compteur_4[[#This Row],[Quantité]])/Tab_Compteur_4[[#This Row],[Delta Jour]],""))</f>
        <v/>
      </c>
      <c r="H138" s="193" t="str">
        <f>IFERROR(Tab_Compteur_4[[#This Row],[Montant]]/Tab_Compteur_4[[#This Row],[Delta Jour]],"")</f>
        <v/>
      </c>
      <c r="I138" s="215" t="str">
        <f t="shared" si="7"/>
        <v/>
      </c>
      <c r="J138" s="216"/>
      <c r="K138" s="38"/>
      <c r="L138" s="38"/>
      <c r="M138" s="38"/>
    </row>
    <row r="139" spans="1:13">
      <c r="A139" s="3">
        <f t="shared" si="8"/>
        <v>1</v>
      </c>
      <c r="B139" s="88"/>
      <c r="C139" s="196"/>
      <c r="D139" s="195"/>
      <c r="E139" s="193"/>
      <c r="F139" s="193">
        <f t="shared" si="6"/>
        <v>0</v>
      </c>
      <c r="G139" s="193" t="str">
        <f>IF(IFERROR(IF(Str_TypeDonneesCpt4=Cpt_Index,Tab_Compteur_4[[#This Row],[Index]]-E138,Tab_Compteur_4[[#This Row],[Quantité]])/Tab_Compteur_4[[#This Row],[Delta Jour]],"")&lt;0,"",IFERROR(IF(Str_TypeDonneesCpt4=Cpt_Index,Tab_Compteur_4[[#This Row],[Index]]-E138,Tab_Compteur_4[[#This Row],[Quantité]])/Tab_Compteur_4[[#This Row],[Delta Jour]],""))</f>
        <v/>
      </c>
      <c r="H139" s="193" t="str">
        <f>IFERROR(Tab_Compteur_4[[#This Row],[Montant]]/Tab_Compteur_4[[#This Row],[Delta Jour]],"")</f>
        <v/>
      </c>
      <c r="I139" s="215" t="str">
        <f t="shared" si="7"/>
        <v/>
      </c>
      <c r="J139" s="216"/>
      <c r="K139" s="38"/>
      <c r="L139" s="38"/>
      <c r="M139" s="38"/>
    </row>
    <row r="140" spans="1:13">
      <c r="A140" s="3">
        <f t="shared" si="8"/>
        <v>1</v>
      </c>
      <c r="B140" s="88"/>
      <c r="C140" s="196"/>
      <c r="D140" s="195"/>
      <c r="E140" s="193"/>
      <c r="F140" s="193">
        <f t="shared" si="6"/>
        <v>0</v>
      </c>
      <c r="G140" s="193" t="str">
        <f>IF(IFERROR(IF(Str_TypeDonneesCpt4=Cpt_Index,Tab_Compteur_4[[#This Row],[Index]]-E139,Tab_Compteur_4[[#This Row],[Quantité]])/Tab_Compteur_4[[#This Row],[Delta Jour]],"")&lt;0,"",IFERROR(IF(Str_TypeDonneesCpt4=Cpt_Index,Tab_Compteur_4[[#This Row],[Index]]-E139,Tab_Compteur_4[[#This Row],[Quantité]])/Tab_Compteur_4[[#This Row],[Delta Jour]],""))</f>
        <v/>
      </c>
      <c r="H140" s="193" t="str">
        <f>IFERROR(Tab_Compteur_4[[#This Row],[Montant]]/Tab_Compteur_4[[#This Row],[Delta Jour]],"")</f>
        <v/>
      </c>
      <c r="I140" s="215" t="str">
        <f t="shared" si="7"/>
        <v/>
      </c>
      <c r="J140" s="216"/>
      <c r="K140" s="38"/>
      <c r="L140" s="38"/>
      <c r="M140" s="38"/>
    </row>
    <row r="141" spans="1:13">
      <c r="A141" s="3">
        <f t="shared" si="8"/>
        <v>1</v>
      </c>
      <c r="B141" s="88"/>
      <c r="C141" s="196"/>
      <c r="D141" s="195"/>
      <c r="E141" s="193"/>
      <c r="F141" s="193">
        <f t="shared" si="6"/>
        <v>0</v>
      </c>
      <c r="G141" s="193" t="str">
        <f>IF(IFERROR(IF(Str_TypeDonneesCpt4=Cpt_Index,Tab_Compteur_4[[#This Row],[Index]]-E140,Tab_Compteur_4[[#This Row],[Quantité]])/Tab_Compteur_4[[#This Row],[Delta Jour]],"")&lt;0,"",IFERROR(IF(Str_TypeDonneesCpt4=Cpt_Index,Tab_Compteur_4[[#This Row],[Index]]-E140,Tab_Compteur_4[[#This Row],[Quantité]])/Tab_Compteur_4[[#This Row],[Delta Jour]],""))</f>
        <v/>
      </c>
      <c r="H141" s="193" t="str">
        <f>IFERROR(Tab_Compteur_4[[#This Row],[Montant]]/Tab_Compteur_4[[#This Row],[Delta Jour]],"")</f>
        <v/>
      </c>
      <c r="I141" s="215" t="str">
        <f t="shared" si="7"/>
        <v/>
      </c>
      <c r="J141" s="216"/>
      <c r="K141" s="38"/>
      <c r="L141" s="38"/>
      <c r="M141" s="38"/>
    </row>
    <row r="142" spans="1:13">
      <c r="A142" s="3">
        <f t="shared" si="8"/>
        <v>1</v>
      </c>
      <c r="B142" s="88"/>
      <c r="C142" s="196"/>
      <c r="D142" s="195"/>
      <c r="E142" s="193"/>
      <c r="F142" s="193">
        <f t="shared" si="6"/>
        <v>0</v>
      </c>
      <c r="G142" s="193" t="str">
        <f>IF(IFERROR(IF(Str_TypeDonneesCpt4=Cpt_Index,Tab_Compteur_4[[#This Row],[Index]]-E141,Tab_Compteur_4[[#This Row],[Quantité]])/Tab_Compteur_4[[#This Row],[Delta Jour]],"")&lt;0,"",IFERROR(IF(Str_TypeDonneesCpt4=Cpt_Index,Tab_Compteur_4[[#This Row],[Index]]-E141,Tab_Compteur_4[[#This Row],[Quantité]])/Tab_Compteur_4[[#This Row],[Delta Jour]],""))</f>
        <v/>
      </c>
      <c r="H142" s="193" t="str">
        <f>IFERROR(Tab_Compteur_4[[#This Row],[Montant]]/Tab_Compteur_4[[#This Row],[Delta Jour]],"")</f>
        <v/>
      </c>
      <c r="I142" s="215" t="str">
        <f t="shared" si="7"/>
        <v/>
      </c>
      <c r="J142" s="216"/>
      <c r="K142" s="38"/>
      <c r="L142" s="38"/>
      <c r="M142" s="38"/>
    </row>
    <row r="143" spans="1:13">
      <c r="A143" s="3">
        <f t="shared" si="8"/>
        <v>1</v>
      </c>
      <c r="B143" s="88"/>
      <c r="C143" s="196"/>
      <c r="D143" s="195"/>
      <c r="E143" s="193"/>
      <c r="F143" s="193">
        <f t="shared" si="6"/>
        <v>0</v>
      </c>
      <c r="G143" s="193" t="str">
        <f>IF(IFERROR(IF(Str_TypeDonneesCpt4=Cpt_Index,Tab_Compteur_4[[#This Row],[Index]]-E142,Tab_Compteur_4[[#This Row],[Quantité]])/Tab_Compteur_4[[#This Row],[Delta Jour]],"")&lt;0,"",IFERROR(IF(Str_TypeDonneesCpt4=Cpt_Index,Tab_Compteur_4[[#This Row],[Index]]-E142,Tab_Compteur_4[[#This Row],[Quantité]])/Tab_Compteur_4[[#This Row],[Delta Jour]],""))</f>
        <v/>
      </c>
      <c r="H143" s="193" t="str">
        <f>IFERROR(Tab_Compteur_4[[#This Row],[Montant]]/Tab_Compteur_4[[#This Row],[Delta Jour]],"")</f>
        <v/>
      </c>
      <c r="I143" s="215" t="str">
        <f t="shared" si="7"/>
        <v/>
      </c>
      <c r="J143" s="216"/>
      <c r="K143" s="38"/>
      <c r="L143" s="38"/>
      <c r="M143" s="38"/>
    </row>
    <row r="144" spans="1:13">
      <c r="A144" s="3">
        <f t="shared" si="8"/>
        <v>1</v>
      </c>
      <c r="B144" s="88"/>
      <c r="C144" s="196"/>
      <c r="D144" s="195"/>
      <c r="E144" s="193"/>
      <c r="F144" s="193">
        <f t="shared" si="6"/>
        <v>0</v>
      </c>
      <c r="G144" s="193" t="str">
        <f>IF(IFERROR(IF(Str_TypeDonneesCpt4=Cpt_Index,Tab_Compteur_4[[#This Row],[Index]]-E143,Tab_Compteur_4[[#This Row],[Quantité]])/Tab_Compteur_4[[#This Row],[Delta Jour]],"")&lt;0,"",IFERROR(IF(Str_TypeDonneesCpt4=Cpt_Index,Tab_Compteur_4[[#This Row],[Index]]-E143,Tab_Compteur_4[[#This Row],[Quantité]])/Tab_Compteur_4[[#This Row],[Delta Jour]],""))</f>
        <v/>
      </c>
      <c r="H144" s="193" t="str">
        <f>IFERROR(Tab_Compteur_4[[#This Row],[Montant]]/Tab_Compteur_4[[#This Row],[Delta Jour]],"")</f>
        <v/>
      </c>
      <c r="I144" s="215" t="str">
        <f t="shared" si="7"/>
        <v/>
      </c>
      <c r="J144" s="216"/>
      <c r="K144" s="38"/>
      <c r="L144" s="38"/>
      <c r="M144" s="38"/>
    </row>
    <row r="145" spans="1:13">
      <c r="A145" s="3">
        <f t="shared" si="8"/>
        <v>1</v>
      </c>
      <c r="B145" s="88"/>
      <c r="C145" s="196"/>
      <c r="D145" s="195"/>
      <c r="E145" s="193"/>
      <c r="F145" s="193">
        <f t="shared" si="6"/>
        <v>0</v>
      </c>
      <c r="G145" s="193" t="str">
        <f>IF(IFERROR(IF(Str_TypeDonneesCpt4=Cpt_Index,Tab_Compteur_4[[#This Row],[Index]]-E144,Tab_Compteur_4[[#This Row],[Quantité]])/Tab_Compteur_4[[#This Row],[Delta Jour]],"")&lt;0,"",IFERROR(IF(Str_TypeDonneesCpt4=Cpt_Index,Tab_Compteur_4[[#This Row],[Index]]-E144,Tab_Compteur_4[[#This Row],[Quantité]])/Tab_Compteur_4[[#This Row],[Delta Jour]],""))</f>
        <v/>
      </c>
      <c r="H145" s="193" t="str">
        <f>IFERROR(Tab_Compteur_4[[#This Row],[Montant]]/Tab_Compteur_4[[#This Row],[Delta Jour]],"")</f>
        <v/>
      </c>
      <c r="I145" s="215" t="str">
        <f t="shared" si="7"/>
        <v/>
      </c>
      <c r="J145" s="216"/>
      <c r="K145" s="38"/>
      <c r="L145" s="38"/>
      <c r="M145" s="38"/>
    </row>
    <row r="146" spans="1:13">
      <c r="A146" s="3">
        <f t="shared" si="8"/>
        <v>1</v>
      </c>
      <c r="B146" s="88"/>
      <c r="C146" s="196"/>
      <c r="D146" s="195"/>
      <c r="E146" s="193"/>
      <c r="F146" s="193">
        <f t="shared" si="6"/>
        <v>0</v>
      </c>
      <c r="G146" s="193" t="str">
        <f>IF(IFERROR(IF(Str_TypeDonneesCpt4=Cpt_Index,Tab_Compteur_4[[#This Row],[Index]]-E145,Tab_Compteur_4[[#This Row],[Quantité]])/Tab_Compteur_4[[#This Row],[Delta Jour]],"")&lt;0,"",IFERROR(IF(Str_TypeDonneesCpt4=Cpt_Index,Tab_Compteur_4[[#This Row],[Index]]-E145,Tab_Compteur_4[[#This Row],[Quantité]])/Tab_Compteur_4[[#This Row],[Delta Jour]],""))</f>
        <v/>
      </c>
      <c r="H146" s="193" t="str">
        <f>IFERROR(Tab_Compteur_4[[#This Row],[Montant]]/Tab_Compteur_4[[#This Row],[Delta Jour]],"")</f>
        <v/>
      </c>
      <c r="I146" s="215" t="str">
        <f t="shared" si="7"/>
        <v/>
      </c>
      <c r="J146" s="216"/>
      <c r="K146" s="38"/>
      <c r="L146" s="38"/>
      <c r="M146" s="38"/>
    </row>
    <row r="147" spans="1:13">
      <c r="A147" s="3">
        <f t="shared" si="8"/>
        <v>1</v>
      </c>
      <c r="B147" s="88"/>
      <c r="C147" s="196"/>
      <c r="D147" s="195"/>
      <c r="E147" s="193"/>
      <c r="F147" s="193">
        <f t="shared" si="6"/>
        <v>0</v>
      </c>
      <c r="G147" s="193" t="str">
        <f>IF(IFERROR(IF(Str_TypeDonneesCpt4=Cpt_Index,Tab_Compteur_4[[#This Row],[Index]]-E146,Tab_Compteur_4[[#This Row],[Quantité]])/Tab_Compteur_4[[#This Row],[Delta Jour]],"")&lt;0,"",IFERROR(IF(Str_TypeDonneesCpt4=Cpt_Index,Tab_Compteur_4[[#This Row],[Index]]-E146,Tab_Compteur_4[[#This Row],[Quantité]])/Tab_Compteur_4[[#This Row],[Delta Jour]],""))</f>
        <v/>
      </c>
      <c r="H147" s="193" t="str">
        <f>IFERROR(Tab_Compteur_4[[#This Row],[Montant]]/Tab_Compteur_4[[#This Row],[Delta Jour]],"")</f>
        <v/>
      </c>
      <c r="I147" s="215" t="str">
        <f t="shared" si="7"/>
        <v/>
      </c>
      <c r="J147" s="216"/>
      <c r="K147" s="38"/>
      <c r="L147" s="38"/>
      <c r="M147" s="38"/>
    </row>
    <row r="148" spans="1:13">
      <c r="A148" s="3">
        <f t="shared" si="8"/>
        <v>1</v>
      </c>
      <c r="B148" s="88"/>
      <c r="C148" s="196"/>
      <c r="D148" s="195"/>
      <c r="E148" s="193"/>
      <c r="F148" s="193">
        <f t="shared" si="6"/>
        <v>0</v>
      </c>
      <c r="G148" s="193" t="str">
        <f>IF(IFERROR(IF(Str_TypeDonneesCpt4=Cpt_Index,Tab_Compteur_4[[#This Row],[Index]]-E147,Tab_Compteur_4[[#This Row],[Quantité]])/Tab_Compteur_4[[#This Row],[Delta Jour]],"")&lt;0,"",IFERROR(IF(Str_TypeDonneesCpt4=Cpt_Index,Tab_Compteur_4[[#This Row],[Index]]-E147,Tab_Compteur_4[[#This Row],[Quantité]])/Tab_Compteur_4[[#This Row],[Delta Jour]],""))</f>
        <v/>
      </c>
      <c r="H148" s="193" t="str">
        <f>IFERROR(Tab_Compteur_4[[#This Row],[Montant]]/Tab_Compteur_4[[#This Row],[Delta Jour]],"")</f>
        <v/>
      </c>
      <c r="I148" s="215" t="str">
        <f t="shared" si="7"/>
        <v/>
      </c>
      <c r="J148" s="216"/>
      <c r="K148" s="38"/>
      <c r="L148" s="38"/>
      <c r="M148" s="38"/>
    </row>
    <row r="149" spans="1:13">
      <c r="A149" s="3">
        <f t="shared" si="8"/>
        <v>1</v>
      </c>
      <c r="B149" s="88"/>
      <c r="C149" s="196"/>
      <c r="D149" s="195"/>
      <c r="E149" s="193"/>
      <c r="F149" s="193">
        <f t="shared" si="6"/>
        <v>0</v>
      </c>
      <c r="G149" s="193" t="str">
        <f>IF(IFERROR(IF(Str_TypeDonneesCpt4=Cpt_Index,Tab_Compteur_4[[#This Row],[Index]]-E148,Tab_Compteur_4[[#This Row],[Quantité]])/Tab_Compteur_4[[#This Row],[Delta Jour]],"")&lt;0,"",IFERROR(IF(Str_TypeDonneesCpt4=Cpt_Index,Tab_Compteur_4[[#This Row],[Index]]-E148,Tab_Compteur_4[[#This Row],[Quantité]])/Tab_Compteur_4[[#This Row],[Delta Jour]],""))</f>
        <v/>
      </c>
      <c r="H149" s="193" t="str">
        <f>IFERROR(Tab_Compteur_4[[#This Row],[Montant]]/Tab_Compteur_4[[#This Row],[Delta Jour]],"")</f>
        <v/>
      </c>
      <c r="I149" s="215" t="str">
        <f t="shared" si="7"/>
        <v/>
      </c>
      <c r="J149" s="216"/>
      <c r="K149" s="38"/>
      <c r="L149" s="38"/>
      <c r="M149" s="38"/>
    </row>
    <row r="150" spans="1:13">
      <c r="A150" s="3">
        <f t="shared" si="8"/>
        <v>1</v>
      </c>
      <c r="B150" s="88"/>
      <c r="C150" s="196"/>
      <c r="D150" s="195"/>
      <c r="E150" s="193"/>
      <c r="F150" s="193">
        <f t="shared" si="6"/>
        <v>0</v>
      </c>
      <c r="G150" s="193" t="str">
        <f>IF(IFERROR(IF(Str_TypeDonneesCpt4=Cpt_Index,Tab_Compteur_4[[#This Row],[Index]]-E149,Tab_Compteur_4[[#This Row],[Quantité]])/Tab_Compteur_4[[#This Row],[Delta Jour]],"")&lt;0,"",IFERROR(IF(Str_TypeDonneesCpt4=Cpt_Index,Tab_Compteur_4[[#This Row],[Index]]-E149,Tab_Compteur_4[[#This Row],[Quantité]])/Tab_Compteur_4[[#This Row],[Delta Jour]],""))</f>
        <v/>
      </c>
      <c r="H150" s="193" t="str">
        <f>IFERROR(Tab_Compteur_4[[#This Row],[Montant]]/Tab_Compteur_4[[#This Row],[Delta Jour]],"")</f>
        <v/>
      </c>
      <c r="I150" s="215" t="str">
        <f t="shared" si="7"/>
        <v/>
      </c>
      <c r="J150" s="216"/>
      <c r="K150" s="38"/>
      <c r="L150" s="38"/>
      <c r="M150" s="38"/>
    </row>
    <row r="151" spans="1:13">
      <c r="A151" s="3">
        <f t="shared" si="8"/>
        <v>1</v>
      </c>
      <c r="B151" s="88"/>
      <c r="C151" s="196"/>
      <c r="D151" s="195"/>
      <c r="E151" s="193"/>
      <c r="F151" s="193">
        <f t="shared" si="6"/>
        <v>0</v>
      </c>
      <c r="G151" s="193" t="str">
        <f>IF(IFERROR(IF(Str_TypeDonneesCpt4=Cpt_Index,Tab_Compteur_4[[#This Row],[Index]]-E150,Tab_Compteur_4[[#This Row],[Quantité]])/Tab_Compteur_4[[#This Row],[Delta Jour]],"")&lt;0,"",IFERROR(IF(Str_TypeDonneesCpt4=Cpt_Index,Tab_Compteur_4[[#This Row],[Index]]-E150,Tab_Compteur_4[[#This Row],[Quantité]])/Tab_Compteur_4[[#This Row],[Delta Jour]],""))</f>
        <v/>
      </c>
      <c r="H151" s="193" t="str">
        <f>IFERROR(Tab_Compteur_4[[#This Row],[Montant]]/Tab_Compteur_4[[#This Row],[Delta Jour]],"")</f>
        <v/>
      </c>
      <c r="I151" s="215" t="str">
        <f t="shared" si="7"/>
        <v/>
      </c>
      <c r="J151" s="216"/>
      <c r="K151" s="38"/>
      <c r="L151" s="38"/>
      <c r="M151" s="38"/>
    </row>
    <row r="152" spans="1:13">
      <c r="A152" s="3">
        <f t="shared" si="8"/>
        <v>1</v>
      </c>
      <c r="B152" s="88"/>
      <c r="C152" s="196"/>
      <c r="D152" s="195"/>
      <c r="E152" s="193"/>
      <c r="F152" s="193">
        <f t="shared" si="6"/>
        <v>0</v>
      </c>
      <c r="G152" s="193" t="str">
        <f>IF(IFERROR(IF(Str_TypeDonneesCpt4=Cpt_Index,Tab_Compteur_4[[#This Row],[Index]]-E151,Tab_Compteur_4[[#This Row],[Quantité]])/Tab_Compteur_4[[#This Row],[Delta Jour]],"")&lt;0,"",IFERROR(IF(Str_TypeDonneesCpt4=Cpt_Index,Tab_Compteur_4[[#This Row],[Index]]-E151,Tab_Compteur_4[[#This Row],[Quantité]])/Tab_Compteur_4[[#This Row],[Delta Jour]],""))</f>
        <v/>
      </c>
      <c r="H152" s="193" t="str">
        <f>IFERROR(Tab_Compteur_4[[#This Row],[Montant]]/Tab_Compteur_4[[#This Row],[Delta Jour]],"")</f>
        <v/>
      </c>
      <c r="I152" s="215" t="str">
        <f t="shared" si="7"/>
        <v/>
      </c>
      <c r="J152" s="216"/>
      <c r="K152" s="38"/>
      <c r="L152" s="38"/>
      <c r="M152" s="38"/>
    </row>
    <row r="153" spans="1:13">
      <c r="A153" s="3">
        <f t="shared" si="8"/>
        <v>1</v>
      </c>
      <c r="B153" s="88"/>
      <c r="C153" s="196"/>
      <c r="D153" s="195"/>
      <c r="E153" s="193"/>
      <c r="F153" s="193">
        <f t="shared" si="6"/>
        <v>0</v>
      </c>
      <c r="G153" s="193" t="str">
        <f>IF(IFERROR(IF(Str_TypeDonneesCpt4=Cpt_Index,Tab_Compteur_4[[#This Row],[Index]]-E152,Tab_Compteur_4[[#This Row],[Quantité]])/Tab_Compteur_4[[#This Row],[Delta Jour]],"")&lt;0,"",IFERROR(IF(Str_TypeDonneesCpt4=Cpt_Index,Tab_Compteur_4[[#This Row],[Index]]-E152,Tab_Compteur_4[[#This Row],[Quantité]])/Tab_Compteur_4[[#This Row],[Delta Jour]],""))</f>
        <v/>
      </c>
      <c r="H153" s="193" t="str">
        <f>IFERROR(Tab_Compteur_4[[#This Row],[Montant]]/Tab_Compteur_4[[#This Row],[Delta Jour]],"")</f>
        <v/>
      </c>
      <c r="I153" s="215" t="str">
        <f t="shared" si="7"/>
        <v/>
      </c>
      <c r="J153" s="216"/>
      <c r="K153" s="38"/>
      <c r="L153" s="38"/>
      <c r="M153" s="38"/>
    </row>
    <row r="154" spans="1:13">
      <c r="A154" s="3">
        <f t="shared" si="8"/>
        <v>1</v>
      </c>
      <c r="B154" s="88"/>
      <c r="C154" s="196"/>
      <c r="D154" s="195"/>
      <c r="E154" s="193"/>
      <c r="F154" s="193">
        <f t="shared" si="6"/>
        <v>0</v>
      </c>
      <c r="G154" s="193" t="str">
        <f>IF(IFERROR(IF(Str_TypeDonneesCpt4=Cpt_Index,Tab_Compteur_4[[#This Row],[Index]]-E153,Tab_Compteur_4[[#This Row],[Quantité]])/Tab_Compteur_4[[#This Row],[Delta Jour]],"")&lt;0,"",IFERROR(IF(Str_TypeDonneesCpt4=Cpt_Index,Tab_Compteur_4[[#This Row],[Index]]-E153,Tab_Compteur_4[[#This Row],[Quantité]])/Tab_Compteur_4[[#This Row],[Delta Jour]],""))</f>
        <v/>
      </c>
      <c r="H154" s="193" t="str">
        <f>IFERROR(Tab_Compteur_4[[#This Row],[Montant]]/Tab_Compteur_4[[#This Row],[Delta Jour]],"")</f>
        <v/>
      </c>
      <c r="I154" s="215" t="str">
        <f t="shared" si="7"/>
        <v/>
      </c>
      <c r="J154" s="216"/>
      <c r="K154" s="38"/>
      <c r="L154" s="38"/>
      <c r="M154" s="38"/>
    </row>
    <row r="155" spans="1:13">
      <c r="A155" s="3">
        <f t="shared" si="8"/>
        <v>1</v>
      </c>
      <c r="B155" s="88"/>
      <c r="C155" s="196"/>
      <c r="D155" s="195"/>
      <c r="E155" s="193"/>
      <c r="F155" s="193">
        <f t="shared" si="6"/>
        <v>0</v>
      </c>
      <c r="G155" s="193" t="str">
        <f>IF(IFERROR(IF(Str_TypeDonneesCpt4=Cpt_Index,Tab_Compteur_4[[#This Row],[Index]]-E154,Tab_Compteur_4[[#This Row],[Quantité]])/Tab_Compteur_4[[#This Row],[Delta Jour]],"")&lt;0,"",IFERROR(IF(Str_TypeDonneesCpt4=Cpt_Index,Tab_Compteur_4[[#This Row],[Index]]-E154,Tab_Compteur_4[[#This Row],[Quantité]])/Tab_Compteur_4[[#This Row],[Delta Jour]],""))</f>
        <v/>
      </c>
      <c r="H155" s="193" t="str">
        <f>IFERROR(Tab_Compteur_4[[#This Row],[Montant]]/Tab_Compteur_4[[#This Row],[Delta Jour]],"")</f>
        <v/>
      </c>
      <c r="I155" s="215" t="str">
        <f t="shared" si="7"/>
        <v/>
      </c>
      <c r="J155" s="216"/>
      <c r="K155" s="38"/>
      <c r="L155" s="38"/>
      <c r="M155" s="38"/>
    </row>
    <row r="156" spans="1:13">
      <c r="A156" s="3">
        <f t="shared" si="8"/>
        <v>1</v>
      </c>
      <c r="B156" s="88"/>
      <c r="C156" s="196"/>
      <c r="D156" s="195"/>
      <c r="E156" s="193"/>
      <c r="F156" s="193">
        <f t="shared" si="6"/>
        <v>0</v>
      </c>
      <c r="G156" s="193" t="str">
        <f>IF(IFERROR(IF(Str_TypeDonneesCpt4=Cpt_Index,Tab_Compteur_4[[#This Row],[Index]]-E155,Tab_Compteur_4[[#This Row],[Quantité]])/Tab_Compteur_4[[#This Row],[Delta Jour]],"")&lt;0,"",IFERROR(IF(Str_TypeDonneesCpt4=Cpt_Index,Tab_Compteur_4[[#This Row],[Index]]-E155,Tab_Compteur_4[[#This Row],[Quantité]])/Tab_Compteur_4[[#This Row],[Delta Jour]],""))</f>
        <v/>
      </c>
      <c r="H156" s="193" t="str">
        <f>IFERROR(Tab_Compteur_4[[#This Row],[Montant]]/Tab_Compteur_4[[#This Row],[Delta Jour]],"")</f>
        <v/>
      </c>
      <c r="I156" s="215" t="str">
        <f t="shared" si="7"/>
        <v/>
      </c>
      <c r="J156" s="216"/>
      <c r="K156" s="38"/>
      <c r="L156" s="38"/>
      <c r="M156" s="38"/>
    </row>
    <row r="157" spans="1:13">
      <c r="A157" s="3">
        <f t="shared" si="8"/>
        <v>1</v>
      </c>
      <c r="B157" s="88"/>
      <c r="C157" s="196"/>
      <c r="D157" s="195"/>
      <c r="E157" s="193"/>
      <c r="F157" s="193">
        <f t="shared" si="6"/>
        <v>0</v>
      </c>
      <c r="G157" s="193" t="str">
        <f>IF(IFERROR(IF(Str_TypeDonneesCpt4=Cpt_Index,Tab_Compteur_4[[#This Row],[Index]]-E156,Tab_Compteur_4[[#This Row],[Quantité]])/Tab_Compteur_4[[#This Row],[Delta Jour]],"")&lt;0,"",IFERROR(IF(Str_TypeDonneesCpt4=Cpt_Index,Tab_Compteur_4[[#This Row],[Index]]-E156,Tab_Compteur_4[[#This Row],[Quantité]])/Tab_Compteur_4[[#This Row],[Delta Jour]],""))</f>
        <v/>
      </c>
      <c r="H157" s="193" t="str">
        <f>IFERROR(Tab_Compteur_4[[#This Row],[Montant]]/Tab_Compteur_4[[#This Row],[Delta Jour]],"")</f>
        <v/>
      </c>
      <c r="I157" s="215" t="str">
        <f t="shared" si="7"/>
        <v/>
      </c>
      <c r="J157" s="216"/>
      <c r="K157" s="38"/>
      <c r="L157" s="38"/>
      <c r="M157" s="38"/>
    </row>
    <row r="158" spans="1:13">
      <c r="A158" s="3">
        <f t="shared" si="8"/>
        <v>1</v>
      </c>
      <c r="B158" s="88"/>
      <c r="C158" s="196"/>
      <c r="D158" s="195"/>
      <c r="E158" s="193"/>
      <c r="F158" s="193">
        <f t="shared" si="6"/>
        <v>0</v>
      </c>
      <c r="G158" s="193" t="str">
        <f>IF(IFERROR(IF(Str_TypeDonneesCpt4=Cpt_Index,Tab_Compteur_4[[#This Row],[Index]]-E157,Tab_Compteur_4[[#This Row],[Quantité]])/Tab_Compteur_4[[#This Row],[Delta Jour]],"")&lt;0,"",IFERROR(IF(Str_TypeDonneesCpt4=Cpt_Index,Tab_Compteur_4[[#This Row],[Index]]-E157,Tab_Compteur_4[[#This Row],[Quantité]])/Tab_Compteur_4[[#This Row],[Delta Jour]],""))</f>
        <v/>
      </c>
      <c r="H158" s="193" t="str">
        <f>IFERROR(Tab_Compteur_4[[#This Row],[Montant]]/Tab_Compteur_4[[#This Row],[Delta Jour]],"")</f>
        <v/>
      </c>
      <c r="I158" s="215" t="str">
        <f t="shared" si="7"/>
        <v/>
      </c>
      <c r="J158" s="216"/>
      <c r="K158" s="38"/>
      <c r="L158" s="38"/>
      <c r="M158" s="38"/>
    </row>
    <row r="159" spans="1:13">
      <c r="A159" s="3">
        <f t="shared" si="8"/>
        <v>1</v>
      </c>
      <c r="B159" s="88"/>
      <c r="C159" s="196"/>
      <c r="D159" s="195"/>
      <c r="E159" s="193"/>
      <c r="F159" s="193">
        <f t="shared" si="6"/>
        <v>0</v>
      </c>
      <c r="G159" s="193" t="str">
        <f>IF(IFERROR(IF(Str_TypeDonneesCpt4=Cpt_Index,Tab_Compteur_4[[#This Row],[Index]]-E158,Tab_Compteur_4[[#This Row],[Quantité]])/Tab_Compteur_4[[#This Row],[Delta Jour]],"")&lt;0,"",IFERROR(IF(Str_TypeDonneesCpt4=Cpt_Index,Tab_Compteur_4[[#This Row],[Index]]-E158,Tab_Compteur_4[[#This Row],[Quantité]])/Tab_Compteur_4[[#This Row],[Delta Jour]],""))</f>
        <v/>
      </c>
      <c r="H159" s="193" t="str">
        <f>IFERROR(Tab_Compteur_4[[#This Row],[Montant]]/Tab_Compteur_4[[#This Row],[Delta Jour]],"")</f>
        <v/>
      </c>
      <c r="I159" s="215" t="str">
        <f t="shared" si="7"/>
        <v/>
      </c>
      <c r="J159" s="216"/>
      <c r="K159" s="38"/>
      <c r="L159" s="38"/>
      <c r="M159" s="38"/>
    </row>
    <row r="160" spans="1:13">
      <c r="A160" s="3">
        <f t="shared" si="8"/>
        <v>1</v>
      </c>
      <c r="B160" s="88"/>
      <c r="C160" s="196"/>
      <c r="D160" s="195"/>
      <c r="E160" s="193"/>
      <c r="F160" s="193">
        <f t="shared" si="6"/>
        <v>0</v>
      </c>
      <c r="G160" s="193" t="str">
        <f>IF(IFERROR(IF(Str_TypeDonneesCpt4=Cpt_Index,Tab_Compteur_4[[#This Row],[Index]]-E159,Tab_Compteur_4[[#This Row],[Quantité]])/Tab_Compteur_4[[#This Row],[Delta Jour]],"")&lt;0,"",IFERROR(IF(Str_TypeDonneesCpt4=Cpt_Index,Tab_Compteur_4[[#This Row],[Index]]-E159,Tab_Compteur_4[[#This Row],[Quantité]])/Tab_Compteur_4[[#This Row],[Delta Jour]],""))</f>
        <v/>
      </c>
      <c r="H160" s="193" t="str">
        <f>IFERROR(Tab_Compteur_4[[#This Row],[Montant]]/Tab_Compteur_4[[#This Row],[Delta Jour]],"")</f>
        <v/>
      </c>
      <c r="I160" s="215" t="str">
        <f t="shared" si="7"/>
        <v/>
      </c>
      <c r="J160" s="216"/>
      <c r="K160" s="38"/>
      <c r="L160" s="38"/>
      <c r="M160" s="38"/>
    </row>
    <row r="161" spans="1:13">
      <c r="A161" s="3">
        <f t="shared" si="8"/>
        <v>1</v>
      </c>
      <c r="B161" s="88"/>
      <c r="C161" s="196"/>
      <c r="D161" s="195"/>
      <c r="E161" s="193"/>
      <c r="F161" s="193">
        <f t="shared" si="6"/>
        <v>0</v>
      </c>
      <c r="G161" s="193" t="str">
        <f>IF(IFERROR(IF(Str_TypeDonneesCpt4=Cpt_Index,Tab_Compteur_4[[#This Row],[Index]]-E160,Tab_Compteur_4[[#This Row],[Quantité]])/Tab_Compteur_4[[#This Row],[Delta Jour]],"")&lt;0,"",IFERROR(IF(Str_TypeDonneesCpt4=Cpt_Index,Tab_Compteur_4[[#This Row],[Index]]-E160,Tab_Compteur_4[[#This Row],[Quantité]])/Tab_Compteur_4[[#This Row],[Delta Jour]],""))</f>
        <v/>
      </c>
      <c r="H161" s="193" t="str">
        <f>IFERROR(Tab_Compteur_4[[#This Row],[Montant]]/Tab_Compteur_4[[#This Row],[Delta Jour]],"")</f>
        <v/>
      </c>
      <c r="I161" s="215" t="str">
        <f t="shared" si="7"/>
        <v/>
      </c>
      <c r="J161" s="216"/>
      <c r="K161" s="38"/>
      <c r="L161" s="38"/>
      <c r="M161" s="38"/>
    </row>
    <row r="162" spans="1:13">
      <c r="A162" s="3">
        <f t="shared" si="8"/>
        <v>1</v>
      </c>
      <c r="B162" s="88"/>
      <c r="C162" s="196"/>
      <c r="D162" s="195"/>
      <c r="E162" s="193"/>
      <c r="F162" s="193">
        <f t="shared" si="6"/>
        <v>0</v>
      </c>
      <c r="G162" s="193" t="str">
        <f>IF(IFERROR(IF(Str_TypeDonneesCpt4=Cpt_Index,Tab_Compteur_4[[#This Row],[Index]]-E161,Tab_Compteur_4[[#This Row],[Quantité]])/Tab_Compteur_4[[#This Row],[Delta Jour]],"")&lt;0,"",IFERROR(IF(Str_TypeDonneesCpt4=Cpt_Index,Tab_Compteur_4[[#This Row],[Index]]-E161,Tab_Compteur_4[[#This Row],[Quantité]])/Tab_Compteur_4[[#This Row],[Delta Jour]],""))</f>
        <v/>
      </c>
      <c r="H162" s="193" t="str">
        <f>IFERROR(Tab_Compteur_4[[#This Row],[Montant]]/Tab_Compteur_4[[#This Row],[Delta Jour]],"")</f>
        <v/>
      </c>
      <c r="I162" s="215" t="str">
        <f t="shared" si="7"/>
        <v/>
      </c>
      <c r="J162" s="216"/>
      <c r="K162" s="38"/>
      <c r="L162" s="38"/>
      <c r="M162" s="38"/>
    </row>
    <row r="163" spans="1:13">
      <c r="A163" s="3">
        <f t="shared" si="8"/>
        <v>1</v>
      </c>
      <c r="B163" s="88"/>
      <c r="C163" s="196"/>
      <c r="D163" s="195"/>
      <c r="E163" s="193"/>
      <c r="F163" s="193">
        <f t="shared" si="6"/>
        <v>0</v>
      </c>
      <c r="G163" s="193" t="str">
        <f>IF(IFERROR(IF(Str_TypeDonneesCpt4=Cpt_Index,Tab_Compteur_4[[#This Row],[Index]]-E162,Tab_Compteur_4[[#This Row],[Quantité]])/Tab_Compteur_4[[#This Row],[Delta Jour]],"")&lt;0,"",IFERROR(IF(Str_TypeDonneesCpt4=Cpt_Index,Tab_Compteur_4[[#This Row],[Index]]-E162,Tab_Compteur_4[[#This Row],[Quantité]])/Tab_Compteur_4[[#This Row],[Delta Jour]],""))</f>
        <v/>
      </c>
      <c r="H163" s="193" t="str">
        <f>IFERROR(Tab_Compteur_4[[#This Row],[Montant]]/Tab_Compteur_4[[#This Row],[Delta Jour]],"")</f>
        <v/>
      </c>
      <c r="I163" s="215" t="str">
        <f t="shared" si="7"/>
        <v/>
      </c>
      <c r="J163" s="216"/>
      <c r="K163" s="38"/>
      <c r="L163" s="38"/>
      <c r="M163" s="38"/>
    </row>
    <row r="164" spans="1:13">
      <c r="A164" s="3">
        <f t="shared" si="8"/>
        <v>1</v>
      </c>
      <c r="B164" s="88"/>
      <c r="C164" s="196"/>
      <c r="D164" s="195"/>
      <c r="E164" s="193"/>
      <c r="F164" s="193">
        <f t="shared" si="6"/>
        <v>0</v>
      </c>
      <c r="G164" s="193" t="str">
        <f>IF(IFERROR(IF(Str_TypeDonneesCpt4=Cpt_Index,Tab_Compteur_4[[#This Row],[Index]]-E163,Tab_Compteur_4[[#This Row],[Quantité]])/Tab_Compteur_4[[#This Row],[Delta Jour]],"")&lt;0,"",IFERROR(IF(Str_TypeDonneesCpt4=Cpt_Index,Tab_Compteur_4[[#This Row],[Index]]-E163,Tab_Compteur_4[[#This Row],[Quantité]])/Tab_Compteur_4[[#This Row],[Delta Jour]],""))</f>
        <v/>
      </c>
      <c r="H164" s="193" t="str">
        <f>IFERROR(Tab_Compteur_4[[#This Row],[Montant]]/Tab_Compteur_4[[#This Row],[Delta Jour]],"")</f>
        <v/>
      </c>
      <c r="I164" s="215" t="str">
        <f t="shared" si="7"/>
        <v/>
      </c>
      <c r="J164" s="216"/>
      <c r="K164" s="38"/>
      <c r="L164" s="38"/>
      <c r="M164" s="38"/>
    </row>
    <row r="165" spans="1:13">
      <c r="A165" s="3">
        <f t="shared" si="8"/>
        <v>1</v>
      </c>
      <c r="B165" s="88"/>
      <c r="C165" s="196"/>
      <c r="D165" s="195"/>
      <c r="E165" s="193"/>
      <c r="F165" s="193">
        <f t="shared" si="6"/>
        <v>0</v>
      </c>
      <c r="G165" s="193" t="str">
        <f>IF(IFERROR(IF(Str_TypeDonneesCpt4=Cpt_Index,Tab_Compteur_4[[#This Row],[Index]]-E164,Tab_Compteur_4[[#This Row],[Quantité]])/Tab_Compteur_4[[#This Row],[Delta Jour]],"")&lt;0,"",IFERROR(IF(Str_TypeDonneesCpt4=Cpt_Index,Tab_Compteur_4[[#This Row],[Index]]-E164,Tab_Compteur_4[[#This Row],[Quantité]])/Tab_Compteur_4[[#This Row],[Delta Jour]],""))</f>
        <v/>
      </c>
      <c r="H165" s="193" t="str">
        <f>IFERROR(Tab_Compteur_4[[#This Row],[Montant]]/Tab_Compteur_4[[#This Row],[Delta Jour]],"")</f>
        <v/>
      </c>
      <c r="I165" s="215" t="str">
        <f t="shared" si="7"/>
        <v/>
      </c>
      <c r="J165" s="216"/>
      <c r="K165" s="38"/>
      <c r="L165" s="38"/>
      <c r="M165" s="38"/>
    </row>
    <row r="166" spans="1:13">
      <c r="A166" s="3">
        <f t="shared" si="8"/>
        <v>1</v>
      </c>
      <c r="B166" s="88"/>
      <c r="C166" s="196"/>
      <c r="D166" s="195"/>
      <c r="E166" s="193"/>
      <c r="F166" s="193">
        <f t="shared" si="6"/>
        <v>0</v>
      </c>
      <c r="G166" s="193" t="str">
        <f>IF(IFERROR(IF(Str_TypeDonneesCpt4=Cpt_Index,Tab_Compteur_4[[#This Row],[Index]]-E165,Tab_Compteur_4[[#This Row],[Quantité]])/Tab_Compteur_4[[#This Row],[Delta Jour]],"")&lt;0,"",IFERROR(IF(Str_TypeDonneesCpt4=Cpt_Index,Tab_Compteur_4[[#This Row],[Index]]-E165,Tab_Compteur_4[[#This Row],[Quantité]])/Tab_Compteur_4[[#This Row],[Delta Jour]],""))</f>
        <v/>
      </c>
      <c r="H166" s="193" t="str">
        <f>IFERROR(Tab_Compteur_4[[#This Row],[Montant]]/Tab_Compteur_4[[#This Row],[Delta Jour]],"")</f>
        <v/>
      </c>
      <c r="I166" s="215" t="str">
        <f t="shared" si="7"/>
        <v/>
      </c>
      <c r="J166" s="216"/>
      <c r="K166" s="38"/>
      <c r="L166" s="38"/>
      <c r="M166" s="38"/>
    </row>
    <row r="167" spans="1:13">
      <c r="A167" s="3">
        <f t="shared" si="8"/>
        <v>1</v>
      </c>
      <c r="B167" s="88"/>
      <c r="C167" s="196"/>
      <c r="D167" s="195"/>
      <c r="E167" s="193"/>
      <c r="F167" s="193">
        <f t="shared" si="6"/>
        <v>0</v>
      </c>
      <c r="G167" s="193" t="str">
        <f>IF(IFERROR(IF(Str_TypeDonneesCpt4=Cpt_Index,Tab_Compteur_4[[#This Row],[Index]]-E166,Tab_Compteur_4[[#This Row],[Quantité]])/Tab_Compteur_4[[#This Row],[Delta Jour]],"")&lt;0,"",IFERROR(IF(Str_TypeDonneesCpt4=Cpt_Index,Tab_Compteur_4[[#This Row],[Index]]-E166,Tab_Compteur_4[[#This Row],[Quantité]])/Tab_Compteur_4[[#This Row],[Delta Jour]],""))</f>
        <v/>
      </c>
      <c r="H167" s="193" t="str">
        <f>IFERROR(Tab_Compteur_4[[#This Row],[Montant]]/Tab_Compteur_4[[#This Row],[Delta Jour]],"")</f>
        <v/>
      </c>
      <c r="I167" s="215" t="str">
        <f t="shared" si="7"/>
        <v/>
      </c>
      <c r="J167" s="216"/>
      <c r="K167" s="38"/>
      <c r="L167" s="38"/>
      <c r="M167" s="38"/>
    </row>
    <row r="168" spans="1:13">
      <c r="A168" s="3">
        <f t="shared" si="8"/>
        <v>1</v>
      </c>
      <c r="B168" s="88"/>
      <c r="C168" s="196"/>
      <c r="D168" s="195"/>
      <c r="E168" s="193"/>
      <c r="F168" s="193">
        <f t="shared" si="6"/>
        <v>0</v>
      </c>
      <c r="G168" s="193" t="str">
        <f>IF(IFERROR(IF(Str_TypeDonneesCpt4=Cpt_Index,Tab_Compteur_4[[#This Row],[Index]]-E167,Tab_Compteur_4[[#This Row],[Quantité]])/Tab_Compteur_4[[#This Row],[Delta Jour]],"")&lt;0,"",IFERROR(IF(Str_TypeDonneesCpt4=Cpt_Index,Tab_Compteur_4[[#This Row],[Index]]-E167,Tab_Compteur_4[[#This Row],[Quantité]])/Tab_Compteur_4[[#This Row],[Delta Jour]],""))</f>
        <v/>
      </c>
      <c r="H168" s="193" t="str">
        <f>IFERROR(Tab_Compteur_4[[#This Row],[Montant]]/Tab_Compteur_4[[#This Row],[Delta Jour]],"")</f>
        <v/>
      </c>
      <c r="I168" s="215" t="str">
        <f t="shared" si="7"/>
        <v/>
      </c>
      <c r="J168" s="216"/>
      <c r="K168" s="38"/>
      <c r="L168" s="38"/>
      <c r="M168" s="38"/>
    </row>
    <row r="169" spans="1:13">
      <c r="A169" s="3">
        <f t="shared" si="8"/>
        <v>1</v>
      </c>
      <c r="B169" s="88"/>
      <c r="C169" s="196"/>
      <c r="D169" s="195"/>
      <c r="E169" s="193"/>
      <c r="F169" s="193">
        <f t="shared" si="6"/>
        <v>0</v>
      </c>
      <c r="G169" s="193" t="str">
        <f>IF(IFERROR(IF(Str_TypeDonneesCpt4=Cpt_Index,Tab_Compteur_4[[#This Row],[Index]]-E168,Tab_Compteur_4[[#This Row],[Quantité]])/Tab_Compteur_4[[#This Row],[Delta Jour]],"")&lt;0,"",IFERROR(IF(Str_TypeDonneesCpt4=Cpt_Index,Tab_Compteur_4[[#This Row],[Index]]-E168,Tab_Compteur_4[[#This Row],[Quantité]])/Tab_Compteur_4[[#This Row],[Delta Jour]],""))</f>
        <v/>
      </c>
      <c r="H169" s="193" t="str">
        <f>IFERROR(Tab_Compteur_4[[#This Row],[Montant]]/Tab_Compteur_4[[#This Row],[Delta Jour]],"")</f>
        <v/>
      </c>
      <c r="I169" s="215" t="str">
        <f t="shared" si="7"/>
        <v/>
      </c>
      <c r="J169" s="216"/>
      <c r="K169" s="38"/>
      <c r="L169" s="38"/>
      <c r="M169" s="38"/>
    </row>
    <row r="170" spans="1:13">
      <c r="A170" s="3">
        <f t="shared" si="8"/>
        <v>1</v>
      </c>
      <c r="B170" s="88"/>
      <c r="C170" s="196"/>
      <c r="D170" s="195"/>
      <c r="E170" s="193"/>
      <c r="F170" s="193">
        <f t="shared" si="6"/>
        <v>0</v>
      </c>
      <c r="G170" s="193" t="str">
        <f>IF(IFERROR(IF(Str_TypeDonneesCpt4=Cpt_Index,Tab_Compteur_4[[#This Row],[Index]]-E169,Tab_Compteur_4[[#This Row],[Quantité]])/Tab_Compteur_4[[#This Row],[Delta Jour]],"")&lt;0,"",IFERROR(IF(Str_TypeDonneesCpt4=Cpt_Index,Tab_Compteur_4[[#This Row],[Index]]-E169,Tab_Compteur_4[[#This Row],[Quantité]])/Tab_Compteur_4[[#This Row],[Delta Jour]],""))</f>
        <v/>
      </c>
      <c r="H170" s="193" t="str">
        <f>IFERROR(Tab_Compteur_4[[#This Row],[Montant]]/Tab_Compteur_4[[#This Row],[Delta Jour]],"")</f>
        <v/>
      </c>
      <c r="I170" s="215" t="str">
        <f t="shared" si="7"/>
        <v/>
      </c>
      <c r="J170" s="216"/>
      <c r="K170" s="38"/>
      <c r="L170" s="38"/>
      <c r="M170" s="38"/>
    </row>
    <row r="171" spans="1:13">
      <c r="A171" s="3">
        <f t="shared" si="8"/>
        <v>1</v>
      </c>
      <c r="B171" s="88"/>
      <c r="C171" s="196"/>
      <c r="D171" s="195"/>
      <c r="E171" s="193"/>
      <c r="F171" s="193">
        <f t="shared" si="6"/>
        <v>0</v>
      </c>
      <c r="G171" s="193" t="str">
        <f>IF(IFERROR(IF(Str_TypeDonneesCpt4=Cpt_Index,Tab_Compteur_4[[#This Row],[Index]]-E170,Tab_Compteur_4[[#This Row],[Quantité]])/Tab_Compteur_4[[#This Row],[Delta Jour]],"")&lt;0,"",IFERROR(IF(Str_TypeDonneesCpt4=Cpt_Index,Tab_Compteur_4[[#This Row],[Index]]-E170,Tab_Compteur_4[[#This Row],[Quantité]])/Tab_Compteur_4[[#This Row],[Delta Jour]],""))</f>
        <v/>
      </c>
      <c r="H171" s="193" t="str">
        <f>IFERROR(Tab_Compteur_4[[#This Row],[Montant]]/Tab_Compteur_4[[#This Row],[Delta Jour]],"")</f>
        <v/>
      </c>
      <c r="I171" s="215" t="str">
        <f t="shared" si="7"/>
        <v/>
      </c>
      <c r="J171" s="216"/>
      <c r="K171" s="38"/>
      <c r="L171" s="38"/>
      <c r="M171" s="38"/>
    </row>
    <row r="172" spans="1:13">
      <c r="A172" s="3">
        <f t="shared" si="8"/>
        <v>1</v>
      </c>
      <c r="B172" s="88"/>
      <c r="C172" s="196"/>
      <c r="D172" s="195"/>
      <c r="E172" s="193"/>
      <c r="F172" s="193">
        <f t="shared" si="6"/>
        <v>0</v>
      </c>
      <c r="G172" s="193" t="str">
        <f>IF(IFERROR(IF(Str_TypeDonneesCpt4=Cpt_Index,Tab_Compteur_4[[#This Row],[Index]]-E171,Tab_Compteur_4[[#This Row],[Quantité]])/Tab_Compteur_4[[#This Row],[Delta Jour]],"")&lt;0,"",IFERROR(IF(Str_TypeDonneesCpt4=Cpt_Index,Tab_Compteur_4[[#This Row],[Index]]-E171,Tab_Compteur_4[[#This Row],[Quantité]])/Tab_Compteur_4[[#This Row],[Delta Jour]],""))</f>
        <v/>
      </c>
      <c r="H172" s="193" t="str">
        <f>IFERROR(Tab_Compteur_4[[#This Row],[Montant]]/Tab_Compteur_4[[#This Row],[Delta Jour]],"")</f>
        <v/>
      </c>
      <c r="I172" s="215" t="str">
        <f t="shared" si="7"/>
        <v/>
      </c>
      <c r="J172" s="216"/>
      <c r="K172" s="38"/>
      <c r="L172" s="38"/>
      <c r="M172" s="38"/>
    </row>
    <row r="173" spans="1:13">
      <c r="A173" s="3">
        <f t="shared" si="8"/>
        <v>1</v>
      </c>
      <c r="B173" s="88"/>
      <c r="C173" s="196"/>
      <c r="D173" s="195"/>
      <c r="E173" s="193"/>
      <c r="F173" s="193">
        <f t="shared" si="6"/>
        <v>0</v>
      </c>
      <c r="G173" s="193" t="str">
        <f>IF(IFERROR(IF(Str_TypeDonneesCpt4=Cpt_Index,Tab_Compteur_4[[#This Row],[Index]]-E172,Tab_Compteur_4[[#This Row],[Quantité]])/Tab_Compteur_4[[#This Row],[Delta Jour]],"")&lt;0,"",IFERROR(IF(Str_TypeDonneesCpt4=Cpt_Index,Tab_Compteur_4[[#This Row],[Index]]-E172,Tab_Compteur_4[[#This Row],[Quantité]])/Tab_Compteur_4[[#This Row],[Delta Jour]],""))</f>
        <v/>
      </c>
      <c r="H173" s="193" t="str">
        <f>IFERROR(Tab_Compteur_4[[#This Row],[Montant]]/Tab_Compteur_4[[#This Row],[Delta Jour]],"")</f>
        <v/>
      </c>
      <c r="I173" s="215" t="str">
        <f t="shared" si="7"/>
        <v/>
      </c>
      <c r="J173" s="216"/>
      <c r="K173" s="38"/>
      <c r="L173" s="38"/>
      <c r="M173" s="38"/>
    </row>
    <row r="174" spans="1:13">
      <c r="A174" s="3">
        <f t="shared" si="8"/>
        <v>1</v>
      </c>
      <c r="B174" s="88"/>
      <c r="C174" s="196"/>
      <c r="D174" s="195"/>
      <c r="E174" s="193"/>
      <c r="F174" s="193">
        <f t="shared" si="6"/>
        <v>0</v>
      </c>
      <c r="G174" s="193" t="str">
        <f>IF(IFERROR(IF(Str_TypeDonneesCpt4=Cpt_Index,Tab_Compteur_4[[#This Row],[Index]]-E173,Tab_Compteur_4[[#This Row],[Quantité]])/Tab_Compteur_4[[#This Row],[Delta Jour]],"")&lt;0,"",IFERROR(IF(Str_TypeDonneesCpt4=Cpt_Index,Tab_Compteur_4[[#This Row],[Index]]-E173,Tab_Compteur_4[[#This Row],[Quantité]])/Tab_Compteur_4[[#This Row],[Delta Jour]],""))</f>
        <v/>
      </c>
      <c r="H174" s="193" t="str">
        <f>IFERROR(Tab_Compteur_4[[#This Row],[Montant]]/Tab_Compteur_4[[#This Row],[Delta Jour]],"")</f>
        <v/>
      </c>
      <c r="I174" s="215" t="str">
        <f t="shared" si="7"/>
        <v/>
      </c>
      <c r="J174" s="216"/>
      <c r="K174" s="38"/>
      <c r="L174" s="38"/>
      <c r="M174" s="38"/>
    </row>
    <row r="175" spans="1:13">
      <c r="A175" s="3">
        <f t="shared" si="8"/>
        <v>1</v>
      </c>
      <c r="B175" s="88"/>
      <c r="C175" s="196"/>
      <c r="D175" s="195"/>
      <c r="E175" s="193"/>
      <c r="F175" s="193">
        <f t="shared" si="6"/>
        <v>0</v>
      </c>
      <c r="G175" s="193" t="str">
        <f>IF(IFERROR(IF(Str_TypeDonneesCpt4=Cpt_Index,Tab_Compteur_4[[#This Row],[Index]]-E174,Tab_Compteur_4[[#This Row],[Quantité]])/Tab_Compteur_4[[#This Row],[Delta Jour]],"")&lt;0,"",IFERROR(IF(Str_TypeDonneesCpt4=Cpt_Index,Tab_Compteur_4[[#This Row],[Index]]-E174,Tab_Compteur_4[[#This Row],[Quantité]])/Tab_Compteur_4[[#This Row],[Delta Jour]],""))</f>
        <v/>
      </c>
      <c r="H175" s="193" t="str">
        <f>IFERROR(Tab_Compteur_4[[#This Row],[Montant]]/Tab_Compteur_4[[#This Row],[Delta Jour]],"")</f>
        <v/>
      </c>
      <c r="I175" s="215" t="str">
        <f t="shared" si="7"/>
        <v/>
      </c>
      <c r="J175" s="216"/>
      <c r="K175" s="38"/>
      <c r="L175" s="38"/>
      <c r="M175" s="38"/>
    </row>
    <row r="176" spans="1:13">
      <c r="A176" s="3">
        <f t="shared" si="8"/>
        <v>1</v>
      </c>
      <c r="B176" s="88"/>
      <c r="C176" s="196"/>
      <c r="D176" s="195"/>
      <c r="E176" s="193"/>
      <c r="F176" s="193">
        <f t="shared" si="6"/>
        <v>0</v>
      </c>
      <c r="G176" s="193" t="str">
        <f>IF(IFERROR(IF(Str_TypeDonneesCpt4=Cpt_Index,Tab_Compteur_4[[#This Row],[Index]]-E175,Tab_Compteur_4[[#This Row],[Quantité]])/Tab_Compteur_4[[#This Row],[Delta Jour]],"")&lt;0,"",IFERROR(IF(Str_TypeDonneesCpt4=Cpt_Index,Tab_Compteur_4[[#This Row],[Index]]-E175,Tab_Compteur_4[[#This Row],[Quantité]])/Tab_Compteur_4[[#This Row],[Delta Jour]],""))</f>
        <v/>
      </c>
      <c r="H176" s="193" t="str">
        <f>IFERROR(Tab_Compteur_4[[#This Row],[Montant]]/Tab_Compteur_4[[#This Row],[Delta Jour]],"")</f>
        <v/>
      </c>
      <c r="I176" s="215" t="str">
        <f t="shared" si="7"/>
        <v/>
      </c>
      <c r="J176" s="216"/>
      <c r="K176" s="38"/>
      <c r="L176" s="38"/>
      <c r="M176" s="38"/>
    </row>
    <row r="177" spans="1:13">
      <c r="A177" s="3">
        <f t="shared" si="8"/>
        <v>1</v>
      </c>
      <c r="B177" s="88"/>
      <c r="C177" s="196"/>
      <c r="D177" s="195"/>
      <c r="E177" s="193"/>
      <c r="F177" s="193">
        <f t="shared" si="6"/>
        <v>0</v>
      </c>
      <c r="G177" s="193" t="str">
        <f>IF(IFERROR(IF(Str_TypeDonneesCpt4=Cpt_Index,Tab_Compteur_4[[#This Row],[Index]]-E176,Tab_Compteur_4[[#This Row],[Quantité]])/Tab_Compteur_4[[#This Row],[Delta Jour]],"")&lt;0,"",IFERROR(IF(Str_TypeDonneesCpt4=Cpt_Index,Tab_Compteur_4[[#This Row],[Index]]-E176,Tab_Compteur_4[[#This Row],[Quantité]])/Tab_Compteur_4[[#This Row],[Delta Jour]],""))</f>
        <v/>
      </c>
      <c r="H177" s="193" t="str">
        <f>IFERROR(Tab_Compteur_4[[#This Row],[Montant]]/Tab_Compteur_4[[#This Row],[Delta Jour]],"")</f>
        <v/>
      </c>
      <c r="I177" s="215" t="str">
        <f t="shared" si="7"/>
        <v/>
      </c>
      <c r="J177" s="216"/>
      <c r="K177" s="38"/>
      <c r="L177" s="38"/>
      <c r="M177" s="38"/>
    </row>
    <row r="178" spans="1:13">
      <c r="A178" s="3">
        <f t="shared" si="8"/>
        <v>1</v>
      </c>
      <c r="B178" s="88"/>
      <c r="C178" s="196"/>
      <c r="D178" s="195"/>
      <c r="E178" s="193"/>
      <c r="F178" s="193">
        <f t="shared" si="6"/>
        <v>0</v>
      </c>
      <c r="G178" s="193" t="str">
        <f>IF(IFERROR(IF(Str_TypeDonneesCpt4=Cpt_Index,Tab_Compteur_4[[#This Row],[Index]]-E177,Tab_Compteur_4[[#This Row],[Quantité]])/Tab_Compteur_4[[#This Row],[Delta Jour]],"")&lt;0,"",IFERROR(IF(Str_TypeDonneesCpt4=Cpt_Index,Tab_Compteur_4[[#This Row],[Index]]-E177,Tab_Compteur_4[[#This Row],[Quantité]])/Tab_Compteur_4[[#This Row],[Delta Jour]],""))</f>
        <v/>
      </c>
      <c r="H178" s="193" t="str">
        <f>IFERROR(Tab_Compteur_4[[#This Row],[Montant]]/Tab_Compteur_4[[#This Row],[Delta Jour]],"")</f>
        <v/>
      </c>
      <c r="I178" s="215" t="str">
        <f t="shared" si="7"/>
        <v/>
      </c>
      <c r="J178" s="216"/>
      <c r="K178" s="38"/>
      <c r="L178" s="38"/>
      <c r="M178" s="38"/>
    </row>
    <row r="179" spans="1:13">
      <c r="A179" s="3">
        <f t="shared" si="8"/>
        <v>1</v>
      </c>
      <c r="B179" s="88"/>
      <c r="C179" s="196"/>
      <c r="D179" s="195"/>
      <c r="E179" s="193"/>
      <c r="F179" s="193">
        <f t="shared" si="6"/>
        <v>0</v>
      </c>
      <c r="G179" s="193" t="str">
        <f>IF(IFERROR(IF(Str_TypeDonneesCpt4=Cpt_Index,Tab_Compteur_4[[#This Row],[Index]]-E178,Tab_Compteur_4[[#This Row],[Quantité]])/Tab_Compteur_4[[#This Row],[Delta Jour]],"")&lt;0,"",IFERROR(IF(Str_TypeDonneesCpt4=Cpt_Index,Tab_Compteur_4[[#This Row],[Index]]-E178,Tab_Compteur_4[[#This Row],[Quantité]])/Tab_Compteur_4[[#This Row],[Delta Jour]],""))</f>
        <v/>
      </c>
      <c r="H179" s="193" t="str">
        <f>IFERROR(Tab_Compteur_4[[#This Row],[Montant]]/Tab_Compteur_4[[#This Row],[Delta Jour]],"")</f>
        <v/>
      </c>
      <c r="I179" s="215" t="str">
        <f t="shared" si="7"/>
        <v/>
      </c>
      <c r="J179" s="216"/>
      <c r="K179" s="38"/>
      <c r="L179" s="38"/>
      <c r="M179" s="38"/>
    </row>
    <row r="180" spans="1:13">
      <c r="A180" s="3">
        <f t="shared" si="8"/>
        <v>1</v>
      </c>
      <c r="B180" s="88"/>
      <c r="C180" s="196"/>
      <c r="D180" s="195"/>
      <c r="E180" s="193"/>
      <c r="F180" s="193">
        <f t="shared" si="6"/>
        <v>0</v>
      </c>
      <c r="G180" s="193" t="str">
        <f>IF(IFERROR(IF(Str_TypeDonneesCpt4=Cpt_Index,Tab_Compteur_4[[#This Row],[Index]]-E179,Tab_Compteur_4[[#This Row],[Quantité]])/Tab_Compteur_4[[#This Row],[Delta Jour]],"")&lt;0,"",IFERROR(IF(Str_TypeDonneesCpt4=Cpt_Index,Tab_Compteur_4[[#This Row],[Index]]-E179,Tab_Compteur_4[[#This Row],[Quantité]])/Tab_Compteur_4[[#This Row],[Delta Jour]],""))</f>
        <v/>
      </c>
      <c r="H180" s="193" t="str">
        <f>IFERROR(Tab_Compteur_4[[#This Row],[Montant]]/Tab_Compteur_4[[#This Row],[Delta Jour]],"")</f>
        <v/>
      </c>
      <c r="I180" s="215" t="str">
        <f t="shared" si="7"/>
        <v/>
      </c>
      <c r="J180" s="216"/>
      <c r="K180" s="38"/>
      <c r="L180" s="38"/>
      <c r="M180" s="38"/>
    </row>
    <row r="181" spans="1:13">
      <c r="A181" s="3">
        <f t="shared" si="8"/>
        <v>1</v>
      </c>
      <c r="B181" s="88"/>
      <c r="C181" s="196"/>
      <c r="D181" s="195"/>
      <c r="E181" s="193"/>
      <c r="F181" s="193">
        <f t="shared" si="6"/>
        <v>0</v>
      </c>
      <c r="G181" s="193" t="str">
        <f>IF(IFERROR(IF(Str_TypeDonneesCpt4=Cpt_Index,Tab_Compteur_4[[#This Row],[Index]]-E180,Tab_Compteur_4[[#This Row],[Quantité]])/Tab_Compteur_4[[#This Row],[Delta Jour]],"")&lt;0,"",IFERROR(IF(Str_TypeDonneesCpt4=Cpt_Index,Tab_Compteur_4[[#This Row],[Index]]-E180,Tab_Compteur_4[[#This Row],[Quantité]])/Tab_Compteur_4[[#This Row],[Delta Jour]],""))</f>
        <v/>
      </c>
      <c r="H181" s="193" t="str">
        <f>IFERROR(Tab_Compteur_4[[#This Row],[Montant]]/Tab_Compteur_4[[#This Row],[Delta Jour]],"")</f>
        <v/>
      </c>
      <c r="I181" s="215" t="str">
        <f t="shared" si="7"/>
        <v/>
      </c>
      <c r="J181" s="216"/>
      <c r="K181" s="38"/>
      <c r="L181" s="38"/>
      <c r="M181" s="38"/>
    </row>
    <row r="182" spans="1:13">
      <c r="A182" s="3">
        <f t="shared" si="8"/>
        <v>1</v>
      </c>
      <c r="B182" s="88"/>
      <c r="C182" s="196"/>
      <c r="D182" s="195"/>
      <c r="E182" s="193"/>
      <c r="F182" s="193">
        <f t="shared" si="6"/>
        <v>0</v>
      </c>
      <c r="G182" s="193" t="str">
        <f>IF(IFERROR(IF(Str_TypeDonneesCpt4=Cpt_Index,Tab_Compteur_4[[#This Row],[Index]]-E181,Tab_Compteur_4[[#This Row],[Quantité]])/Tab_Compteur_4[[#This Row],[Delta Jour]],"")&lt;0,"",IFERROR(IF(Str_TypeDonneesCpt4=Cpt_Index,Tab_Compteur_4[[#This Row],[Index]]-E181,Tab_Compteur_4[[#This Row],[Quantité]])/Tab_Compteur_4[[#This Row],[Delta Jour]],""))</f>
        <v/>
      </c>
      <c r="H182" s="193" t="str">
        <f>IFERROR(Tab_Compteur_4[[#This Row],[Montant]]/Tab_Compteur_4[[#This Row],[Delta Jour]],"")</f>
        <v/>
      </c>
      <c r="I182" s="215" t="str">
        <f t="shared" si="7"/>
        <v/>
      </c>
      <c r="J182" s="216"/>
      <c r="K182" s="38"/>
      <c r="L182" s="38"/>
      <c r="M182" s="38"/>
    </row>
    <row r="183" spans="1:13">
      <c r="A183" s="3">
        <f t="shared" si="8"/>
        <v>1</v>
      </c>
      <c r="B183" s="88"/>
      <c r="C183" s="196"/>
      <c r="D183" s="195"/>
      <c r="E183" s="193"/>
      <c r="F183" s="193">
        <f t="shared" si="6"/>
        <v>0</v>
      </c>
      <c r="G183" s="193" t="str">
        <f>IF(IFERROR(IF(Str_TypeDonneesCpt4=Cpt_Index,Tab_Compteur_4[[#This Row],[Index]]-E182,Tab_Compteur_4[[#This Row],[Quantité]])/Tab_Compteur_4[[#This Row],[Delta Jour]],"")&lt;0,"",IFERROR(IF(Str_TypeDonneesCpt4=Cpt_Index,Tab_Compteur_4[[#This Row],[Index]]-E182,Tab_Compteur_4[[#This Row],[Quantité]])/Tab_Compteur_4[[#This Row],[Delta Jour]],""))</f>
        <v/>
      </c>
      <c r="H183" s="193" t="str">
        <f>IFERROR(Tab_Compteur_4[[#This Row],[Montant]]/Tab_Compteur_4[[#This Row],[Delta Jour]],"")</f>
        <v/>
      </c>
      <c r="I183" s="215" t="str">
        <f t="shared" si="7"/>
        <v/>
      </c>
      <c r="J183" s="216"/>
      <c r="K183" s="38"/>
      <c r="L183" s="38"/>
      <c r="M183" s="38"/>
    </row>
    <row r="184" spans="1:13">
      <c r="A184" s="3">
        <f t="shared" si="8"/>
        <v>1</v>
      </c>
      <c r="B184" s="88"/>
      <c r="C184" s="196"/>
      <c r="D184" s="195"/>
      <c r="E184" s="193"/>
      <c r="F184" s="193">
        <f t="shared" si="6"/>
        <v>0</v>
      </c>
      <c r="G184" s="193" t="str">
        <f>IF(IFERROR(IF(Str_TypeDonneesCpt4=Cpt_Index,Tab_Compteur_4[[#This Row],[Index]]-E183,Tab_Compteur_4[[#This Row],[Quantité]])/Tab_Compteur_4[[#This Row],[Delta Jour]],"")&lt;0,"",IFERROR(IF(Str_TypeDonneesCpt4=Cpt_Index,Tab_Compteur_4[[#This Row],[Index]]-E183,Tab_Compteur_4[[#This Row],[Quantité]])/Tab_Compteur_4[[#This Row],[Delta Jour]],""))</f>
        <v/>
      </c>
      <c r="H184" s="193" t="str">
        <f>IFERROR(Tab_Compteur_4[[#This Row],[Montant]]/Tab_Compteur_4[[#This Row],[Delta Jour]],"")</f>
        <v/>
      </c>
      <c r="I184" s="215" t="str">
        <f t="shared" si="7"/>
        <v/>
      </c>
      <c r="J184" s="216"/>
      <c r="K184" s="38"/>
      <c r="L184" s="38"/>
      <c r="M184" s="38"/>
    </row>
    <row r="185" spans="1:13">
      <c r="A185" s="3">
        <f t="shared" si="8"/>
        <v>1</v>
      </c>
      <c r="B185" s="88"/>
      <c r="C185" s="196"/>
      <c r="D185" s="195"/>
      <c r="E185" s="193"/>
      <c r="F185" s="193">
        <f t="shared" si="6"/>
        <v>0</v>
      </c>
      <c r="G185" s="193" t="str">
        <f>IF(IFERROR(IF(Str_TypeDonneesCpt4=Cpt_Index,Tab_Compteur_4[[#This Row],[Index]]-E184,Tab_Compteur_4[[#This Row],[Quantité]])/Tab_Compteur_4[[#This Row],[Delta Jour]],"")&lt;0,"",IFERROR(IF(Str_TypeDonneesCpt4=Cpt_Index,Tab_Compteur_4[[#This Row],[Index]]-E184,Tab_Compteur_4[[#This Row],[Quantité]])/Tab_Compteur_4[[#This Row],[Delta Jour]],""))</f>
        <v/>
      </c>
      <c r="H185" s="193" t="str">
        <f>IFERROR(Tab_Compteur_4[[#This Row],[Montant]]/Tab_Compteur_4[[#This Row],[Delta Jour]],"")</f>
        <v/>
      </c>
      <c r="I185" s="215" t="str">
        <f t="shared" si="7"/>
        <v/>
      </c>
      <c r="J185" s="216"/>
      <c r="K185" s="38"/>
      <c r="L185" s="38"/>
      <c r="M185" s="38"/>
    </row>
    <row r="186" spans="1:13">
      <c r="A186" s="3">
        <f t="shared" si="8"/>
        <v>1</v>
      </c>
      <c r="B186" s="88"/>
      <c r="C186" s="196"/>
      <c r="D186" s="195"/>
      <c r="E186" s="193"/>
      <c r="F186" s="193">
        <f t="shared" si="6"/>
        <v>0</v>
      </c>
      <c r="G186" s="193" t="str">
        <f>IF(IFERROR(IF(Str_TypeDonneesCpt4=Cpt_Index,Tab_Compteur_4[[#This Row],[Index]]-E185,Tab_Compteur_4[[#This Row],[Quantité]])/Tab_Compteur_4[[#This Row],[Delta Jour]],"")&lt;0,"",IFERROR(IF(Str_TypeDonneesCpt4=Cpt_Index,Tab_Compteur_4[[#This Row],[Index]]-E185,Tab_Compteur_4[[#This Row],[Quantité]])/Tab_Compteur_4[[#This Row],[Delta Jour]],""))</f>
        <v/>
      </c>
      <c r="H186" s="193" t="str">
        <f>IFERROR(Tab_Compteur_4[[#This Row],[Montant]]/Tab_Compteur_4[[#This Row],[Delta Jour]],"")</f>
        <v/>
      </c>
      <c r="I186" s="215" t="str">
        <f t="shared" si="7"/>
        <v/>
      </c>
      <c r="J186" s="216"/>
      <c r="K186" s="38"/>
      <c r="L186" s="38"/>
      <c r="M186" s="38"/>
    </row>
    <row r="187" spans="1:13">
      <c r="A187" s="3">
        <f t="shared" si="8"/>
        <v>1</v>
      </c>
      <c r="B187" s="88"/>
      <c r="C187" s="196"/>
      <c r="D187" s="195"/>
      <c r="E187" s="193"/>
      <c r="F187" s="193">
        <f t="shared" si="6"/>
        <v>0</v>
      </c>
      <c r="G187" s="193" t="str">
        <f>IF(IFERROR(IF(Str_TypeDonneesCpt4=Cpt_Index,Tab_Compteur_4[[#This Row],[Index]]-E186,Tab_Compteur_4[[#This Row],[Quantité]])/Tab_Compteur_4[[#This Row],[Delta Jour]],"")&lt;0,"",IFERROR(IF(Str_TypeDonneesCpt4=Cpt_Index,Tab_Compteur_4[[#This Row],[Index]]-E186,Tab_Compteur_4[[#This Row],[Quantité]])/Tab_Compteur_4[[#This Row],[Delta Jour]],""))</f>
        <v/>
      </c>
      <c r="H187" s="193" t="str">
        <f>IFERROR(Tab_Compteur_4[[#This Row],[Montant]]/Tab_Compteur_4[[#This Row],[Delta Jour]],"")</f>
        <v/>
      </c>
      <c r="I187" s="215" t="str">
        <f t="shared" si="7"/>
        <v/>
      </c>
      <c r="J187" s="216"/>
      <c r="K187" s="38"/>
      <c r="L187" s="38"/>
      <c r="M187" s="38"/>
    </row>
    <row r="188" spans="1:13">
      <c r="A188" s="3">
        <f t="shared" si="8"/>
        <v>1</v>
      </c>
      <c r="B188" s="88"/>
      <c r="C188" s="196"/>
      <c r="D188" s="195"/>
      <c r="E188" s="193"/>
      <c r="F188" s="193">
        <f t="shared" si="6"/>
        <v>0</v>
      </c>
      <c r="G188" s="193" t="str">
        <f>IF(IFERROR(IF(Str_TypeDonneesCpt4=Cpt_Index,Tab_Compteur_4[[#This Row],[Index]]-E187,Tab_Compteur_4[[#This Row],[Quantité]])/Tab_Compteur_4[[#This Row],[Delta Jour]],"")&lt;0,"",IFERROR(IF(Str_TypeDonneesCpt4=Cpt_Index,Tab_Compteur_4[[#This Row],[Index]]-E187,Tab_Compteur_4[[#This Row],[Quantité]])/Tab_Compteur_4[[#This Row],[Delta Jour]],""))</f>
        <v/>
      </c>
      <c r="H188" s="193" t="str">
        <f>IFERROR(Tab_Compteur_4[[#This Row],[Montant]]/Tab_Compteur_4[[#This Row],[Delta Jour]],"")</f>
        <v/>
      </c>
      <c r="I188" s="215" t="str">
        <f t="shared" si="7"/>
        <v/>
      </c>
      <c r="J188" s="216"/>
      <c r="K188" s="38"/>
      <c r="L188" s="38"/>
      <c r="M188" s="38"/>
    </row>
    <row r="189" spans="1:13">
      <c r="A189" s="3">
        <f t="shared" si="8"/>
        <v>1</v>
      </c>
      <c r="B189" s="88"/>
      <c r="C189" s="196"/>
      <c r="D189" s="195"/>
      <c r="E189" s="193"/>
      <c r="F189" s="193">
        <f t="shared" si="6"/>
        <v>0</v>
      </c>
      <c r="G189" s="193" t="str">
        <f>IF(IFERROR(IF(Str_TypeDonneesCpt4=Cpt_Index,Tab_Compteur_4[[#This Row],[Index]]-E188,Tab_Compteur_4[[#This Row],[Quantité]])/Tab_Compteur_4[[#This Row],[Delta Jour]],"")&lt;0,"",IFERROR(IF(Str_TypeDonneesCpt4=Cpt_Index,Tab_Compteur_4[[#This Row],[Index]]-E188,Tab_Compteur_4[[#This Row],[Quantité]])/Tab_Compteur_4[[#This Row],[Delta Jour]],""))</f>
        <v/>
      </c>
      <c r="H189" s="193" t="str">
        <f>IFERROR(Tab_Compteur_4[[#This Row],[Montant]]/Tab_Compteur_4[[#This Row],[Delta Jour]],"")</f>
        <v/>
      </c>
      <c r="I189" s="215" t="str">
        <f t="shared" si="7"/>
        <v/>
      </c>
      <c r="J189" s="216"/>
      <c r="K189" s="38"/>
      <c r="L189" s="38"/>
      <c r="M189" s="38"/>
    </row>
    <row r="190" spans="1:13">
      <c r="A190" s="3">
        <f t="shared" si="8"/>
        <v>1</v>
      </c>
      <c r="B190" s="88"/>
      <c r="C190" s="196"/>
      <c r="D190" s="195"/>
      <c r="E190" s="193"/>
      <c r="F190" s="193">
        <f t="shared" si="6"/>
        <v>0</v>
      </c>
      <c r="G190" s="193" t="str">
        <f>IF(IFERROR(IF(Str_TypeDonneesCpt4=Cpt_Index,Tab_Compteur_4[[#This Row],[Index]]-E189,Tab_Compteur_4[[#This Row],[Quantité]])/Tab_Compteur_4[[#This Row],[Delta Jour]],"")&lt;0,"",IFERROR(IF(Str_TypeDonneesCpt4=Cpt_Index,Tab_Compteur_4[[#This Row],[Index]]-E189,Tab_Compteur_4[[#This Row],[Quantité]])/Tab_Compteur_4[[#This Row],[Delta Jour]],""))</f>
        <v/>
      </c>
      <c r="H190" s="193" t="str">
        <f>IFERROR(Tab_Compteur_4[[#This Row],[Montant]]/Tab_Compteur_4[[#This Row],[Delta Jour]],"")</f>
        <v/>
      </c>
      <c r="I190" s="215" t="str">
        <f t="shared" si="7"/>
        <v/>
      </c>
      <c r="J190" s="216"/>
      <c r="K190" s="38"/>
      <c r="L190" s="38"/>
      <c r="M190" s="38"/>
    </row>
    <row r="191" spans="1:13">
      <c r="A191" s="3">
        <f t="shared" si="8"/>
        <v>1</v>
      </c>
      <c r="B191" s="88"/>
      <c r="C191" s="196"/>
      <c r="D191" s="195"/>
      <c r="E191" s="193"/>
      <c r="F191" s="193">
        <f t="shared" si="6"/>
        <v>0</v>
      </c>
      <c r="G191" s="193" t="str">
        <f>IF(IFERROR(IF(Str_TypeDonneesCpt4=Cpt_Index,Tab_Compteur_4[[#This Row],[Index]]-E190,Tab_Compteur_4[[#This Row],[Quantité]])/Tab_Compteur_4[[#This Row],[Delta Jour]],"")&lt;0,"",IFERROR(IF(Str_TypeDonneesCpt4=Cpt_Index,Tab_Compteur_4[[#This Row],[Index]]-E190,Tab_Compteur_4[[#This Row],[Quantité]])/Tab_Compteur_4[[#This Row],[Delta Jour]],""))</f>
        <v/>
      </c>
      <c r="H191" s="193" t="str">
        <f>IFERROR(Tab_Compteur_4[[#This Row],[Montant]]/Tab_Compteur_4[[#This Row],[Delta Jour]],"")</f>
        <v/>
      </c>
      <c r="I191" s="215" t="str">
        <f t="shared" si="7"/>
        <v/>
      </c>
      <c r="J191" s="216"/>
      <c r="K191" s="38"/>
      <c r="L191" s="38"/>
      <c r="M191" s="38"/>
    </row>
    <row r="192" spans="1:13">
      <c r="A192" s="3">
        <f t="shared" si="8"/>
        <v>1</v>
      </c>
      <c r="B192" s="88"/>
      <c r="C192" s="196"/>
      <c r="D192" s="195"/>
      <c r="E192" s="193"/>
      <c r="F192" s="193">
        <f t="shared" si="6"/>
        <v>0</v>
      </c>
      <c r="G192" s="193" t="str">
        <f>IF(IFERROR(IF(Str_TypeDonneesCpt4=Cpt_Index,Tab_Compteur_4[[#This Row],[Index]]-E191,Tab_Compteur_4[[#This Row],[Quantité]])/Tab_Compteur_4[[#This Row],[Delta Jour]],"")&lt;0,"",IFERROR(IF(Str_TypeDonneesCpt4=Cpt_Index,Tab_Compteur_4[[#This Row],[Index]]-E191,Tab_Compteur_4[[#This Row],[Quantité]])/Tab_Compteur_4[[#This Row],[Delta Jour]],""))</f>
        <v/>
      </c>
      <c r="H192" s="193" t="str">
        <f>IFERROR(Tab_Compteur_4[[#This Row],[Montant]]/Tab_Compteur_4[[#This Row],[Delta Jour]],"")</f>
        <v/>
      </c>
      <c r="I192" s="215" t="str">
        <f t="shared" si="7"/>
        <v/>
      </c>
      <c r="J192" s="216"/>
      <c r="K192" s="38"/>
      <c r="L192" s="38"/>
      <c r="M192" s="38"/>
    </row>
    <row r="193" spans="1:13">
      <c r="A193" s="3">
        <f t="shared" si="8"/>
        <v>1</v>
      </c>
      <c r="B193" s="88"/>
      <c r="C193" s="196"/>
      <c r="D193" s="195"/>
      <c r="E193" s="193"/>
      <c r="F193" s="193">
        <f t="shared" si="6"/>
        <v>0</v>
      </c>
      <c r="G193" s="193" t="str">
        <f>IF(IFERROR(IF(Str_TypeDonneesCpt4=Cpt_Index,Tab_Compteur_4[[#This Row],[Index]]-E192,Tab_Compteur_4[[#This Row],[Quantité]])/Tab_Compteur_4[[#This Row],[Delta Jour]],"")&lt;0,"",IFERROR(IF(Str_TypeDonneesCpt4=Cpt_Index,Tab_Compteur_4[[#This Row],[Index]]-E192,Tab_Compteur_4[[#This Row],[Quantité]])/Tab_Compteur_4[[#This Row],[Delta Jour]],""))</f>
        <v/>
      </c>
      <c r="H193" s="193" t="str">
        <f>IFERROR(Tab_Compteur_4[[#This Row],[Montant]]/Tab_Compteur_4[[#This Row],[Delta Jour]],"")</f>
        <v/>
      </c>
      <c r="I193" s="215" t="str">
        <f t="shared" si="7"/>
        <v/>
      </c>
      <c r="J193" s="216"/>
      <c r="K193" s="38"/>
      <c r="L193" s="38"/>
      <c r="M193" s="38"/>
    </row>
    <row r="194" spans="1:13">
      <c r="A194" s="3">
        <f t="shared" si="8"/>
        <v>1</v>
      </c>
      <c r="B194" s="88"/>
      <c r="C194" s="196"/>
      <c r="D194" s="195"/>
      <c r="E194" s="193"/>
      <c r="F194" s="193">
        <f t="shared" si="6"/>
        <v>0</v>
      </c>
      <c r="G194" s="193" t="str">
        <f>IF(IFERROR(IF(Str_TypeDonneesCpt4=Cpt_Index,Tab_Compteur_4[[#This Row],[Index]]-E193,Tab_Compteur_4[[#This Row],[Quantité]])/Tab_Compteur_4[[#This Row],[Delta Jour]],"")&lt;0,"",IFERROR(IF(Str_TypeDonneesCpt4=Cpt_Index,Tab_Compteur_4[[#This Row],[Index]]-E193,Tab_Compteur_4[[#This Row],[Quantité]])/Tab_Compteur_4[[#This Row],[Delta Jour]],""))</f>
        <v/>
      </c>
      <c r="H194" s="193" t="str">
        <f>IFERROR(Tab_Compteur_4[[#This Row],[Montant]]/Tab_Compteur_4[[#This Row],[Delta Jour]],"")</f>
        <v/>
      </c>
      <c r="I194" s="215" t="str">
        <f t="shared" si="7"/>
        <v/>
      </c>
      <c r="J194" s="216"/>
      <c r="K194" s="38"/>
      <c r="L194" s="38"/>
      <c r="M194" s="38"/>
    </row>
    <row r="195" spans="1:13">
      <c r="A195" s="3">
        <f t="shared" si="8"/>
        <v>1</v>
      </c>
      <c r="B195" s="88"/>
      <c r="C195" s="196"/>
      <c r="D195" s="195"/>
      <c r="E195" s="193"/>
      <c r="F195" s="193">
        <f t="shared" ref="F195:F243" si="9">IFERROR(B195-A195+1,"")</f>
        <v>0</v>
      </c>
      <c r="G195" s="193" t="str">
        <f>IF(IFERROR(IF(Str_TypeDonneesCpt4=Cpt_Index,Tab_Compteur_4[[#This Row],[Index]]-E194,Tab_Compteur_4[[#This Row],[Quantité]])/Tab_Compteur_4[[#This Row],[Delta Jour]],"")&lt;0,"",IFERROR(IF(Str_TypeDonneesCpt4=Cpt_Index,Tab_Compteur_4[[#This Row],[Index]]-E194,Tab_Compteur_4[[#This Row],[Quantité]])/Tab_Compteur_4[[#This Row],[Delta Jour]],""))</f>
        <v/>
      </c>
      <c r="H195" s="193" t="str">
        <f>IFERROR(Tab_Compteur_4[[#This Row],[Montant]]/Tab_Compteur_4[[#This Row],[Delta Jour]],"")</f>
        <v/>
      </c>
      <c r="I195" s="215" t="str">
        <f t="shared" ref="I195:I243" si="10">G195</f>
        <v/>
      </c>
      <c r="J195" s="216"/>
      <c r="K195" s="38"/>
      <c r="L195" s="38"/>
      <c r="M195" s="38"/>
    </row>
    <row r="196" spans="1:13">
      <c r="A196" s="3">
        <f t="shared" si="8"/>
        <v>1</v>
      </c>
      <c r="B196" s="88"/>
      <c r="C196" s="196"/>
      <c r="D196" s="195"/>
      <c r="E196" s="193"/>
      <c r="F196" s="193">
        <f t="shared" si="9"/>
        <v>0</v>
      </c>
      <c r="G196" s="193" t="str">
        <f>IF(IFERROR(IF(Str_TypeDonneesCpt4=Cpt_Index,Tab_Compteur_4[[#This Row],[Index]]-E195,Tab_Compteur_4[[#This Row],[Quantité]])/Tab_Compteur_4[[#This Row],[Delta Jour]],"")&lt;0,"",IFERROR(IF(Str_TypeDonneesCpt4=Cpt_Index,Tab_Compteur_4[[#This Row],[Index]]-E195,Tab_Compteur_4[[#This Row],[Quantité]])/Tab_Compteur_4[[#This Row],[Delta Jour]],""))</f>
        <v/>
      </c>
      <c r="H196" s="193" t="str">
        <f>IFERROR(Tab_Compteur_4[[#This Row],[Montant]]/Tab_Compteur_4[[#This Row],[Delta Jour]],"")</f>
        <v/>
      </c>
      <c r="I196" s="215" t="str">
        <f t="shared" si="10"/>
        <v/>
      </c>
      <c r="J196" s="216"/>
      <c r="K196" s="38"/>
      <c r="L196" s="38"/>
      <c r="M196" s="38"/>
    </row>
    <row r="197" spans="1:13">
      <c r="A197" s="3">
        <f t="shared" si="8"/>
        <v>1</v>
      </c>
      <c r="B197" s="88"/>
      <c r="C197" s="196"/>
      <c r="D197" s="195"/>
      <c r="E197" s="193"/>
      <c r="F197" s="193">
        <f t="shared" si="9"/>
        <v>0</v>
      </c>
      <c r="G197" s="193" t="str">
        <f>IF(IFERROR(IF(Str_TypeDonneesCpt4=Cpt_Index,Tab_Compteur_4[[#This Row],[Index]]-E196,Tab_Compteur_4[[#This Row],[Quantité]])/Tab_Compteur_4[[#This Row],[Delta Jour]],"")&lt;0,"",IFERROR(IF(Str_TypeDonneesCpt4=Cpt_Index,Tab_Compteur_4[[#This Row],[Index]]-E196,Tab_Compteur_4[[#This Row],[Quantité]])/Tab_Compteur_4[[#This Row],[Delta Jour]],""))</f>
        <v/>
      </c>
      <c r="H197" s="193" t="str">
        <f>IFERROR(Tab_Compteur_4[[#This Row],[Montant]]/Tab_Compteur_4[[#This Row],[Delta Jour]],"")</f>
        <v/>
      </c>
      <c r="I197" s="215" t="str">
        <f t="shared" si="10"/>
        <v/>
      </c>
      <c r="J197" s="216"/>
      <c r="K197" s="38"/>
      <c r="L197" s="38"/>
      <c r="M197" s="38"/>
    </row>
    <row r="198" spans="1:13">
      <c r="A198" s="3">
        <f t="shared" ref="A198:A243" si="11">IFERROR(B197+1,0)</f>
        <v>1</v>
      </c>
      <c r="B198" s="88"/>
      <c r="C198" s="196"/>
      <c r="D198" s="195"/>
      <c r="E198" s="193"/>
      <c r="F198" s="193">
        <f t="shared" si="9"/>
        <v>0</v>
      </c>
      <c r="G198" s="193" t="str">
        <f>IF(IFERROR(IF(Str_TypeDonneesCpt4=Cpt_Index,Tab_Compteur_4[[#This Row],[Index]]-E197,Tab_Compteur_4[[#This Row],[Quantité]])/Tab_Compteur_4[[#This Row],[Delta Jour]],"")&lt;0,"",IFERROR(IF(Str_TypeDonneesCpt4=Cpt_Index,Tab_Compteur_4[[#This Row],[Index]]-E197,Tab_Compteur_4[[#This Row],[Quantité]])/Tab_Compteur_4[[#This Row],[Delta Jour]],""))</f>
        <v/>
      </c>
      <c r="H198" s="193" t="str">
        <f>IFERROR(Tab_Compteur_4[[#This Row],[Montant]]/Tab_Compteur_4[[#This Row],[Delta Jour]],"")</f>
        <v/>
      </c>
      <c r="I198" s="215" t="str">
        <f t="shared" si="10"/>
        <v/>
      </c>
      <c r="J198" s="216"/>
      <c r="K198" s="38"/>
      <c r="L198" s="38"/>
      <c r="M198" s="38"/>
    </row>
    <row r="199" spans="1:13">
      <c r="A199" s="3">
        <f t="shared" si="11"/>
        <v>1</v>
      </c>
      <c r="B199" s="88"/>
      <c r="C199" s="196"/>
      <c r="D199" s="195"/>
      <c r="E199" s="193"/>
      <c r="F199" s="193">
        <f t="shared" si="9"/>
        <v>0</v>
      </c>
      <c r="G199" s="193" t="str">
        <f>IF(IFERROR(IF(Str_TypeDonneesCpt4=Cpt_Index,Tab_Compteur_4[[#This Row],[Index]]-E198,Tab_Compteur_4[[#This Row],[Quantité]])/Tab_Compteur_4[[#This Row],[Delta Jour]],"")&lt;0,"",IFERROR(IF(Str_TypeDonneesCpt4=Cpt_Index,Tab_Compteur_4[[#This Row],[Index]]-E198,Tab_Compteur_4[[#This Row],[Quantité]])/Tab_Compteur_4[[#This Row],[Delta Jour]],""))</f>
        <v/>
      </c>
      <c r="H199" s="193" t="str">
        <f>IFERROR(Tab_Compteur_4[[#This Row],[Montant]]/Tab_Compteur_4[[#This Row],[Delta Jour]],"")</f>
        <v/>
      </c>
      <c r="I199" s="215" t="str">
        <f t="shared" si="10"/>
        <v/>
      </c>
      <c r="J199" s="216"/>
      <c r="K199" s="38"/>
      <c r="L199" s="38"/>
      <c r="M199" s="38"/>
    </row>
    <row r="200" spans="1:13">
      <c r="A200" s="3">
        <f t="shared" si="11"/>
        <v>1</v>
      </c>
      <c r="B200" s="88"/>
      <c r="C200" s="196"/>
      <c r="D200" s="195"/>
      <c r="E200" s="193"/>
      <c r="F200" s="193">
        <f t="shared" si="9"/>
        <v>0</v>
      </c>
      <c r="G200" s="193" t="str">
        <f>IF(IFERROR(IF(Str_TypeDonneesCpt4=Cpt_Index,Tab_Compteur_4[[#This Row],[Index]]-E199,Tab_Compteur_4[[#This Row],[Quantité]])/Tab_Compteur_4[[#This Row],[Delta Jour]],"")&lt;0,"",IFERROR(IF(Str_TypeDonneesCpt4=Cpt_Index,Tab_Compteur_4[[#This Row],[Index]]-E199,Tab_Compteur_4[[#This Row],[Quantité]])/Tab_Compteur_4[[#This Row],[Delta Jour]],""))</f>
        <v/>
      </c>
      <c r="H200" s="193" t="str">
        <f>IFERROR(Tab_Compteur_4[[#This Row],[Montant]]/Tab_Compteur_4[[#This Row],[Delta Jour]],"")</f>
        <v/>
      </c>
      <c r="I200" s="215" t="str">
        <f t="shared" si="10"/>
        <v/>
      </c>
      <c r="J200" s="216"/>
      <c r="K200" s="38"/>
      <c r="L200" s="38"/>
      <c r="M200" s="38"/>
    </row>
    <row r="201" spans="1:13">
      <c r="A201" s="3">
        <f t="shared" si="11"/>
        <v>1</v>
      </c>
      <c r="B201" s="88"/>
      <c r="C201" s="196"/>
      <c r="D201" s="195"/>
      <c r="E201" s="193"/>
      <c r="F201" s="193">
        <f t="shared" si="9"/>
        <v>0</v>
      </c>
      <c r="G201" s="193" t="str">
        <f>IF(IFERROR(IF(Str_TypeDonneesCpt4=Cpt_Index,Tab_Compteur_4[[#This Row],[Index]]-E200,Tab_Compteur_4[[#This Row],[Quantité]])/Tab_Compteur_4[[#This Row],[Delta Jour]],"")&lt;0,"",IFERROR(IF(Str_TypeDonneesCpt4=Cpt_Index,Tab_Compteur_4[[#This Row],[Index]]-E200,Tab_Compteur_4[[#This Row],[Quantité]])/Tab_Compteur_4[[#This Row],[Delta Jour]],""))</f>
        <v/>
      </c>
      <c r="H201" s="193" t="str">
        <f>IFERROR(Tab_Compteur_4[[#This Row],[Montant]]/Tab_Compteur_4[[#This Row],[Delta Jour]],"")</f>
        <v/>
      </c>
      <c r="I201" s="215" t="str">
        <f t="shared" si="10"/>
        <v/>
      </c>
      <c r="J201" s="216"/>
      <c r="K201" s="38"/>
      <c r="L201" s="38"/>
      <c r="M201" s="38"/>
    </row>
    <row r="202" spans="1:13">
      <c r="A202" s="3">
        <f t="shared" si="11"/>
        <v>1</v>
      </c>
      <c r="B202" s="88"/>
      <c r="C202" s="196"/>
      <c r="D202" s="195"/>
      <c r="E202" s="193"/>
      <c r="F202" s="193">
        <f t="shared" si="9"/>
        <v>0</v>
      </c>
      <c r="G202" s="193" t="str">
        <f>IF(IFERROR(IF(Str_TypeDonneesCpt4=Cpt_Index,Tab_Compteur_4[[#This Row],[Index]]-E201,Tab_Compteur_4[[#This Row],[Quantité]])/Tab_Compteur_4[[#This Row],[Delta Jour]],"")&lt;0,"",IFERROR(IF(Str_TypeDonneesCpt4=Cpt_Index,Tab_Compteur_4[[#This Row],[Index]]-E201,Tab_Compteur_4[[#This Row],[Quantité]])/Tab_Compteur_4[[#This Row],[Delta Jour]],""))</f>
        <v/>
      </c>
      <c r="H202" s="193" t="str">
        <f>IFERROR(Tab_Compteur_4[[#This Row],[Montant]]/Tab_Compteur_4[[#This Row],[Delta Jour]],"")</f>
        <v/>
      </c>
      <c r="I202" s="215" t="str">
        <f t="shared" si="10"/>
        <v/>
      </c>
      <c r="J202" s="216"/>
      <c r="K202" s="38"/>
      <c r="L202" s="38"/>
      <c r="M202" s="38"/>
    </row>
    <row r="203" spans="1:13">
      <c r="A203" s="3">
        <f t="shared" si="11"/>
        <v>1</v>
      </c>
      <c r="B203" s="88"/>
      <c r="C203" s="196"/>
      <c r="D203" s="195"/>
      <c r="E203" s="193"/>
      <c r="F203" s="193">
        <f t="shared" si="9"/>
        <v>0</v>
      </c>
      <c r="G203" s="193" t="str">
        <f>IF(IFERROR(IF(Str_TypeDonneesCpt4=Cpt_Index,Tab_Compteur_4[[#This Row],[Index]]-E202,Tab_Compteur_4[[#This Row],[Quantité]])/Tab_Compteur_4[[#This Row],[Delta Jour]],"")&lt;0,"",IFERROR(IF(Str_TypeDonneesCpt4=Cpt_Index,Tab_Compteur_4[[#This Row],[Index]]-E202,Tab_Compteur_4[[#This Row],[Quantité]])/Tab_Compteur_4[[#This Row],[Delta Jour]],""))</f>
        <v/>
      </c>
      <c r="H203" s="193" t="str">
        <f>IFERROR(Tab_Compteur_4[[#This Row],[Montant]]/Tab_Compteur_4[[#This Row],[Delta Jour]],"")</f>
        <v/>
      </c>
      <c r="I203" s="215" t="str">
        <f t="shared" si="10"/>
        <v/>
      </c>
      <c r="J203" s="216"/>
      <c r="K203" s="38"/>
      <c r="L203" s="38"/>
      <c r="M203" s="38"/>
    </row>
    <row r="204" spans="1:13">
      <c r="A204" s="3">
        <f t="shared" si="11"/>
        <v>1</v>
      </c>
      <c r="B204" s="88"/>
      <c r="C204" s="196"/>
      <c r="D204" s="195"/>
      <c r="E204" s="193"/>
      <c r="F204" s="193">
        <f t="shared" si="9"/>
        <v>0</v>
      </c>
      <c r="G204" s="193" t="str">
        <f>IF(IFERROR(IF(Str_TypeDonneesCpt4=Cpt_Index,Tab_Compteur_4[[#This Row],[Index]]-E203,Tab_Compteur_4[[#This Row],[Quantité]])/Tab_Compteur_4[[#This Row],[Delta Jour]],"")&lt;0,"",IFERROR(IF(Str_TypeDonneesCpt4=Cpt_Index,Tab_Compteur_4[[#This Row],[Index]]-E203,Tab_Compteur_4[[#This Row],[Quantité]])/Tab_Compteur_4[[#This Row],[Delta Jour]],""))</f>
        <v/>
      </c>
      <c r="H204" s="193" t="str">
        <f>IFERROR(Tab_Compteur_4[[#This Row],[Montant]]/Tab_Compteur_4[[#This Row],[Delta Jour]],"")</f>
        <v/>
      </c>
      <c r="I204" s="215" t="str">
        <f t="shared" si="10"/>
        <v/>
      </c>
      <c r="J204" s="216"/>
      <c r="K204" s="38"/>
      <c r="L204" s="38"/>
      <c r="M204" s="38"/>
    </row>
    <row r="205" spans="1:13">
      <c r="A205" s="3">
        <f t="shared" si="11"/>
        <v>1</v>
      </c>
      <c r="B205" s="88"/>
      <c r="C205" s="196"/>
      <c r="D205" s="195"/>
      <c r="E205" s="193"/>
      <c r="F205" s="193">
        <f t="shared" si="9"/>
        <v>0</v>
      </c>
      <c r="G205" s="193" t="str">
        <f>IF(IFERROR(IF(Str_TypeDonneesCpt4=Cpt_Index,Tab_Compteur_4[[#This Row],[Index]]-E204,Tab_Compteur_4[[#This Row],[Quantité]])/Tab_Compteur_4[[#This Row],[Delta Jour]],"")&lt;0,"",IFERROR(IF(Str_TypeDonneesCpt4=Cpt_Index,Tab_Compteur_4[[#This Row],[Index]]-E204,Tab_Compteur_4[[#This Row],[Quantité]])/Tab_Compteur_4[[#This Row],[Delta Jour]],""))</f>
        <v/>
      </c>
      <c r="H205" s="193" t="str">
        <f>IFERROR(Tab_Compteur_4[[#This Row],[Montant]]/Tab_Compteur_4[[#This Row],[Delta Jour]],"")</f>
        <v/>
      </c>
      <c r="I205" s="215" t="str">
        <f t="shared" si="10"/>
        <v/>
      </c>
      <c r="J205" s="216"/>
      <c r="K205" s="38"/>
      <c r="L205" s="38"/>
      <c r="M205" s="38"/>
    </row>
    <row r="206" spans="1:13">
      <c r="A206" s="3">
        <f t="shared" si="11"/>
        <v>1</v>
      </c>
      <c r="B206" s="88"/>
      <c r="C206" s="196"/>
      <c r="D206" s="195"/>
      <c r="E206" s="193"/>
      <c r="F206" s="193">
        <f t="shared" si="9"/>
        <v>0</v>
      </c>
      <c r="G206" s="193" t="str">
        <f>IF(IFERROR(IF(Str_TypeDonneesCpt4=Cpt_Index,Tab_Compteur_4[[#This Row],[Index]]-E205,Tab_Compteur_4[[#This Row],[Quantité]])/Tab_Compteur_4[[#This Row],[Delta Jour]],"")&lt;0,"",IFERROR(IF(Str_TypeDonneesCpt4=Cpt_Index,Tab_Compteur_4[[#This Row],[Index]]-E205,Tab_Compteur_4[[#This Row],[Quantité]])/Tab_Compteur_4[[#This Row],[Delta Jour]],""))</f>
        <v/>
      </c>
      <c r="H206" s="193" t="str">
        <f>IFERROR(Tab_Compteur_4[[#This Row],[Montant]]/Tab_Compteur_4[[#This Row],[Delta Jour]],"")</f>
        <v/>
      </c>
      <c r="I206" s="215" t="str">
        <f t="shared" si="10"/>
        <v/>
      </c>
      <c r="J206" s="216"/>
      <c r="K206" s="38"/>
      <c r="L206" s="38"/>
      <c r="M206" s="38"/>
    </row>
    <row r="207" spans="1:13">
      <c r="A207" s="3">
        <f t="shared" si="11"/>
        <v>1</v>
      </c>
      <c r="B207" s="88"/>
      <c r="C207" s="196"/>
      <c r="D207" s="195"/>
      <c r="E207" s="193"/>
      <c r="F207" s="193">
        <f t="shared" si="9"/>
        <v>0</v>
      </c>
      <c r="G207" s="193" t="str">
        <f>IF(IFERROR(IF(Str_TypeDonneesCpt4=Cpt_Index,Tab_Compteur_4[[#This Row],[Index]]-E206,Tab_Compteur_4[[#This Row],[Quantité]])/Tab_Compteur_4[[#This Row],[Delta Jour]],"")&lt;0,"",IFERROR(IF(Str_TypeDonneesCpt4=Cpt_Index,Tab_Compteur_4[[#This Row],[Index]]-E206,Tab_Compteur_4[[#This Row],[Quantité]])/Tab_Compteur_4[[#This Row],[Delta Jour]],""))</f>
        <v/>
      </c>
      <c r="H207" s="193" t="str">
        <f>IFERROR(Tab_Compteur_4[[#This Row],[Montant]]/Tab_Compteur_4[[#This Row],[Delta Jour]],"")</f>
        <v/>
      </c>
      <c r="I207" s="215" t="str">
        <f t="shared" si="10"/>
        <v/>
      </c>
      <c r="J207" s="216"/>
      <c r="K207" s="38"/>
      <c r="L207" s="38"/>
      <c r="M207" s="38"/>
    </row>
    <row r="208" spans="1:13">
      <c r="A208" s="3">
        <f t="shared" si="11"/>
        <v>1</v>
      </c>
      <c r="B208" s="88"/>
      <c r="C208" s="196"/>
      <c r="D208" s="195"/>
      <c r="E208" s="193"/>
      <c r="F208" s="193">
        <f t="shared" si="9"/>
        <v>0</v>
      </c>
      <c r="G208" s="193" t="str">
        <f>IF(IFERROR(IF(Str_TypeDonneesCpt4=Cpt_Index,Tab_Compteur_4[[#This Row],[Index]]-E207,Tab_Compteur_4[[#This Row],[Quantité]])/Tab_Compteur_4[[#This Row],[Delta Jour]],"")&lt;0,"",IFERROR(IF(Str_TypeDonneesCpt4=Cpt_Index,Tab_Compteur_4[[#This Row],[Index]]-E207,Tab_Compteur_4[[#This Row],[Quantité]])/Tab_Compteur_4[[#This Row],[Delta Jour]],""))</f>
        <v/>
      </c>
      <c r="H208" s="193" t="str">
        <f>IFERROR(Tab_Compteur_4[[#This Row],[Montant]]/Tab_Compteur_4[[#This Row],[Delta Jour]],"")</f>
        <v/>
      </c>
      <c r="I208" s="215" t="str">
        <f t="shared" si="10"/>
        <v/>
      </c>
      <c r="J208" s="216"/>
      <c r="K208" s="38"/>
      <c r="L208" s="38"/>
      <c r="M208" s="38"/>
    </row>
    <row r="209" spans="1:13">
      <c r="A209" s="3">
        <f t="shared" si="11"/>
        <v>1</v>
      </c>
      <c r="B209" s="88"/>
      <c r="C209" s="196"/>
      <c r="D209" s="195"/>
      <c r="E209" s="193"/>
      <c r="F209" s="193">
        <f t="shared" si="9"/>
        <v>0</v>
      </c>
      <c r="G209" s="193" t="str">
        <f>IF(IFERROR(IF(Str_TypeDonneesCpt4=Cpt_Index,Tab_Compteur_4[[#This Row],[Index]]-E208,Tab_Compteur_4[[#This Row],[Quantité]])/Tab_Compteur_4[[#This Row],[Delta Jour]],"")&lt;0,"",IFERROR(IF(Str_TypeDonneesCpt4=Cpt_Index,Tab_Compteur_4[[#This Row],[Index]]-E208,Tab_Compteur_4[[#This Row],[Quantité]])/Tab_Compteur_4[[#This Row],[Delta Jour]],""))</f>
        <v/>
      </c>
      <c r="H209" s="193" t="str">
        <f>IFERROR(Tab_Compteur_4[[#This Row],[Montant]]/Tab_Compteur_4[[#This Row],[Delta Jour]],"")</f>
        <v/>
      </c>
      <c r="I209" s="215" t="str">
        <f t="shared" si="10"/>
        <v/>
      </c>
      <c r="J209" s="216"/>
      <c r="K209" s="38"/>
      <c r="L209" s="38"/>
      <c r="M209" s="38"/>
    </row>
    <row r="210" spans="1:13">
      <c r="A210" s="3">
        <f t="shared" si="11"/>
        <v>1</v>
      </c>
      <c r="B210" s="88"/>
      <c r="C210" s="196"/>
      <c r="D210" s="195"/>
      <c r="E210" s="193"/>
      <c r="F210" s="193">
        <f t="shared" si="9"/>
        <v>0</v>
      </c>
      <c r="G210" s="193" t="str">
        <f>IF(IFERROR(IF(Str_TypeDonneesCpt4=Cpt_Index,Tab_Compteur_4[[#This Row],[Index]]-E209,Tab_Compteur_4[[#This Row],[Quantité]])/Tab_Compteur_4[[#This Row],[Delta Jour]],"")&lt;0,"",IFERROR(IF(Str_TypeDonneesCpt4=Cpt_Index,Tab_Compteur_4[[#This Row],[Index]]-E209,Tab_Compteur_4[[#This Row],[Quantité]])/Tab_Compteur_4[[#This Row],[Delta Jour]],""))</f>
        <v/>
      </c>
      <c r="H210" s="193" t="str">
        <f>IFERROR(Tab_Compteur_4[[#This Row],[Montant]]/Tab_Compteur_4[[#This Row],[Delta Jour]],"")</f>
        <v/>
      </c>
      <c r="I210" s="215" t="str">
        <f t="shared" si="10"/>
        <v/>
      </c>
      <c r="J210" s="216"/>
      <c r="K210" s="38"/>
      <c r="L210" s="38"/>
      <c r="M210" s="38"/>
    </row>
    <row r="211" spans="1:13">
      <c r="A211" s="3">
        <f t="shared" si="11"/>
        <v>1</v>
      </c>
      <c r="B211" s="88"/>
      <c r="C211" s="196"/>
      <c r="D211" s="195"/>
      <c r="E211" s="193"/>
      <c r="F211" s="193">
        <f t="shared" si="9"/>
        <v>0</v>
      </c>
      <c r="G211" s="193" t="str">
        <f>IF(IFERROR(IF(Str_TypeDonneesCpt4=Cpt_Index,Tab_Compteur_4[[#This Row],[Index]]-E210,Tab_Compteur_4[[#This Row],[Quantité]])/Tab_Compteur_4[[#This Row],[Delta Jour]],"")&lt;0,"",IFERROR(IF(Str_TypeDonneesCpt4=Cpt_Index,Tab_Compteur_4[[#This Row],[Index]]-E210,Tab_Compteur_4[[#This Row],[Quantité]])/Tab_Compteur_4[[#This Row],[Delta Jour]],""))</f>
        <v/>
      </c>
      <c r="H211" s="193" t="str">
        <f>IFERROR(Tab_Compteur_4[[#This Row],[Montant]]/Tab_Compteur_4[[#This Row],[Delta Jour]],"")</f>
        <v/>
      </c>
      <c r="I211" s="215" t="str">
        <f t="shared" si="10"/>
        <v/>
      </c>
      <c r="J211" s="216"/>
      <c r="K211" s="38"/>
      <c r="L211" s="38"/>
      <c r="M211" s="38"/>
    </row>
    <row r="212" spans="1:13">
      <c r="A212" s="3">
        <f t="shared" si="11"/>
        <v>1</v>
      </c>
      <c r="B212" s="88"/>
      <c r="C212" s="196"/>
      <c r="D212" s="195"/>
      <c r="E212" s="193"/>
      <c r="F212" s="193">
        <f t="shared" si="9"/>
        <v>0</v>
      </c>
      <c r="G212" s="193" t="str">
        <f>IF(IFERROR(IF(Str_TypeDonneesCpt4=Cpt_Index,Tab_Compteur_4[[#This Row],[Index]]-E211,Tab_Compteur_4[[#This Row],[Quantité]])/Tab_Compteur_4[[#This Row],[Delta Jour]],"")&lt;0,"",IFERROR(IF(Str_TypeDonneesCpt4=Cpt_Index,Tab_Compteur_4[[#This Row],[Index]]-E211,Tab_Compteur_4[[#This Row],[Quantité]])/Tab_Compteur_4[[#This Row],[Delta Jour]],""))</f>
        <v/>
      </c>
      <c r="H212" s="193" t="str">
        <f>IFERROR(Tab_Compteur_4[[#This Row],[Montant]]/Tab_Compteur_4[[#This Row],[Delta Jour]],"")</f>
        <v/>
      </c>
      <c r="I212" s="215" t="str">
        <f t="shared" si="10"/>
        <v/>
      </c>
      <c r="J212" s="216"/>
      <c r="K212" s="38"/>
      <c r="L212" s="38"/>
      <c r="M212" s="38"/>
    </row>
    <row r="213" spans="1:13">
      <c r="A213" s="3">
        <f t="shared" si="11"/>
        <v>1</v>
      </c>
      <c r="B213" s="88"/>
      <c r="C213" s="196"/>
      <c r="D213" s="195"/>
      <c r="E213" s="193"/>
      <c r="F213" s="193">
        <f t="shared" si="9"/>
        <v>0</v>
      </c>
      <c r="G213" s="193" t="str">
        <f>IF(IFERROR(IF(Str_TypeDonneesCpt4=Cpt_Index,Tab_Compteur_4[[#This Row],[Index]]-E212,Tab_Compteur_4[[#This Row],[Quantité]])/Tab_Compteur_4[[#This Row],[Delta Jour]],"")&lt;0,"",IFERROR(IF(Str_TypeDonneesCpt4=Cpt_Index,Tab_Compteur_4[[#This Row],[Index]]-E212,Tab_Compteur_4[[#This Row],[Quantité]])/Tab_Compteur_4[[#This Row],[Delta Jour]],""))</f>
        <v/>
      </c>
      <c r="H213" s="193" t="str">
        <f>IFERROR(Tab_Compteur_4[[#This Row],[Montant]]/Tab_Compteur_4[[#This Row],[Delta Jour]],"")</f>
        <v/>
      </c>
      <c r="I213" s="215" t="str">
        <f t="shared" si="10"/>
        <v/>
      </c>
      <c r="J213" s="216"/>
      <c r="K213" s="38"/>
      <c r="L213" s="38"/>
      <c r="M213" s="38"/>
    </row>
    <row r="214" spans="1:13">
      <c r="A214" s="3">
        <f t="shared" si="11"/>
        <v>1</v>
      </c>
      <c r="B214" s="88"/>
      <c r="C214" s="196"/>
      <c r="D214" s="195"/>
      <c r="E214" s="193"/>
      <c r="F214" s="193">
        <f t="shared" si="9"/>
        <v>0</v>
      </c>
      <c r="G214" s="193" t="str">
        <f>IF(IFERROR(IF(Str_TypeDonneesCpt4=Cpt_Index,Tab_Compteur_4[[#This Row],[Index]]-E213,Tab_Compteur_4[[#This Row],[Quantité]])/Tab_Compteur_4[[#This Row],[Delta Jour]],"")&lt;0,"",IFERROR(IF(Str_TypeDonneesCpt4=Cpt_Index,Tab_Compteur_4[[#This Row],[Index]]-E213,Tab_Compteur_4[[#This Row],[Quantité]])/Tab_Compteur_4[[#This Row],[Delta Jour]],""))</f>
        <v/>
      </c>
      <c r="H214" s="193" t="str">
        <f>IFERROR(Tab_Compteur_4[[#This Row],[Montant]]/Tab_Compteur_4[[#This Row],[Delta Jour]],"")</f>
        <v/>
      </c>
      <c r="I214" s="215" t="str">
        <f t="shared" si="10"/>
        <v/>
      </c>
      <c r="J214" s="216"/>
      <c r="K214" s="38"/>
      <c r="L214" s="38"/>
      <c r="M214" s="38"/>
    </row>
    <row r="215" spans="1:13">
      <c r="A215" s="3">
        <f t="shared" si="11"/>
        <v>1</v>
      </c>
      <c r="B215" s="88"/>
      <c r="C215" s="196"/>
      <c r="D215" s="195"/>
      <c r="E215" s="193"/>
      <c r="F215" s="193">
        <f t="shared" si="9"/>
        <v>0</v>
      </c>
      <c r="G215" s="193" t="str">
        <f>IF(IFERROR(IF(Str_TypeDonneesCpt4=Cpt_Index,Tab_Compteur_4[[#This Row],[Index]]-E214,Tab_Compteur_4[[#This Row],[Quantité]])/Tab_Compteur_4[[#This Row],[Delta Jour]],"")&lt;0,"",IFERROR(IF(Str_TypeDonneesCpt4=Cpt_Index,Tab_Compteur_4[[#This Row],[Index]]-E214,Tab_Compteur_4[[#This Row],[Quantité]])/Tab_Compteur_4[[#This Row],[Delta Jour]],""))</f>
        <v/>
      </c>
      <c r="H215" s="193" t="str">
        <f>IFERROR(Tab_Compteur_4[[#This Row],[Montant]]/Tab_Compteur_4[[#This Row],[Delta Jour]],"")</f>
        <v/>
      </c>
      <c r="I215" s="215" t="str">
        <f t="shared" si="10"/>
        <v/>
      </c>
      <c r="J215" s="216"/>
      <c r="K215" s="38"/>
      <c r="L215" s="38"/>
      <c r="M215" s="38"/>
    </row>
    <row r="216" spans="1:13">
      <c r="A216" s="3">
        <f t="shared" si="11"/>
        <v>1</v>
      </c>
      <c r="B216" s="88"/>
      <c r="C216" s="196"/>
      <c r="D216" s="195"/>
      <c r="E216" s="193"/>
      <c r="F216" s="193">
        <f t="shared" si="9"/>
        <v>0</v>
      </c>
      <c r="G216" s="193" t="str">
        <f>IF(IFERROR(IF(Str_TypeDonneesCpt4=Cpt_Index,Tab_Compteur_4[[#This Row],[Index]]-E215,Tab_Compteur_4[[#This Row],[Quantité]])/Tab_Compteur_4[[#This Row],[Delta Jour]],"")&lt;0,"",IFERROR(IF(Str_TypeDonneesCpt4=Cpt_Index,Tab_Compteur_4[[#This Row],[Index]]-E215,Tab_Compteur_4[[#This Row],[Quantité]])/Tab_Compteur_4[[#This Row],[Delta Jour]],""))</f>
        <v/>
      </c>
      <c r="H216" s="193" t="str">
        <f>IFERROR(Tab_Compteur_4[[#This Row],[Montant]]/Tab_Compteur_4[[#This Row],[Delta Jour]],"")</f>
        <v/>
      </c>
      <c r="I216" s="215" t="str">
        <f t="shared" si="10"/>
        <v/>
      </c>
      <c r="J216" s="216"/>
      <c r="K216" s="38"/>
      <c r="L216" s="38"/>
      <c r="M216" s="38"/>
    </row>
    <row r="217" spans="1:13">
      <c r="A217" s="3">
        <f t="shared" si="11"/>
        <v>1</v>
      </c>
      <c r="B217" s="88"/>
      <c r="C217" s="196"/>
      <c r="D217" s="195"/>
      <c r="E217" s="193"/>
      <c r="F217" s="193">
        <f t="shared" si="9"/>
        <v>0</v>
      </c>
      <c r="G217" s="193" t="str">
        <f>IF(IFERROR(IF(Str_TypeDonneesCpt4=Cpt_Index,Tab_Compteur_4[[#This Row],[Index]]-E216,Tab_Compteur_4[[#This Row],[Quantité]])/Tab_Compteur_4[[#This Row],[Delta Jour]],"")&lt;0,"",IFERROR(IF(Str_TypeDonneesCpt4=Cpt_Index,Tab_Compteur_4[[#This Row],[Index]]-E216,Tab_Compteur_4[[#This Row],[Quantité]])/Tab_Compteur_4[[#This Row],[Delta Jour]],""))</f>
        <v/>
      </c>
      <c r="H217" s="193" t="str">
        <f>IFERROR(Tab_Compteur_4[[#This Row],[Montant]]/Tab_Compteur_4[[#This Row],[Delta Jour]],"")</f>
        <v/>
      </c>
      <c r="I217" s="215" t="str">
        <f t="shared" si="10"/>
        <v/>
      </c>
      <c r="J217" s="216"/>
      <c r="K217" s="38"/>
      <c r="L217" s="38"/>
      <c r="M217" s="38"/>
    </row>
    <row r="218" spans="1:13">
      <c r="A218" s="3">
        <f t="shared" si="11"/>
        <v>1</v>
      </c>
      <c r="B218" s="88"/>
      <c r="C218" s="196"/>
      <c r="D218" s="195"/>
      <c r="E218" s="193"/>
      <c r="F218" s="193">
        <f t="shared" si="9"/>
        <v>0</v>
      </c>
      <c r="G218" s="193" t="str">
        <f>IF(IFERROR(IF(Str_TypeDonneesCpt4=Cpt_Index,Tab_Compteur_4[[#This Row],[Index]]-E217,Tab_Compteur_4[[#This Row],[Quantité]])/Tab_Compteur_4[[#This Row],[Delta Jour]],"")&lt;0,"",IFERROR(IF(Str_TypeDonneesCpt4=Cpt_Index,Tab_Compteur_4[[#This Row],[Index]]-E217,Tab_Compteur_4[[#This Row],[Quantité]])/Tab_Compteur_4[[#This Row],[Delta Jour]],""))</f>
        <v/>
      </c>
      <c r="H218" s="193" t="str">
        <f>IFERROR(Tab_Compteur_4[[#This Row],[Montant]]/Tab_Compteur_4[[#This Row],[Delta Jour]],"")</f>
        <v/>
      </c>
      <c r="I218" s="215" t="str">
        <f t="shared" si="10"/>
        <v/>
      </c>
      <c r="J218" s="216"/>
      <c r="K218" s="38"/>
      <c r="L218" s="38"/>
      <c r="M218" s="38"/>
    </row>
    <row r="219" spans="1:13">
      <c r="A219" s="3">
        <f t="shared" si="11"/>
        <v>1</v>
      </c>
      <c r="B219" s="88"/>
      <c r="C219" s="196"/>
      <c r="D219" s="195"/>
      <c r="E219" s="193"/>
      <c r="F219" s="193">
        <f t="shared" si="9"/>
        <v>0</v>
      </c>
      <c r="G219" s="193" t="str">
        <f>IF(IFERROR(IF(Str_TypeDonneesCpt4=Cpt_Index,Tab_Compteur_4[[#This Row],[Index]]-E218,Tab_Compteur_4[[#This Row],[Quantité]])/Tab_Compteur_4[[#This Row],[Delta Jour]],"")&lt;0,"",IFERROR(IF(Str_TypeDonneesCpt4=Cpt_Index,Tab_Compteur_4[[#This Row],[Index]]-E218,Tab_Compteur_4[[#This Row],[Quantité]])/Tab_Compteur_4[[#This Row],[Delta Jour]],""))</f>
        <v/>
      </c>
      <c r="H219" s="193" t="str">
        <f>IFERROR(Tab_Compteur_4[[#This Row],[Montant]]/Tab_Compteur_4[[#This Row],[Delta Jour]],"")</f>
        <v/>
      </c>
      <c r="I219" s="215" t="str">
        <f t="shared" si="10"/>
        <v/>
      </c>
      <c r="J219" s="216"/>
      <c r="K219" s="38"/>
      <c r="L219" s="38"/>
      <c r="M219" s="38"/>
    </row>
    <row r="220" spans="1:13">
      <c r="A220" s="3">
        <f t="shared" si="11"/>
        <v>1</v>
      </c>
      <c r="B220" s="88"/>
      <c r="C220" s="196"/>
      <c r="D220" s="195"/>
      <c r="E220" s="193"/>
      <c r="F220" s="193">
        <f t="shared" si="9"/>
        <v>0</v>
      </c>
      <c r="G220" s="193" t="str">
        <f>IF(IFERROR(IF(Str_TypeDonneesCpt4=Cpt_Index,Tab_Compteur_4[[#This Row],[Index]]-E219,Tab_Compteur_4[[#This Row],[Quantité]])/Tab_Compteur_4[[#This Row],[Delta Jour]],"")&lt;0,"",IFERROR(IF(Str_TypeDonneesCpt4=Cpt_Index,Tab_Compteur_4[[#This Row],[Index]]-E219,Tab_Compteur_4[[#This Row],[Quantité]])/Tab_Compteur_4[[#This Row],[Delta Jour]],""))</f>
        <v/>
      </c>
      <c r="H220" s="193" t="str">
        <f>IFERROR(Tab_Compteur_4[[#This Row],[Montant]]/Tab_Compteur_4[[#This Row],[Delta Jour]],"")</f>
        <v/>
      </c>
      <c r="I220" s="215" t="str">
        <f t="shared" si="10"/>
        <v/>
      </c>
      <c r="J220" s="216"/>
      <c r="K220" s="38"/>
      <c r="L220" s="38"/>
      <c r="M220" s="38"/>
    </row>
    <row r="221" spans="1:13">
      <c r="A221" s="3">
        <f t="shared" si="11"/>
        <v>1</v>
      </c>
      <c r="B221" s="88"/>
      <c r="C221" s="196"/>
      <c r="D221" s="195"/>
      <c r="E221" s="193"/>
      <c r="F221" s="193">
        <f t="shared" si="9"/>
        <v>0</v>
      </c>
      <c r="G221" s="193" t="str">
        <f>IF(IFERROR(IF(Str_TypeDonneesCpt4=Cpt_Index,Tab_Compteur_4[[#This Row],[Index]]-E220,Tab_Compteur_4[[#This Row],[Quantité]])/Tab_Compteur_4[[#This Row],[Delta Jour]],"")&lt;0,"",IFERROR(IF(Str_TypeDonneesCpt4=Cpt_Index,Tab_Compteur_4[[#This Row],[Index]]-E220,Tab_Compteur_4[[#This Row],[Quantité]])/Tab_Compteur_4[[#This Row],[Delta Jour]],""))</f>
        <v/>
      </c>
      <c r="H221" s="193" t="str">
        <f>IFERROR(Tab_Compteur_4[[#This Row],[Montant]]/Tab_Compteur_4[[#This Row],[Delta Jour]],"")</f>
        <v/>
      </c>
      <c r="I221" s="215" t="str">
        <f t="shared" si="10"/>
        <v/>
      </c>
      <c r="J221" s="216"/>
      <c r="K221" s="38"/>
      <c r="L221" s="38"/>
      <c r="M221" s="38"/>
    </row>
    <row r="222" spans="1:13">
      <c r="A222" s="3">
        <f t="shared" si="11"/>
        <v>1</v>
      </c>
      <c r="B222" s="88"/>
      <c r="C222" s="196"/>
      <c r="D222" s="195"/>
      <c r="E222" s="193"/>
      <c r="F222" s="193">
        <f t="shared" si="9"/>
        <v>0</v>
      </c>
      <c r="G222" s="193" t="str">
        <f>IF(IFERROR(IF(Str_TypeDonneesCpt4=Cpt_Index,Tab_Compteur_4[[#This Row],[Index]]-E221,Tab_Compteur_4[[#This Row],[Quantité]])/Tab_Compteur_4[[#This Row],[Delta Jour]],"")&lt;0,"",IFERROR(IF(Str_TypeDonneesCpt4=Cpt_Index,Tab_Compteur_4[[#This Row],[Index]]-E221,Tab_Compteur_4[[#This Row],[Quantité]])/Tab_Compteur_4[[#This Row],[Delta Jour]],""))</f>
        <v/>
      </c>
      <c r="H222" s="193" t="str">
        <f>IFERROR(Tab_Compteur_4[[#This Row],[Montant]]/Tab_Compteur_4[[#This Row],[Delta Jour]],"")</f>
        <v/>
      </c>
      <c r="I222" s="215" t="str">
        <f t="shared" si="10"/>
        <v/>
      </c>
      <c r="J222" s="216"/>
      <c r="K222" s="38"/>
      <c r="L222" s="38"/>
      <c r="M222" s="38"/>
    </row>
    <row r="223" spans="1:13">
      <c r="A223" s="3">
        <f t="shared" si="11"/>
        <v>1</v>
      </c>
      <c r="B223" s="88"/>
      <c r="C223" s="196"/>
      <c r="D223" s="195"/>
      <c r="E223" s="193"/>
      <c r="F223" s="193">
        <f t="shared" si="9"/>
        <v>0</v>
      </c>
      <c r="G223" s="193" t="str">
        <f>IF(IFERROR(IF(Str_TypeDonneesCpt4=Cpt_Index,Tab_Compteur_4[[#This Row],[Index]]-E222,Tab_Compteur_4[[#This Row],[Quantité]])/Tab_Compteur_4[[#This Row],[Delta Jour]],"")&lt;0,"",IFERROR(IF(Str_TypeDonneesCpt4=Cpt_Index,Tab_Compteur_4[[#This Row],[Index]]-E222,Tab_Compteur_4[[#This Row],[Quantité]])/Tab_Compteur_4[[#This Row],[Delta Jour]],""))</f>
        <v/>
      </c>
      <c r="H223" s="193" t="str">
        <f>IFERROR(Tab_Compteur_4[[#This Row],[Montant]]/Tab_Compteur_4[[#This Row],[Delta Jour]],"")</f>
        <v/>
      </c>
      <c r="I223" s="215" t="str">
        <f t="shared" si="10"/>
        <v/>
      </c>
      <c r="J223" s="216"/>
      <c r="K223" s="38"/>
      <c r="L223" s="38"/>
      <c r="M223" s="38"/>
    </row>
    <row r="224" spans="1:13">
      <c r="A224" s="3">
        <f t="shared" si="11"/>
        <v>1</v>
      </c>
      <c r="B224" s="88"/>
      <c r="C224" s="196"/>
      <c r="D224" s="195"/>
      <c r="E224" s="193"/>
      <c r="F224" s="193">
        <f t="shared" si="9"/>
        <v>0</v>
      </c>
      <c r="G224" s="193" t="str">
        <f>IF(IFERROR(IF(Str_TypeDonneesCpt4=Cpt_Index,Tab_Compteur_4[[#This Row],[Index]]-E223,Tab_Compteur_4[[#This Row],[Quantité]])/Tab_Compteur_4[[#This Row],[Delta Jour]],"")&lt;0,"",IFERROR(IF(Str_TypeDonneesCpt4=Cpt_Index,Tab_Compteur_4[[#This Row],[Index]]-E223,Tab_Compteur_4[[#This Row],[Quantité]])/Tab_Compteur_4[[#This Row],[Delta Jour]],""))</f>
        <v/>
      </c>
      <c r="H224" s="193" t="str">
        <f>IFERROR(Tab_Compteur_4[[#This Row],[Montant]]/Tab_Compteur_4[[#This Row],[Delta Jour]],"")</f>
        <v/>
      </c>
      <c r="I224" s="215" t="str">
        <f t="shared" si="10"/>
        <v/>
      </c>
      <c r="J224" s="216"/>
      <c r="K224" s="38"/>
      <c r="L224" s="38"/>
      <c r="M224" s="38"/>
    </row>
    <row r="225" spans="1:13">
      <c r="A225" s="3">
        <f t="shared" si="11"/>
        <v>1</v>
      </c>
      <c r="B225" s="88"/>
      <c r="C225" s="196"/>
      <c r="D225" s="195"/>
      <c r="E225" s="193"/>
      <c r="F225" s="193">
        <f t="shared" si="9"/>
        <v>0</v>
      </c>
      <c r="G225" s="193" t="str">
        <f>IF(IFERROR(IF(Str_TypeDonneesCpt4=Cpt_Index,Tab_Compteur_4[[#This Row],[Index]]-E224,Tab_Compteur_4[[#This Row],[Quantité]])/Tab_Compteur_4[[#This Row],[Delta Jour]],"")&lt;0,"",IFERROR(IF(Str_TypeDonneesCpt4=Cpt_Index,Tab_Compteur_4[[#This Row],[Index]]-E224,Tab_Compteur_4[[#This Row],[Quantité]])/Tab_Compteur_4[[#This Row],[Delta Jour]],""))</f>
        <v/>
      </c>
      <c r="H225" s="193" t="str">
        <f>IFERROR(Tab_Compteur_4[[#This Row],[Montant]]/Tab_Compteur_4[[#This Row],[Delta Jour]],"")</f>
        <v/>
      </c>
      <c r="I225" s="215" t="str">
        <f t="shared" si="10"/>
        <v/>
      </c>
      <c r="J225" s="216"/>
      <c r="K225" s="38"/>
      <c r="L225" s="38"/>
      <c r="M225" s="38"/>
    </row>
    <row r="226" spans="1:13">
      <c r="A226" s="3">
        <f t="shared" si="11"/>
        <v>1</v>
      </c>
      <c r="B226" s="88"/>
      <c r="C226" s="196"/>
      <c r="D226" s="195"/>
      <c r="E226" s="193"/>
      <c r="F226" s="193">
        <f t="shared" si="9"/>
        <v>0</v>
      </c>
      <c r="G226" s="193" t="str">
        <f>IF(IFERROR(IF(Str_TypeDonneesCpt4=Cpt_Index,Tab_Compteur_4[[#This Row],[Index]]-E225,Tab_Compteur_4[[#This Row],[Quantité]])/Tab_Compteur_4[[#This Row],[Delta Jour]],"")&lt;0,"",IFERROR(IF(Str_TypeDonneesCpt4=Cpt_Index,Tab_Compteur_4[[#This Row],[Index]]-E225,Tab_Compteur_4[[#This Row],[Quantité]])/Tab_Compteur_4[[#This Row],[Delta Jour]],""))</f>
        <v/>
      </c>
      <c r="H226" s="193" t="str">
        <f>IFERROR(Tab_Compteur_4[[#This Row],[Montant]]/Tab_Compteur_4[[#This Row],[Delta Jour]],"")</f>
        <v/>
      </c>
      <c r="I226" s="215" t="str">
        <f t="shared" si="10"/>
        <v/>
      </c>
      <c r="J226" s="216"/>
      <c r="K226" s="38"/>
      <c r="L226" s="38"/>
      <c r="M226" s="38"/>
    </row>
    <row r="227" spans="1:13">
      <c r="A227" s="3">
        <f t="shared" si="11"/>
        <v>1</v>
      </c>
      <c r="B227" s="88"/>
      <c r="C227" s="196"/>
      <c r="D227" s="195"/>
      <c r="E227" s="193"/>
      <c r="F227" s="193">
        <f t="shared" si="9"/>
        <v>0</v>
      </c>
      <c r="G227" s="193" t="str">
        <f>IF(IFERROR(IF(Str_TypeDonneesCpt4=Cpt_Index,Tab_Compteur_4[[#This Row],[Index]]-E226,Tab_Compteur_4[[#This Row],[Quantité]])/Tab_Compteur_4[[#This Row],[Delta Jour]],"")&lt;0,"",IFERROR(IF(Str_TypeDonneesCpt4=Cpt_Index,Tab_Compteur_4[[#This Row],[Index]]-E226,Tab_Compteur_4[[#This Row],[Quantité]])/Tab_Compteur_4[[#This Row],[Delta Jour]],""))</f>
        <v/>
      </c>
      <c r="H227" s="193" t="str">
        <f>IFERROR(Tab_Compteur_4[[#This Row],[Montant]]/Tab_Compteur_4[[#This Row],[Delta Jour]],"")</f>
        <v/>
      </c>
      <c r="I227" s="215" t="str">
        <f t="shared" si="10"/>
        <v/>
      </c>
      <c r="J227" s="216"/>
      <c r="K227" s="38"/>
      <c r="L227" s="38"/>
      <c r="M227" s="38"/>
    </row>
    <row r="228" spans="1:13">
      <c r="A228" s="3">
        <f t="shared" si="11"/>
        <v>1</v>
      </c>
      <c r="B228" s="88"/>
      <c r="C228" s="196"/>
      <c r="D228" s="195"/>
      <c r="E228" s="193"/>
      <c r="F228" s="193">
        <f t="shared" si="9"/>
        <v>0</v>
      </c>
      <c r="G228" s="193" t="str">
        <f>IF(IFERROR(IF(Str_TypeDonneesCpt4=Cpt_Index,Tab_Compteur_4[[#This Row],[Index]]-E227,Tab_Compteur_4[[#This Row],[Quantité]])/Tab_Compteur_4[[#This Row],[Delta Jour]],"")&lt;0,"",IFERROR(IF(Str_TypeDonneesCpt4=Cpt_Index,Tab_Compteur_4[[#This Row],[Index]]-E227,Tab_Compteur_4[[#This Row],[Quantité]])/Tab_Compteur_4[[#This Row],[Delta Jour]],""))</f>
        <v/>
      </c>
      <c r="H228" s="193" t="str">
        <f>IFERROR(Tab_Compteur_4[[#This Row],[Montant]]/Tab_Compteur_4[[#This Row],[Delta Jour]],"")</f>
        <v/>
      </c>
      <c r="I228" s="215" t="str">
        <f t="shared" si="10"/>
        <v/>
      </c>
      <c r="J228" s="216"/>
      <c r="K228" s="38"/>
      <c r="L228" s="38"/>
      <c r="M228" s="38"/>
    </row>
    <row r="229" spans="1:13">
      <c r="A229" s="3">
        <f t="shared" si="11"/>
        <v>1</v>
      </c>
      <c r="B229" s="88"/>
      <c r="C229" s="196"/>
      <c r="D229" s="195"/>
      <c r="E229" s="193"/>
      <c r="F229" s="193">
        <f t="shared" si="9"/>
        <v>0</v>
      </c>
      <c r="G229" s="193" t="str">
        <f>IF(IFERROR(IF(Str_TypeDonneesCpt4=Cpt_Index,Tab_Compteur_4[[#This Row],[Index]]-E228,Tab_Compteur_4[[#This Row],[Quantité]])/Tab_Compteur_4[[#This Row],[Delta Jour]],"")&lt;0,"",IFERROR(IF(Str_TypeDonneesCpt4=Cpt_Index,Tab_Compteur_4[[#This Row],[Index]]-E228,Tab_Compteur_4[[#This Row],[Quantité]])/Tab_Compteur_4[[#This Row],[Delta Jour]],""))</f>
        <v/>
      </c>
      <c r="H229" s="193" t="str">
        <f>IFERROR(Tab_Compteur_4[[#This Row],[Montant]]/Tab_Compteur_4[[#This Row],[Delta Jour]],"")</f>
        <v/>
      </c>
      <c r="I229" s="215" t="str">
        <f t="shared" si="10"/>
        <v/>
      </c>
      <c r="J229" s="216"/>
      <c r="K229" s="38"/>
      <c r="L229" s="38"/>
      <c r="M229" s="38"/>
    </row>
    <row r="230" spans="1:13">
      <c r="A230" s="3">
        <f t="shared" si="11"/>
        <v>1</v>
      </c>
      <c r="B230" s="88"/>
      <c r="C230" s="196"/>
      <c r="D230" s="195"/>
      <c r="E230" s="193"/>
      <c r="F230" s="193">
        <f t="shared" si="9"/>
        <v>0</v>
      </c>
      <c r="G230" s="193" t="str">
        <f>IF(IFERROR(IF(Str_TypeDonneesCpt4=Cpt_Index,Tab_Compteur_4[[#This Row],[Index]]-E229,Tab_Compteur_4[[#This Row],[Quantité]])/Tab_Compteur_4[[#This Row],[Delta Jour]],"")&lt;0,"",IFERROR(IF(Str_TypeDonneesCpt4=Cpt_Index,Tab_Compteur_4[[#This Row],[Index]]-E229,Tab_Compteur_4[[#This Row],[Quantité]])/Tab_Compteur_4[[#This Row],[Delta Jour]],""))</f>
        <v/>
      </c>
      <c r="H230" s="193" t="str">
        <f>IFERROR(Tab_Compteur_4[[#This Row],[Montant]]/Tab_Compteur_4[[#This Row],[Delta Jour]],"")</f>
        <v/>
      </c>
      <c r="I230" s="215" t="str">
        <f t="shared" si="10"/>
        <v/>
      </c>
      <c r="J230" s="216"/>
      <c r="K230" s="38"/>
      <c r="L230" s="38"/>
      <c r="M230" s="38"/>
    </row>
    <row r="231" spans="1:13">
      <c r="A231" s="3">
        <f t="shared" si="11"/>
        <v>1</v>
      </c>
      <c r="B231" s="88"/>
      <c r="C231" s="196"/>
      <c r="D231" s="195"/>
      <c r="E231" s="193"/>
      <c r="F231" s="193">
        <f t="shared" si="9"/>
        <v>0</v>
      </c>
      <c r="G231" s="193" t="str">
        <f>IF(IFERROR(IF(Str_TypeDonneesCpt4=Cpt_Index,Tab_Compteur_4[[#This Row],[Index]]-E230,Tab_Compteur_4[[#This Row],[Quantité]])/Tab_Compteur_4[[#This Row],[Delta Jour]],"")&lt;0,"",IFERROR(IF(Str_TypeDonneesCpt4=Cpt_Index,Tab_Compteur_4[[#This Row],[Index]]-E230,Tab_Compteur_4[[#This Row],[Quantité]])/Tab_Compteur_4[[#This Row],[Delta Jour]],""))</f>
        <v/>
      </c>
      <c r="H231" s="193" t="str">
        <f>IFERROR(Tab_Compteur_4[[#This Row],[Montant]]/Tab_Compteur_4[[#This Row],[Delta Jour]],"")</f>
        <v/>
      </c>
      <c r="I231" s="215" t="str">
        <f t="shared" si="10"/>
        <v/>
      </c>
      <c r="J231" s="216"/>
      <c r="K231" s="38"/>
      <c r="L231" s="38"/>
      <c r="M231" s="38"/>
    </row>
    <row r="232" spans="1:13">
      <c r="A232" s="3">
        <f t="shared" si="11"/>
        <v>1</v>
      </c>
      <c r="B232" s="88"/>
      <c r="C232" s="196"/>
      <c r="D232" s="195"/>
      <c r="E232" s="193"/>
      <c r="F232" s="193">
        <f t="shared" si="9"/>
        <v>0</v>
      </c>
      <c r="G232" s="193" t="str">
        <f>IF(IFERROR(IF(Str_TypeDonneesCpt4=Cpt_Index,Tab_Compteur_4[[#This Row],[Index]]-E231,Tab_Compteur_4[[#This Row],[Quantité]])/Tab_Compteur_4[[#This Row],[Delta Jour]],"")&lt;0,"",IFERROR(IF(Str_TypeDonneesCpt4=Cpt_Index,Tab_Compteur_4[[#This Row],[Index]]-E231,Tab_Compteur_4[[#This Row],[Quantité]])/Tab_Compteur_4[[#This Row],[Delta Jour]],""))</f>
        <v/>
      </c>
      <c r="H232" s="193" t="str">
        <f>IFERROR(Tab_Compteur_4[[#This Row],[Montant]]/Tab_Compteur_4[[#This Row],[Delta Jour]],"")</f>
        <v/>
      </c>
      <c r="I232" s="215" t="str">
        <f t="shared" si="10"/>
        <v/>
      </c>
      <c r="J232" s="216"/>
      <c r="K232" s="38"/>
      <c r="L232" s="38"/>
      <c r="M232" s="38"/>
    </row>
    <row r="233" spans="1:13">
      <c r="A233" s="3">
        <f t="shared" si="11"/>
        <v>1</v>
      </c>
      <c r="B233" s="88"/>
      <c r="C233" s="196"/>
      <c r="D233" s="195"/>
      <c r="E233" s="193"/>
      <c r="F233" s="193">
        <f t="shared" si="9"/>
        <v>0</v>
      </c>
      <c r="G233" s="193" t="str">
        <f>IF(IFERROR(IF(Str_TypeDonneesCpt4=Cpt_Index,Tab_Compteur_4[[#This Row],[Index]]-E232,Tab_Compteur_4[[#This Row],[Quantité]])/Tab_Compteur_4[[#This Row],[Delta Jour]],"")&lt;0,"",IFERROR(IF(Str_TypeDonneesCpt4=Cpt_Index,Tab_Compteur_4[[#This Row],[Index]]-E232,Tab_Compteur_4[[#This Row],[Quantité]])/Tab_Compteur_4[[#This Row],[Delta Jour]],""))</f>
        <v/>
      </c>
      <c r="H233" s="193" t="str">
        <f>IFERROR(Tab_Compteur_4[[#This Row],[Montant]]/Tab_Compteur_4[[#This Row],[Delta Jour]],"")</f>
        <v/>
      </c>
      <c r="I233" s="215" t="str">
        <f t="shared" si="10"/>
        <v/>
      </c>
      <c r="J233" s="216"/>
      <c r="K233" s="38"/>
      <c r="L233" s="38"/>
      <c r="M233" s="38"/>
    </row>
    <row r="234" spans="1:13">
      <c r="A234" s="3">
        <f t="shared" si="11"/>
        <v>1</v>
      </c>
      <c r="B234" s="88"/>
      <c r="C234" s="196"/>
      <c r="D234" s="195"/>
      <c r="E234" s="193"/>
      <c r="F234" s="193">
        <f t="shared" si="9"/>
        <v>0</v>
      </c>
      <c r="G234" s="193" t="str">
        <f>IF(IFERROR(IF(Str_TypeDonneesCpt4=Cpt_Index,Tab_Compteur_4[[#This Row],[Index]]-E233,Tab_Compteur_4[[#This Row],[Quantité]])/Tab_Compteur_4[[#This Row],[Delta Jour]],"")&lt;0,"",IFERROR(IF(Str_TypeDonneesCpt4=Cpt_Index,Tab_Compteur_4[[#This Row],[Index]]-E233,Tab_Compteur_4[[#This Row],[Quantité]])/Tab_Compteur_4[[#This Row],[Delta Jour]],""))</f>
        <v/>
      </c>
      <c r="H234" s="193" t="str">
        <f>IFERROR(Tab_Compteur_4[[#This Row],[Montant]]/Tab_Compteur_4[[#This Row],[Delta Jour]],"")</f>
        <v/>
      </c>
      <c r="I234" s="215" t="str">
        <f t="shared" si="10"/>
        <v/>
      </c>
      <c r="J234" s="216"/>
      <c r="K234" s="38"/>
      <c r="L234" s="38"/>
      <c r="M234" s="38"/>
    </row>
    <row r="235" spans="1:13">
      <c r="A235" s="3">
        <f t="shared" si="11"/>
        <v>1</v>
      </c>
      <c r="B235" s="88"/>
      <c r="C235" s="196"/>
      <c r="D235" s="195"/>
      <c r="E235" s="193"/>
      <c r="F235" s="193">
        <f t="shared" si="9"/>
        <v>0</v>
      </c>
      <c r="G235" s="193" t="str">
        <f>IF(IFERROR(IF(Str_TypeDonneesCpt4=Cpt_Index,Tab_Compteur_4[[#This Row],[Index]]-E234,Tab_Compteur_4[[#This Row],[Quantité]])/Tab_Compteur_4[[#This Row],[Delta Jour]],"")&lt;0,"",IFERROR(IF(Str_TypeDonneesCpt4=Cpt_Index,Tab_Compteur_4[[#This Row],[Index]]-E234,Tab_Compteur_4[[#This Row],[Quantité]])/Tab_Compteur_4[[#This Row],[Delta Jour]],""))</f>
        <v/>
      </c>
      <c r="H235" s="193" t="str">
        <f>IFERROR(Tab_Compteur_4[[#This Row],[Montant]]/Tab_Compteur_4[[#This Row],[Delta Jour]],"")</f>
        <v/>
      </c>
      <c r="I235" s="215" t="str">
        <f t="shared" si="10"/>
        <v/>
      </c>
      <c r="J235" s="216"/>
      <c r="K235" s="38"/>
      <c r="L235" s="38"/>
      <c r="M235" s="38"/>
    </row>
    <row r="236" spans="1:13">
      <c r="A236" s="3">
        <f t="shared" si="11"/>
        <v>1</v>
      </c>
      <c r="B236" s="88"/>
      <c r="C236" s="196"/>
      <c r="D236" s="195"/>
      <c r="E236" s="193"/>
      <c r="F236" s="193">
        <f t="shared" si="9"/>
        <v>0</v>
      </c>
      <c r="G236" s="193" t="str">
        <f>IF(IFERROR(IF(Str_TypeDonneesCpt4=Cpt_Index,Tab_Compteur_4[[#This Row],[Index]]-E235,Tab_Compteur_4[[#This Row],[Quantité]])/Tab_Compteur_4[[#This Row],[Delta Jour]],"")&lt;0,"",IFERROR(IF(Str_TypeDonneesCpt4=Cpt_Index,Tab_Compteur_4[[#This Row],[Index]]-E235,Tab_Compteur_4[[#This Row],[Quantité]])/Tab_Compteur_4[[#This Row],[Delta Jour]],""))</f>
        <v/>
      </c>
      <c r="H236" s="193" t="str">
        <f>IFERROR(Tab_Compteur_4[[#This Row],[Montant]]/Tab_Compteur_4[[#This Row],[Delta Jour]],"")</f>
        <v/>
      </c>
      <c r="I236" s="215" t="str">
        <f t="shared" si="10"/>
        <v/>
      </c>
      <c r="J236" s="216"/>
      <c r="K236" s="38"/>
      <c r="L236" s="38"/>
      <c r="M236" s="38"/>
    </row>
    <row r="237" spans="1:13">
      <c r="A237" s="3">
        <f t="shared" si="11"/>
        <v>1</v>
      </c>
      <c r="B237" s="88"/>
      <c r="C237" s="196"/>
      <c r="D237" s="195"/>
      <c r="E237" s="193"/>
      <c r="F237" s="193">
        <f t="shared" si="9"/>
        <v>0</v>
      </c>
      <c r="G237" s="193" t="str">
        <f>IF(IFERROR(IF(Str_TypeDonneesCpt4=Cpt_Index,Tab_Compteur_4[[#This Row],[Index]]-E236,Tab_Compteur_4[[#This Row],[Quantité]])/Tab_Compteur_4[[#This Row],[Delta Jour]],"")&lt;0,"",IFERROR(IF(Str_TypeDonneesCpt4=Cpt_Index,Tab_Compteur_4[[#This Row],[Index]]-E236,Tab_Compteur_4[[#This Row],[Quantité]])/Tab_Compteur_4[[#This Row],[Delta Jour]],""))</f>
        <v/>
      </c>
      <c r="H237" s="193" t="str">
        <f>IFERROR(Tab_Compteur_4[[#This Row],[Montant]]/Tab_Compteur_4[[#This Row],[Delta Jour]],"")</f>
        <v/>
      </c>
      <c r="I237" s="215" t="str">
        <f t="shared" si="10"/>
        <v/>
      </c>
      <c r="J237" s="216"/>
      <c r="K237" s="38"/>
      <c r="L237" s="38"/>
      <c r="M237" s="38"/>
    </row>
    <row r="238" spans="1:13">
      <c r="A238" s="3">
        <f t="shared" si="11"/>
        <v>1</v>
      </c>
      <c r="B238" s="88"/>
      <c r="C238" s="196"/>
      <c r="D238" s="195"/>
      <c r="E238" s="193"/>
      <c r="F238" s="193">
        <f t="shared" si="9"/>
        <v>0</v>
      </c>
      <c r="G238" s="193" t="str">
        <f>IF(IFERROR(IF(Str_TypeDonneesCpt4=Cpt_Index,Tab_Compteur_4[[#This Row],[Index]]-E237,Tab_Compteur_4[[#This Row],[Quantité]])/Tab_Compteur_4[[#This Row],[Delta Jour]],"")&lt;0,"",IFERROR(IF(Str_TypeDonneesCpt4=Cpt_Index,Tab_Compteur_4[[#This Row],[Index]]-E237,Tab_Compteur_4[[#This Row],[Quantité]])/Tab_Compteur_4[[#This Row],[Delta Jour]],""))</f>
        <v/>
      </c>
      <c r="H238" s="193" t="str">
        <f>IFERROR(Tab_Compteur_4[[#This Row],[Montant]]/Tab_Compteur_4[[#This Row],[Delta Jour]],"")</f>
        <v/>
      </c>
      <c r="I238" s="215" t="str">
        <f t="shared" si="10"/>
        <v/>
      </c>
      <c r="J238" s="216"/>
      <c r="K238" s="38"/>
      <c r="L238" s="38"/>
      <c r="M238" s="38"/>
    </row>
    <row r="239" spans="1:13">
      <c r="A239" s="3">
        <f t="shared" si="11"/>
        <v>1</v>
      </c>
      <c r="B239" s="88"/>
      <c r="C239" s="196"/>
      <c r="D239" s="195"/>
      <c r="E239" s="193"/>
      <c r="F239" s="193">
        <f t="shared" si="9"/>
        <v>0</v>
      </c>
      <c r="G239" s="193" t="str">
        <f>IF(IFERROR(IF(Str_TypeDonneesCpt4=Cpt_Index,Tab_Compteur_4[[#This Row],[Index]]-E238,Tab_Compteur_4[[#This Row],[Quantité]])/Tab_Compteur_4[[#This Row],[Delta Jour]],"")&lt;0,"",IFERROR(IF(Str_TypeDonneesCpt4=Cpt_Index,Tab_Compteur_4[[#This Row],[Index]]-E238,Tab_Compteur_4[[#This Row],[Quantité]])/Tab_Compteur_4[[#This Row],[Delta Jour]],""))</f>
        <v/>
      </c>
      <c r="H239" s="193" t="str">
        <f>IFERROR(Tab_Compteur_4[[#This Row],[Montant]]/Tab_Compteur_4[[#This Row],[Delta Jour]],"")</f>
        <v/>
      </c>
      <c r="I239" s="215" t="str">
        <f t="shared" si="10"/>
        <v/>
      </c>
      <c r="J239" s="216"/>
      <c r="K239" s="38"/>
      <c r="L239" s="38"/>
      <c r="M239" s="38"/>
    </row>
    <row r="240" spans="1:13">
      <c r="A240" s="3">
        <f t="shared" si="11"/>
        <v>1</v>
      </c>
      <c r="B240" s="88"/>
      <c r="C240" s="196"/>
      <c r="D240" s="195"/>
      <c r="E240" s="193"/>
      <c r="F240" s="193">
        <f t="shared" si="9"/>
        <v>0</v>
      </c>
      <c r="G240" s="193" t="str">
        <f>IF(IFERROR(IF(Str_TypeDonneesCpt4=Cpt_Index,Tab_Compteur_4[[#This Row],[Index]]-E239,Tab_Compteur_4[[#This Row],[Quantité]])/Tab_Compteur_4[[#This Row],[Delta Jour]],"")&lt;0,"",IFERROR(IF(Str_TypeDonneesCpt4=Cpt_Index,Tab_Compteur_4[[#This Row],[Index]]-E239,Tab_Compteur_4[[#This Row],[Quantité]])/Tab_Compteur_4[[#This Row],[Delta Jour]],""))</f>
        <v/>
      </c>
      <c r="H240" s="193" t="str">
        <f>IFERROR(Tab_Compteur_4[[#This Row],[Montant]]/Tab_Compteur_4[[#This Row],[Delta Jour]],"")</f>
        <v/>
      </c>
      <c r="I240" s="215" t="str">
        <f t="shared" si="10"/>
        <v/>
      </c>
      <c r="J240" s="216"/>
      <c r="K240" s="38"/>
      <c r="L240" s="38"/>
      <c r="M240" s="38"/>
    </row>
    <row r="241" spans="1:13">
      <c r="A241" s="3">
        <f t="shared" si="11"/>
        <v>1</v>
      </c>
      <c r="B241" s="88"/>
      <c r="C241" s="196"/>
      <c r="D241" s="195"/>
      <c r="E241" s="193"/>
      <c r="F241" s="193">
        <f t="shared" si="9"/>
        <v>0</v>
      </c>
      <c r="G241" s="193" t="str">
        <f>IF(IFERROR(IF(Str_TypeDonneesCpt4=Cpt_Index,Tab_Compteur_4[[#This Row],[Index]]-E240,Tab_Compteur_4[[#This Row],[Quantité]])/Tab_Compteur_4[[#This Row],[Delta Jour]],"")&lt;0,"",IFERROR(IF(Str_TypeDonneesCpt4=Cpt_Index,Tab_Compteur_4[[#This Row],[Index]]-E240,Tab_Compteur_4[[#This Row],[Quantité]])/Tab_Compteur_4[[#This Row],[Delta Jour]],""))</f>
        <v/>
      </c>
      <c r="H241" s="193" t="str">
        <f>IFERROR(Tab_Compteur_4[[#This Row],[Montant]]/Tab_Compteur_4[[#This Row],[Delta Jour]],"")</f>
        <v/>
      </c>
      <c r="I241" s="215" t="str">
        <f t="shared" si="10"/>
        <v/>
      </c>
      <c r="J241" s="216"/>
      <c r="K241" s="38"/>
      <c r="L241" s="38"/>
      <c r="M241" s="38"/>
    </row>
    <row r="242" spans="1:13">
      <c r="A242" s="3">
        <f t="shared" si="11"/>
        <v>1</v>
      </c>
      <c r="B242" s="88"/>
      <c r="C242" s="196"/>
      <c r="D242" s="195"/>
      <c r="E242" s="193"/>
      <c r="F242" s="193">
        <f t="shared" si="9"/>
        <v>0</v>
      </c>
      <c r="G242" s="193" t="str">
        <f>IF(IFERROR(IF(Str_TypeDonneesCpt4=Cpt_Index,Tab_Compteur_4[[#This Row],[Index]]-E241,Tab_Compteur_4[[#This Row],[Quantité]])/Tab_Compteur_4[[#This Row],[Delta Jour]],"")&lt;0,"",IFERROR(IF(Str_TypeDonneesCpt4=Cpt_Index,Tab_Compteur_4[[#This Row],[Index]]-E241,Tab_Compteur_4[[#This Row],[Quantité]])/Tab_Compteur_4[[#This Row],[Delta Jour]],""))</f>
        <v/>
      </c>
      <c r="H242" s="193" t="str">
        <f>IFERROR(Tab_Compteur_4[[#This Row],[Montant]]/Tab_Compteur_4[[#This Row],[Delta Jour]],"")</f>
        <v/>
      </c>
      <c r="I242" s="215" t="str">
        <f t="shared" si="10"/>
        <v/>
      </c>
      <c r="J242" s="216"/>
      <c r="K242" s="38"/>
      <c r="L242" s="38"/>
      <c r="M242" s="38"/>
    </row>
    <row r="243" spans="1:13">
      <c r="A243" s="3">
        <f t="shared" si="11"/>
        <v>1</v>
      </c>
      <c r="B243" s="88"/>
      <c r="C243" s="196"/>
      <c r="D243" s="195"/>
      <c r="E243" s="193"/>
      <c r="F243" s="193">
        <f t="shared" si="9"/>
        <v>0</v>
      </c>
      <c r="G243" s="193" t="str">
        <f>IF(IFERROR(IF(Str_TypeDonneesCpt4=Cpt_Index,Tab_Compteur_4[[#This Row],[Index]]-E242,Tab_Compteur_4[[#This Row],[Quantité]])/Tab_Compteur_4[[#This Row],[Delta Jour]],"")&lt;0,"",IFERROR(IF(Str_TypeDonneesCpt4=Cpt_Index,Tab_Compteur_4[[#This Row],[Index]]-E242,Tab_Compteur_4[[#This Row],[Quantité]])/Tab_Compteur_4[[#This Row],[Delta Jour]],""))</f>
        <v/>
      </c>
      <c r="H243" s="193" t="str">
        <f>IFERROR(Tab_Compteur_4[[#This Row],[Montant]]/Tab_Compteur_4[[#This Row],[Delta Jour]],"")</f>
        <v/>
      </c>
      <c r="I243" s="215" t="str">
        <f t="shared" si="10"/>
        <v/>
      </c>
      <c r="J243" s="216"/>
      <c r="K243" s="38"/>
      <c r="L243" s="38"/>
      <c r="M243" s="38"/>
    </row>
  </sheetData>
  <sheetProtection sheet="1" objects="1" scenarios="1"/>
  <protectedRanges>
    <protectedRange sqref="C6:D18 A4:D5 A6:B243" name="Données_compteur4_1"/>
    <protectedRange sqref="C19:D59" name="Donnée_compteur1"/>
    <protectedRange sqref="L2:M2 J34:M243 K5:M7 J8:M10 J2:J7 K3:M3 C60:D243 K244:N1048576" name="Données_compteur4"/>
    <protectedRange sqref="J11:M33" name="Données_compteur3_3_1"/>
    <protectedRange sqref="E2" name="Compteur_1_1"/>
    <protectedRange sqref="I2" name="Compteur_1_1_1"/>
    <protectedRange sqref="K4:M4" name="Compteur_1"/>
    <protectedRange sqref="L1 E1 I1" name="Compteur_1_2"/>
  </protectedRanges>
  <mergeCells count="2">
    <mergeCell ref="L2:M2"/>
    <mergeCell ref="K11:M33"/>
  </mergeCells>
  <conditionalFormatting sqref="B15:B243">
    <cfRule type="expression" dxfId="78" priority="3">
      <formula>$B15&lt;$A15</formula>
    </cfRule>
  </conditionalFormatting>
  <conditionalFormatting sqref="B5:B14">
    <cfRule type="expression" dxfId="77" priority="2">
      <formula>$B5&lt;$A5</formula>
    </cfRule>
  </conditionalFormatting>
  <conditionalFormatting sqref="B4">
    <cfRule type="expression" dxfId="76"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4"/>
  <dimension ref="A2:T242"/>
  <sheetViews>
    <sheetView workbookViewId="0"/>
  </sheetViews>
  <sheetFormatPr baseColWidth="10" defaultColWidth="11.453125" defaultRowHeight="14.5"/>
  <cols>
    <col min="1" max="1" width="11.453125" style="295"/>
    <col min="2" max="2" width="13.81640625" style="295" customWidth="1"/>
    <col min="3" max="3" width="16.1796875" style="295" customWidth="1"/>
    <col min="4" max="5" width="11.453125" style="295"/>
    <col min="6" max="6" width="20.1796875" style="295" bestFit="1" customWidth="1"/>
    <col min="7" max="7" width="22.26953125" style="295" bestFit="1" customWidth="1"/>
    <col min="8" max="8" width="7.26953125" style="295" bestFit="1" customWidth="1"/>
    <col min="9" max="10" width="4" style="295" bestFit="1" customWidth="1"/>
    <col min="11" max="11" width="3.81640625" style="295" bestFit="1" customWidth="1"/>
    <col min="12" max="13" width="4" style="295" bestFit="1" customWidth="1"/>
    <col min="14" max="14" width="3.81640625" style="295" bestFit="1" customWidth="1"/>
    <col min="15" max="15" width="4" style="295" bestFit="1" customWidth="1"/>
    <col min="16" max="16" width="3" style="295" bestFit="1" customWidth="1"/>
    <col min="17" max="17" width="10.1796875" style="295" bestFit="1" customWidth="1"/>
    <col min="18" max="18" width="8" style="295" bestFit="1" customWidth="1"/>
    <col min="19" max="19" width="7.81640625" style="295" bestFit="1" customWidth="1"/>
    <col min="20" max="20" width="11.7265625" style="295" bestFit="1" customWidth="1"/>
    <col min="21" max="16384" width="11.453125" style="295"/>
  </cols>
  <sheetData>
    <row r="2" spans="2:13">
      <c r="B2" s="295" t="s">
        <v>138</v>
      </c>
      <c r="C2" s="295" t="s">
        <v>139</v>
      </c>
      <c r="F2" s="295" t="s">
        <v>706</v>
      </c>
      <c r="G2" s="295" t="s">
        <v>707</v>
      </c>
      <c r="H2" s="295" t="s">
        <v>708</v>
      </c>
      <c r="I2" s="295" t="s">
        <v>709</v>
      </c>
      <c r="J2" s="295" t="s">
        <v>710</v>
      </c>
      <c r="K2" s="295" t="s">
        <v>711</v>
      </c>
      <c r="L2" s="295" t="s">
        <v>712</v>
      </c>
      <c r="M2" s="295" t="s">
        <v>713</v>
      </c>
    </row>
    <row r="3" spans="2:13">
      <c r="B3" s="91" t="s">
        <v>147</v>
      </c>
      <c r="C3" s="92" t="s">
        <v>148</v>
      </c>
      <c r="F3" s="295" t="s">
        <v>707</v>
      </c>
      <c r="G3" s="32" t="s">
        <v>591</v>
      </c>
      <c r="H3" s="32" t="s">
        <v>631</v>
      </c>
      <c r="I3" s="295" t="s">
        <v>648</v>
      </c>
      <c r="J3" s="295" t="s">
        <v>654</v>
      </c>
      <c r="K3" s="295" t="s">
        <v>661</v>
      </c>
      <c r="L3" s="295" t="s">
        <v>667</v>
      </c>
      <c r="M3" s="295" t="s">
        <v>656</v>
      </c>
    </row>
    <row r="4" spans="2:13" ht="26">
      <c r="B4" s="91" t="s">
        <v>164</v>
      </c>
      <c r="C4" s="92" t="s">
        <v>165</v>
      </c>
      <c r="F4" s="295" t="s">
        <v>708</v>
      </c>
      <c r="G4" s="32" t="s">
        <v>595</v>
      </c>
      <c r="H4" s="32" t="s">
        <v>630</v>
      </c>
      <c r="I4" s="295" t="s">
        <v>652</v>
      </c>
      <c r="J4" s="295" t="s">
        <v>655</v>
      </c>
      <c r="K4" s="295" t="s">
        <v>662</v>
      </c>
      <c r="L4" s="295" t="s">
        <v>670</v>
      </c>
      <c r="M4" s="295" t="s">
        <v>660</v>
      </c>
    </row>
    <row r="5" spans="2:13" ht="26">
      <c r="B5" s="91" t="s">
        <v>176</v>
      </c>
      <c r="C5" s="92" t="s">
        <v>177</v>
      </c>
      <c r="F5" s="295" t="s">
        <v>709</v>
      </c>
      <c r="G5" s="32" t="s">
        <v>597</v>
      </c>
      <c r="H5" s="32" t="s">
        <v>628</v>
      </c>
      <c r="K5" s="295" t="s">
        <v>663</v>
      </c>
      <c r="L5" s="295" t="s">
        <v>671</v>
      </c>
    </row>
    <row r="6" spans="2:13" ht="26">
      <c r="B6" s="91" t="s">
        <v>182</v>
      </c>
      <c r="C6" s="92" t="s">
        <v>183</v>
      </c>
      <c r="F6" s="295" t="s">
        <v>710</v>
      </c>
      <c r="G6" s="32" t="s">
        <v>617</v>
      </c>
      <c r="H6" s="32" t="s">
        <v>632</v>
      </c>
      <c r="K6" s="295" t="s">
        <v>665</v>
      </c>
      <c r="L6" s="295" t="s">
        <v>672</v>
      </c>
    </row>
    <row r="7" spans="2:13">
      <c r="B7" s="91" t="s">
        <v>187</v>
      </c>
      <c r="C7" s="92" t="s">
        <v>188</v>
      </c>
      <c r="F7" s="295" t="s">
        <v>711</v>
      </c>
      <c r="G7" s="32" t="s">
        <v>598</v>
      </c>
      <c r="H7" s="32" t="s">
        <v>633</v>
      </c>
      <c r="L7" s="295" t="s">
        <v>673</v>
      </c>
    </row>
    <row r="8" spans="2:13">
      <c r="B8" s="91" t="s">
        <v>192</v>
      </c>
      <c r="F8" s="295" t="s">
        <v>712</v>
      </c>
      <c r="G8" s="32" t="s">
        <v>601</v>
      </c>
      <c r="H8" s="32" t="s">
        <v>619</v>
      </c>
      <c r="L8" s="295" t="s">
        <v>674</v>
      </c>
    </row>
    <row r="9" spans="2:13">
      <c r="B9" s="91" t="s">
        <v>195</v>
      </c>
      <c r="F9" s="295" t="s">
        <v>713</v>
      </c>
      <c r="G9" s="32" t="s">
        <v>602</v>
      </c>
      <c r="H9" s="32" t="s">
        <v>622</v>
      </c>
      <c r="L9" s="295" t="s">
        <v>675</v>
      </c>
    </row>
    <row r="10" spans="2:13">
      <c r="B10" s="91" t="s">
        <v>197</v>
      </c>
      <c r="G10" s="32" t="s">
        <v>618</v>
      </c>
      <c r="H10" s="32" t="s">
        <v>634</v>
      </c>
      <c r="L10" s="295" t="s">
        <v>676</v>
      </c>
    </row>
    <row r="11" spans="2:13">
      <c r="B11" s="91" t="s">
        <v>699</v>
      </c>
      <c r="G11" s="32" t="s">
        <v>605</v>
      </c>
      <c r="H11" s="32" t="s">
        <v>625</v>
      </c>
      <c r="L11" s="295" t="s">
        <v>693</v>
      </c>
    </row>
    <row r="12" spans="2:13">
      <c r="B12" s="91" t="s">
        <v>697</v>
      </c>
      <c r="G12" s="32" t="s">
        <v>608</v>
      </c>
      <c r="H12" s="390" t="s">
        <v>677</v>
      </c>
      <c r="L12" s="295" t="s">
        <v>694</v>
      </c>
    </row>
    <row r="13" spans="2:13">
      <c r="B13" s="91" t="s">
        <v>698</v>
      </c>
      <c r="H13" s="32" t="s">
        <v>637</v>
      </c>
    </row>
    <row r="14" spans="2:13">
      <c r="B14" s="91" t="s">
        <v>701</v>
      </c>
      <c r="H14" s="295" t="s">
        <v>641</v>
      </c>
    </row>
    <row r="15" spans="2:13">
      <c r="B15" s="91" t="s">
        <v>700</v>
      </c>
      <c r="G15" s="32"/>
      <c r="H15" s="295" t="s">
        <v>647</v>
      </c>
    </row>
    <row r="16" spans="2:13">
      <c r="H16" s="295" t="s">
        <v>644</v>
      </c>
    </row>
    <row r="17" spans="1:20">
      <c r="H17" s="295" t="s">
        <v>679</v>
      </c>
    </row>
    <row r="18" spans="1:20">
      <c r="H18" s="295" t="s">
        <v>688</v>
      </c>
    </row>
    <row r="19" spans="1:20">
      <c r="H19" s="295" t="s">
        <v>689</v>
      </c>
    </row>
    <row r="20" spans="1:20">
      <c r="C20" s="526" t="s">
        <v>714</v>
      </c>
      <c r="D20" s="526"/>
      <c r="E20" s="526"/>
      <c r="F20" s="526"/>
      <c r="H20" s="295" t="s">
        <v>692</v>
      </c>
    </row>
    <row r="21" spans="1:20">
      <c r="C21" s="526"/>
      <c r="D21" s="526"/>
      <c r="E21" s="526"/>
      <c r="F21" s="526"/>
    </row>
    <row r="22" spans="1:20">
      <c r="C22" s="526"/>
      <c r="D22" s="526"/>
      <c r="E22" s="526"/>
      <c r="F22" s="526"/>
    </row>
    <row r="23" spans="1:20">
      <c r="C23" s="526"/>
      <c r="D23" s="526"/>
      <c r="E23" s="526"/>
      <c r="F23" s="526"/>
    </row>
    <row r="24" spans="1:20">
      <c r="C24" s="526"/>
      <c r="D24" s="526"/>
      <c r="E24" s="526"/>
      <c r="F24" s="526"/>
    </row>
    <row r="25" spans="1:20">
      <c r="C25" s="526"/>
      <c r="D25" s="526"/>
      <c r="E25" s="526"/>
      <c r="F25" s="526"/>
    </row>
    <row r="27" spans="1:20">
      <c r="A27" s="409" t="s">
        <v>719</v>
      </c>
      <c r="B27" s="409" t="s">
        <v>720</v>
      </c>
      <c r="C27" s="409" t="s">
        <v>138</v>
      </c>
      <c r="D27" s="409" t="s">
        <v>829</v>
      </c>
      <c r="F27" s="180" t="s">
        <v>64</v>
      </c>
      <c r="G27"/>
      <c r="H27"/>
      <c r="I27"/>
      <c r="J27"/>
      <c r="K27"/>
      <c r="L27"/>
      <c r="M27"/>
      <c r="N27"/>
      <c r="O27"/>
      <c r="P27"/>
      <c r="Q27"/>
      <c r="R27"/>
      <c r="S27"/>
      <c r="T27"/>
    </row>
    <row r="28" spans="1:20">
      <c r="A28" s="410">
        <v>1</v>
      </c>
      <c r="B28" s="410" t="s">
        <v>721</v>
      </c>
      <c r="C28" s="410" t="s">
        <v>176</v>
      </c>
      <c r="D28" s="295" t="s">
        <v>816</v>
      </c>
      <c r="F28" s="89" t="s">
        <v>826</v>
      </c>
      <c r="G28"/>
      <c r="H28"/>
      <c r="I28"/>
      <c r="J28"/>
      <c r="K28"/>
      <c r="L28"/>
      <c r="M28"/>
      <c r="N28"/>
      <c r="O28"/>
      <c r="P28"/>
      <c r="Q28"/>
      <c r="R28"/>
      <c r="S28"/>
      <c r="T28"/>
    </row>
    <row r="29" spans="1:20">
      <c r="A29" s="410">
        <v>2</v>
      </c>
      <c r="B29" s="410" t="s">
        <v>722</v>
      </c>
      <c r="C29" s="410" t="s">
        <v>147</v>
      </c>
      <c r="D29" s="295" t="s">
        <v>817</v>
      </c>
      <c r="F29" s="181" t="s">
        <v>792</v>
      </c>
      <c r="G29"/>
      <c r="H29"/>
      <c r="I29"/>
      <c r="J29"/>
      <c r="K29"/>
      <c r="L29"/>
      <c r="M29"/>
      <c r="N29"/>
      <c r="O29"/>
      <c r="P29"/>
      <c r="Q29"/>
      <c r="R29"/>
      <c r="S29"/>
      <c r="T29"/>
    </row>
    <row r="30" spans="1:20">
      <c r="A30" s="410">
        <v>3</v>
      </c>
      <c r="B30" s="410" t="s">
        <v>723</v>
      </c>
      <c r="C30" s="410" t="s">
        <v>176</v>
      </c>
      <c r="D30" s="295" t="s">
        <v>816</v>
      </c>
      <c r="F30" s="412" t="s">
        <v>187</v>
      </c>
      <c r="G30"/>
      <c r="H30"/>
      <c r="I30"/>
      <c r="J30"/>
      <c r="K30"/>
      <c r="L30"/>
      <c r="M30"/>
      <c r="N30"/>
      <c r="O30"/>
      <c r="P30"/>
      <c r="Q30"/>
      <c r="R30"/>
      <c r="S30"/>
      <c r="T30"/>
    </row>
    <row r="31" spans="1:20" ht="29">
      <c r="A31" s="410">
        <v>4</v>
      </c>
      <c r="B31" s="410" t="s">
        <v>724</v>
      </c>
      <c r="C31" s="410" t="s">
        <v>195</v>
      </c>
      <c r="D31" s="295" t="s">
        <v>818</v>
      </c>
      <c r="F31"/>
      <c r="G31"/>
      <c r="H31"/>
      <c r="I31"/>
      <c r="J31"/>
      <c r="K31"/>
      <c r="L31"/>
      <c r="M31"/>
      <c r="N31"/>
      <c r="O31"/>
      <c r="P31"/>
      <c r="Q31"/>
      <c r="R31"/>
      <c r="S31"/>
      <c r="T31"/>
    </row>
    <row r="32" spans="1:20">
      <c r="A32" s="410">
        <v>5</v>
      </c>
      <c r="B32" s="410" t="s">
        <v>725</v>
      </c>
      <c r="C32" s="410" t="s">
        <v>176</v>
      </c>
      <c r="D32" s="295" t="s">
        <v>818</v>
      </c>
      <c r="F32"/>
      <c r="G32"/>
      <c r="H32"/>
      <c r="I32"/>
      <c r="J32"/>
      <c r="K32"/>
      <c r="L32"/>
      <c r="M32"/>
      <c r="N32"/>
      <c r="O32"/>
      <c r="P32"/>
      <c r="Q32"/>
      <c r="R32"/>
      <c r="S32"/>
      <c r="T32"/>
    </row>
    <row r="33" spans="1:20" ht="29">
      <c r="A33" s="410">
        <v>6</v>
      </c>
      <c r="B33" s="410" t="s">
        <v>726</v>
      </c>
      <c r="C33" s="410" t="s">
        <v>197</v>
      </c>
      <c r="D33" s="295" t="s">
        <v>818</v>
      </c>
      <c r="F33"/>
      <c r="G33"/>
      <c r="H33"/>
      <c r="I33"/>
      <c r="J33"/>
      <c r="K33"/>
      <c r="L33"/>
      <c r="M33"/>
      <c r="N33"/>
      <c r="O33"/>
      <c r="P33"/>
      <c r="Q33"/>
      <c r="R33"/>
      <c r="S33"/>
      <c r="T33"/>
    </row>
    <row r="34" spans="1:20">
      <c r="A34" s="410">
        <v>7</v>
      </c>
      <c r="B34" s="410" t="s">
        <v>727</v>
      </c>
      <c r="C34" s="410" t="s">
        <v>195</v>
      </c>
      <c r="D34" s="295" t="s">
        <v>816</v>
      </c>
      <c r="F34"/>
      <c r="G34"/>
      <c r="H34"/>
      <c r="I34"/>
      <c r="J34"/>
      <c r="K34"/>
      <c r="L34"/>
      <c r="M34"/>
      <c r="N34"/>
      <c r="O34"/>
      <c r="P34"/>
      <c r="Q34"/>
      <c r="R34"/>
      <c r="S34"/>
      <c r="T34"/>
    </row>
    <row r="35" spans="1:20">
      <c r="A35" s="410">
        <v>8</v>
      </c>
      <c r="B35" s="410" t="s">
        <v>728</v>
      </c>
      <c r="C35" s="410" t="s">
        <v>164</v>
      </c>
      <c r="D35" s="295" t="s">
        <v>819</v>
      </c>
      <c r="F35"/>
      <c r="G35"/>
      <c r="H35"/>
      <c r="I35"/>
      <c r="J35"/>
      <c r="K35"/>
      <c r="L35"/>
      <c r="M35"/>
      <c r="N35"/>
      <c r="O35"/>
      <c r="P35"/>
      <c r="Q35"/>
      <c r="R35"/>
      <c r="S35"/>
      <c r="T35"/>
    </row>
    <row r="36" spans="1:20">
      <c r="A36" s="410">
        <v>9</v>
      </c>
      <c r="B36" s="410" t="s">
        <v>729</v>
      </c>
      <c r="C36" s="410" t="s">
        <v>192</v>
      </c>
      <c r="D36" s="295" t="s">
        <v>820</v>
      </c>
      <c r="F36"/>
      <c r="G36"/>
      <c r="H36"/>
      <c r="I36"/>
      <c r="J36"/>
      <c r="K36"/>
      <c r="L36"/>
      <c r="M36"/>
      <c r="N36"/>
      <c r="O36"/>
      <c r="P36"/>
      <c r="Q36"/>
      <c r="R36"/>
      <c r="S36"/>
      <c r="T36"/>
    </row>
    <row r="37" spans="1:20">
      <c r="A37" s="410">
        <v>10</v>
      </c>
      <c r="B37" s="410" t="s">
        <v>730</v>
      </c>
      <c r="C37" s="410" t="s">
        <v>164</v>
      </c>
      <c r="D37" s="295" t="s">
        <v>819</v>
      </c>
      <c r="F37"/>
      <c r="G37"/>
      <c r="H37"/>
      <c r="I37"/>
      <c r="J37"/>
      <c r="K37"/>
      <c r="L37"/>
      <c r="M37"/>
      <c r="N37"/>
      <c r="O37"/>
      <c r="P37"/>
      <c r="Q37"/>
      <c r="R37"/>
      <c r="S37"/>
      <c r="T37"/>
    </row>
    <row r="38" spans="1:20">
      <c r="A38" s="410">
        <v>11</v>
      </c>
      <c r="B38" s="410" t="s">
        <v>731</v>
      </c>
      <c r="C38" s="410" t="s">
        <v>197</v>
      </c>
      <c r="D38" s="295" t="s">
        <v>820</v>
      </c>
      <c r="F38"/>
      <c r="G38"/>
      <c r="H38"/>
      <c r="I38"/>
      <c r="J38"/>
      <c r="K38"/>
      <c r="L38"/>
      <c r="M38"/>
      <c r="N38"/>
      <c r="O38"/>
      <c r="P38"/>
      <c r="Q38"/>
      <c r="R38"/>
      <c r="S38"/>
      <c r="T38"/>
    </row>
    <row r="39" spans="1:20">
      <c r="A39" s="410">
        <v>12</v>
      </c>
      <c r="B39" s="410" t="s">
        <v>732</v>
      </c>
      <c r="C39" s="410" t="s">
        <v>192</v>
      </c>
      <c r="D39" s="295" t="s">
        <v>820</v>
      </c>
      <c r="F39"/>
      <c r="G39"/>
      <c r="H39"/>
      <c r="I39"/>
      <c r="J39"/>
      <c r="K39"/>
      <c r="L39"/>
      <c r="M39"/>
      <c r="N39"/>
      <c r="O39"/>
      <c r="P39"/>
      <c r="Q39"/>
      <c r="R39"/>
      <c r="S39"/>
      <c r="T39"/>
    </row>
    <row r="40" spans="1:20" ht="29">
      <c r="A40" s="410">
        <v>13</v>
      </c>
      <c r="B40" s="410" t="s">
        <v>733</v>
      </c>
      <c r="C40" s="410" t="s">
        <v>197</v>
      </c>
      <c r="D40" s="295" t="s">
        <v>818</v>
      </c>
      <c r="F40"/>
      <c r="G40"/>
      <c r="H40"/>
      <c r="I40"/>
      <c r="J40"/>
      <c r="K40"/>
      <c r="L40"/>
      <c r="M40"/>
      <c r="N40"/>
      <c r="O40"/>
      <c r="P40"/>
      <c r="Q40"/>
      <c r="R40"/>
      <c r="S40"/>
      <c r="T40"/>
    </row>
    <row r="41" spans="1:20">
      <c r="A41" s="410">
        <v>14</v>
      </c>
      <c r="B41" s="410" t="s">
        <v>734</v>
      </c>
      <c r="C41" s="410" t="s">
        <v>147</v>
      </c>
      <c r="D41" s="295" t="s">
        <v>821</v>
      </c>
      <c r="F41"/>
      <c r="G41"/>
      <c r="H41"/>
      <c r="I41"/>
      <c r="J41"/>
      <c r="K41"/>
      <c r="L41"/>
      <c r="M41"/>
      <c r="N41"/>
      <c r="O41"/>
      <c r="P41"/>
      <c r="Q41"/>
      <c r="R41"/>
      <c r="S41"/>
      <c r="T41"/>
    </row>
    <row r="42" spans="1:20">
      <c r="A42" s="410">
        <v>15</v>
      </c>
      <c r="B42" s="410" t="s">
        <v>735</v>
      </c>
      <c r="C42" s="410" t="s">
        <v>176</v>
      </c>
      <c r="D42" s="295" t="s">
        <v>816</v>
      </c>
      <c r="F42"/>
      <c r="G42"/>
      <c r="H42"/>
      <c r="I42"/>
      <c r="J42"/>
      <c r="K42"/>
      <c r="L42"/>
      <c r="M42"/>
      <c r="N42"/>
      <c r="O42"/>
      <c r="P42"/>
      <c r="Q42"/>
      <c r="R42"/>
      <c r="S42"/>
      <c r="T42"/>
    </row>
    <row r="43" spans="1:20">
      <c r="A43" s="410">
        <v>16</v>
      </c>
      <c r="B43" s="410" t="s">
        <v>736</v>
      </c>
      <c r="C43" s="410" t="s">
        <v>187</v>
      </c>
      <c r="D43" s="295" t="s">
        <v>822</v>
      </c>
      <c r="F43"/>
      <c r="G43"/>
      <c r="H43"/>
      <c r="I43"/>
      <c r="J43"/>
      <c r="K43"/>
      <c r="L43"/>
      <c r="M43"/>
      <c r="N43"/>
      <c r="O43"/>
      <c r="P43"/>
      <c r="Q43"/>
      <c r="R43"/>
      <c r="S43"/>
      <c r="T43"/>
    </row>
    <row r="44" spans="1:20" ht="29">
      <c r="A44" s="410">
        <v>17</v>
      </c>
      <c r="B44" s="410" t="s">
        <v>737</v>
      </c>
      <c r="C44" s="410" t="s">
        <v>187</v>
      </c>
      <c r="D44" s="295" t="s">
        <v>822</v>
      </c>
      <c r="F44"/>
      <c r="G44"/>
      <c r="H44"/>
      <c r="I44"/>
      <c r="J44"/>
      <c r="K44"/>
      <c r="L44"/>
      <c r="M44"/>
      <c r="N44"/>
      <c r="O44"/>
      <c r="P44"/>
      <c r="Q44"/>
      <c r="R44"/>
      <c r="S44"/>
      <c r="T44"/>
    </row>
    <row r="45" spans="1:20">
      <c r="A45" s="410">
        <v>18</v>
      </c>
      <c r="B45" s="410" t="s">
        <v>738</v>
      </c>
      <c r="C45" s="410" t="s">
        <v>187</v>
      </c>
      <c r="D45" s="295" t="s">
        <v>823</v>
      </c>
      <c r="F45"/>
      <c r="G45"/>
      <c r="H45"/>
      <c r="I45"/>
      <c r="J45"/>
      <c r="K45"/>
      <c r="L45"/>
      <c r="M45"/>
      <c r="N45"/>
      <c r="O45"/>
      <c r="P45"/>
      <c r="Q45"/>
      <c r="R45"/>
      <c r="S45"/>
      <c r="T45"/>
    </row>
    <row r="46" spans="1:20">
      <c r="A46" s="410">
        <v>19</v>
      </c>
      <c r="B46" s="410" t="s">
        <v>739</v>
      </c>
      <c r="C46" s="410" t="s">
        <v>176</v>
      </c>
      <c r="D46" s="295" t="s">
        <v>822</v>
      </c>
      <c r="F46"/>
      <c r="G46"/>
      <c r="H46"/>
      <c r="I46"/>
      <c r="J46"/>
      <c r="K46"/>
      <c r="L46"/>
      <c r="M46"/>
      <c r="N46"/>
      <c r="O46"/>
      <c r="P46"/>
      <c r="Q46"/>
      <c r="R46"/>
      <c r="S46"/>
      <c r="T46"/>
    </row>
    <row r="47" spans="1:20" ht="29">
      <c r="A47" s="410">
        <v>20</v>
      </c>
      <c r="B47" s="410" t="s">
        <v>740</v>
      </c>
      <c r="C47" s="410" t="s">
        <v>197</v>
      </c>
      <c r="D47" s="295" t="s">
        <v>828</v>
      </c>
      <c r="F47"/>
      <c r="G47"/>
      <c r="H47"/>
      <c r="I47"/>
      <c r="J47"/>
      <c r="K47"/>
      <c r="L47"/>
      <c r="M47"/>
      <c r="N47"/>
      <c r="O47"/>
      <c r="P47"/>
      <c r="Q47"/>
      <c r="R47"/>
      <c r="S47"/>
      <c r="T47"/>
    </row>
    <row r="48" spans="1:20">
      <c r="A48" s="410">
        <v>21</v>
      </c>
      <c r="B48" s="410" t="s">
        <v>741</v>
      </c>
      <c r="C48" s="410" t="s">
        <v>176</v>
      </c>
      <c r="D48" s="407" t="s">
        <v>824</v>
      </c>
      <c r="F48"/>
      <c r="G48"/>
      <c r="H48"/>
      <c r="I48"/>
      <c r="J48"/>
      <c r="K48"/>
      <c r="L48"/>
      <c r="M48"/>
      <c r="N48"/>
      <c r="O48"/>
      <c r="P48"/>
      <c r="Q48"/>
      <c r="R48"/>
      <c r="S48"/>
      <c r="T48"/>
    </row>
    <row r="49" spans="1:20">
      <c r="A49" s="410">
        <v>22</v>
      </c>
      <c r="B49" s="410" t="s">
        <v>742</v>
      </c>
      <c r="C49" s="410" t="s">
        <v>182</v>
      </c>
      <c r="D49" s="407" t="s">
        <v>825</v>
      </c>
      <c r="F49"/>
      <c r="G49"/>
      <c r="H49"/>
      <c r="I49"/>
      <c r="J49"/>
      <c r="K49"/>
      <c r="L49"/>
      <c r="M49"/>
      <c r="N49"/>
      <c r="O49"/>
      <c r="P49"/>
      <c r="Q49"/>
      <c r="R49"/>
      <c r="S49"/>
      <c r="T49"/>
    </row>
    <row r="50" spans="1:20">
      <c r="A50" s="410">
        <v>23</v>
      </c>
      <c r="B50" s="410" t="s">
        <v>743</v>
      </c>
      <c r="C50" s="410" t="s">
        <v>176</v>
      </c>
      <c r="D50" s="295" t="s">
        <v>822</v>
      </c>
      <c r="F50"/>
      <c r="G50"/>
      <c r="H50"/>
      <c r="I50"/>
      <c r="J50"/>
      <c r="K50"/>
      <c r="L50"/>
      <c r="M50"/>
      <c r="N50"/>
      <c r="O50"/>
      <c r="P50"/>
      <c r="Q50"/>
      <c r="R50"/>
      <c r="S50"/>
      <c r="T50"/>
    </row>
    <row r="51" spans="1:20">
      <c r="A51" s="410">
        <v>24</v>
      </c>
      <c r="B51" s="410" t="s">
        <v>744</v>
      </c>
      <c r="C51" s="410" t="s">
        <v>192</v>
      </c>
      <c r="D51" s="295" t="s">
        <v>822</v>
      </c>
      <c r="F51"/>
      <c r="G51"/>
      <c r="H51"/>
      <c r="I51"/>
      <c r="J51"/>
      <c r="K51"/>
      <c r="L51"/>
      <c r="M51"/>
      <c r="N51"/>
      <c r="O51"/>
      <c r="P51"/>
      <c r="Q51"/>
      <c r="R51"/>
      <c r="S51"/>
      <c r="T51"/>
    </row>
    <row r="52" spans="1:20">
      <c r="A52" s="410">
        <v>25</v>
      </c>
      <c r="B52" s="410" t="s">
        <v>745</v>
      </c>
      <c r="C52" s="410" t="s">
        <v>176</v>
      </c>
      <c r="D52" s="295" t="s">
        <v>824</v>
      </c>
      <c r="F52"/>
      <c r="G52"/>
      <c r="H52"/>
      <c r="I52"/>
      <c r="J52"/>
      <c r="K52"/>
      <c r="L52"/>
      <c r="M52"/>
      <c r="N52"/>
      <c r="O52"/>
      <c r="P52"/>
      <c r="Q52"/>
      <c r="R52"/>
      <c r="S52"/>
      <c r="T52"/>
    </row>
    <row r="53" spans="1:20">
      <c r="A53" s="410">
        <v>26</v>
      </c>
      <c r="B53" s="410" t="s">
        <v>746</v>
      </c>
      <c r="C53" s="410" t="s">
        <v>195</v>
      </c>
      <c r="D53" s="295" t="s">
        <v>816</v>
      </c>
      <c r="F53"/>
      <c r="G53"/>
      <c r="H53"/>
      <c r="I53"/>
      <c r="J53"/>
      <c r="K53"/>
      <c r="L53"/>
      <c r="M53"/>
      <c r="N53"/>
      <c r="O53"/>
      <c r="P53"/>
      <c r="Q53"/>
      <c r="R53"/>
      <c r="S53"/>
      <c r="T53"/>
    </row>
    <row r="54" spans="1:20">
      <c r="A54" s="410">
        <v>27</v>
      </c>
      <c r="B54" s="410" t="s">
        <v>747</v>
      </c>
      <c r="C54" s="410" t="s">
        <v>147</v>
      </c>
      <c r="D54" s="295" t="s">
        <v>821</v>
      </c>
      <c r="F54"/>
      <c r="G54"/>
      <c r="H54"/>
      <c r="I54"/>
      <c r="J54"/>
      <c r="K54"/>
      <c r="L54"/>
      <c r="M54"/>
      <c r="N54"/>
      <c r="O54"/>
      <c r="P54"/>
      <c r="Q54"/>
      <c r="R54"/>
      <c r="S54"/>
      <c r="T54"/>
    </row>
    <row r="55" spans="1:20">
      <c r="A55" s="410">
        <v>28</v>
      </c>
      <c r="B55" s="410" t="s">
        <v>748</v>
      </c>
      <c r="C55" s="410" t="s">
        <v>147</v>
      </c>
      <c r="D55" s="295" t="s">
        <v>823</v>
      </c>
      <c r="F55"/>
      <c r="G55"/>
      <c r="H55"/>
      <c r="I55"/>
      <c r="J55"/>
      <c r="K55"/>
      <c r="L55"/>
      <c r="M55"/>
      <c r="N55"/>
      <c r="O55"/>
      <c r="P55"/>
      <c r="Q55"/>
      <c r="R55"/>
      <c r="S55"/>
      <c r="T55"/>
    </row>
    <row r="56" spans="1:20">
      <c r="A56" s="410">
        <v>29</v>
      </c>
      <c r="B56" s="410" t="s">
        <v>749</v>
      </c>
      <c r="C56" s="410" t="s">
        <v>182</v>
      </c>
      <c r="D56" s="295" t="s">
        <v>825</v>
      </c>
      <c r="F56"/>
      <c r="G56"/>
      <c r="H56"/>
      <c r="I56"/>
      <c r="J56"/>
      <c r="K56"/>
      <c r="L56"/>
      <c r="M56"/>
      <c r="N56"/>
      <c r="O56"/>
      <c r="P56"/>
      <c r="Q56"/>
      <c r="R56"/>
      <c r="S56"/>
      <c r="T56"/>
    </row>
    <row r="57" spans="1:20">
      <c r="A57" s="410">
        <v>30</v>
      </c>
      <c r="B57" s="410" t="s">
        <v>750</v>
      </c>
      <c r="C57" s="410" t="s">
        <v>197</v>
      </c>
      <c r="D57" s="295" t="s">
        <v>820</v>
      </c>
      <c r="F57"/>
      <c r="G57"/>
      <c r="H57"/>
      <c r="I57"/>
      <c r="J57"/>
      <c r="K57"/>
      <c r="L57"/>
      <c r="M57"/>
      <c r="N57"/>
      <c r="O57"/>
      <c r="P57"/>
      <c r="Q57"/>
      <c r="R57"/>
      <c r="S57"/>
      <c r="T57"/>
    </row>
    <row r="58" spans="1:20">
      <c r="A58" s="410">
        <v>31</v>
      </c>
      <c r="B58" s="410" t="s">
        <v>751</v>
      </c>
      <c r="C58" s="410" t="s">
        <v>192</v>
      </c>
      <c r="D58" s="295" t="s">
        <v>820</v>
      </c>
      <c r="F58"/>
      <c r="G58"/>
      <c r="H58"/>
      <c r="I58"/>
      <c r="J58"/>
      <c r="K58"/>
      <c r="L58"/>
      <c r="M58"/>
      <c r="N58"/>
      <c r="O58"/>
      <c r="P58"/>
      <c r="Q58"/>
      <c r="R58"/>
      <c r="S58"/>
      <c r="T58"/>
    </row>
    <row r="59" spans="1:20">
      <c r="A59" s="410">
        <v>32</v>
      </c>
      <c r="B59" s="410" t="s">
        <v>752</v>
      </c>
      <c r="C59" s="410" t="s">
        <v>192</v>
      </c>
      <c r="D59" s="295" t="s">
        <v>820</v>
      </c>
      <c r="F59"/>
      <c r="G59"/>
      <c r="H59"/>
      <c r="I59"/>
      <c r="J59"/>
      <c r="K59"/>
      <c r="L59"/>
      <c r="M59"/>
      <c r="N59"/>
      <c r="O59"/>
      <c r="P59"/>
      <c r="Q59"/>
      <c r="R59"/>
      <c r="S59"/>
      <c r="T59"/>
    </row>
    <row r="60" spans="1:20">
      <c r="A60" s="410">
        <v>33</v>
      </c>
      <c r="B60" s="410" t="s">
        <v>753</v>
      </c>
      <c r="C60" s="410" t="s">
        <v>192</v>
      </c>
      <c r="D60" s="295" t="s">
        <v>822</v>
      </c>
      <c r="F60"/>
      <c r="G60"/>
      <c r="H60"/>
      <c r="I60"/>
      <c r="J60"/>
      <c r="K60"/>
      <c r="L60"/>
      <c r="M60"/>
      <c r="N60"/>
      <c r="O60"/>
      <c r="P60"/>
      <c r="Q60"/>
      <c r="R60"/>
      <c r="S60"/>
      <c r="T60"/>
    </row>
    <row r="61" spans="1:20">
      <c r="A61" s="410">
        <v>34</v>
      </c>
      <c r="B61" s="410" t="s">
        <v>754</v>
      </c>
      <c r="C61" s="410" t="s">
        <v>197</v>
      </c>
      <c r="D61" s="295" t="s">
        <v>820</v>
      </c>
      <c r="F61"/>
      <c r="G61"/>
      <c r="H61"/>
      <c r="I61"/>
      <c r="J61"/>
      <c r="K61"/>
      <c r="L61"/>
      <c r="M61"/>
      <c r="N61"/>
      <c r="O61"/>
      <c r="P61"/>
      <c r="Q61"/>
      <c r="R61"/>
      <c r="S61"/>
      <c r="T61"/>
    </row>
    <row r="62" spans="1:20">
      <c r="A62" s="410">
        <v>35</v>
      </c>
      <c r="B62" s="410" t="s">
        <v>755</v>
      </c>
      <c r="C62" s="410" t="s">
        <v>182</v>
      </c>
      <c r="D62" s="295" t="s">
        <v>825</v>
      </c>
      <c r="F62"/>
      <c r="G62"/>
      <c r="H62"/>
      <c r="I62"/>
      <c r="J62"/>
      <c r="K62"/>
      <c r="L62"/>
      <c r="M62"/>
      <c r="N62"/>
      <c r="O62"/>
      <c r="P62"/>
      <c r="Q62"/>
      <c r="R62"/>
      <c r="S62"/>
      <c r="T62"/>
    </row>
    <row r="63" spans="1:20">
      <c r="A63" s="410">
        <v>36</v>
      </c>
      <c r="B63" s="410" t="s">
        <v>756</v>
      </c>
      <c r="C63" s="410" t="s">
        <v>187</v>
      </c>
      <c r="D63" s="295" t="s">
        <v>823</v>
      </c>
      <c r="F63"/>
      <c r="G63"/>
      <c r="H63"/>
      <c r="I63"/>
      <c r="J63"/>
      <c r="K63"/>
      <c r="L63"/>
      <c r="M63"/>
      <c r="N63"/>
      <c r="O63"/>
      <c r="P63"/>
      <c r="Q63"/>
      <c r="R63"/>
      <c r="S63"/>
      <c r="T63"/>
    </row>
    <row r="64" spans="1:20">
      <c r="A64" s="410">
        <v>37</v>
      </c>
      <c r="B64" s="410" t="s">
        <v>757</v>
      </c>
      <c r="C64" s="410" t="s">
        <v>187</v>
      </c>
      <c r="D64" s="295" t="s">
        <v>823</v>
      </c>
      <c r="F64"/>
      <c r="G64"/>
      <c r="H64"/>
      <c r="I64"/>
      <c r="J64"/>
      <c r="K64"/>
      <c r="L64"/>
      <c r="M64"/>
      <c r="N64"/>
      <c r="O64"/>
      <c r="P64"/>
      <c r="Q64"/>
      <c r="R64"/>
      <c r="S64"/>
      <c r="T64"/>
    </row>
    <row r="65" spans="1:20">
      <c r="A65" s="410">
        <v>38</v>
      </c>
      <c r="B65" s="410" t="s">
        <v>758</v>
      </c>
      <c r="C65" s="410" t="s">
        <v>176</v>
      </c>
      <c r="D65" s="295" t="s">
        <v>816</v>
      </c>
      <c r="F65"/>
      <c r="G65"/>
      <c r="H65"/>
      <c r="I65"/>
      <c r="J65"/>
      <c r="K65"/>
      <c r="L65"/>
      <c r="M65"/>
      <c r="N65"/>
      <c r="O65"/>
      <c r="P65"/>
      <c r="Q65"/>
      <c r="R65"/>
      <c r="S65"/>
      <c r="T65"/>
    </row>
    <row r="66" spans="1:20">
      <c r="A66" s="410">
        <v>39</v>
      </c>
      <c r="B66" s="410" t="s">
        <v>759</v>
      </c>
      <c r="C66" s="410" t="s">
        <v>176</v>
      </c>
      <c r="D66" s="295" t="s">
        <v>824</v>
      </c>
      <c r="F66"/>
      <c r="G66"/>
      <c r="H66"/>
      <c r="I66"/>
      <c r="J66"/>
      <c r="K66"/>
      <c r="L66"/>
      <c r="M66"/>
      <c r="N66"/>
      <c r="O66"/>
      <c r="P66"/>
      <c r="Q66"/>
      <c r="R66"/>
      <c r="S66"/>
      <c r="T66"/>
    </row>
    <row r="67" spans="1:20">
      <c r="A67" s="410">
        <v>40</v>
      </c>
      <c r="B67" s="410" t="s">
        <v>760</v>
      </c>
      <c r="C67" s="410" t="s">
        <v>192</v>
      </c>
      <c r="D67" s="295" t="s">
        <v>822</v>
      </c>
      <c r="F67"/>
      <c r="G67"/>
      <c r="H67"/>
      <c r="I67"/>
      <c r="J67"/>
      <c r="K67"/>
      <c r="L67"/>
      <c r="M67"/>
      <c r="N67"/>
      <c r="O67"/>
      <c r="P67"/>
      <c r="Q67"/>
      <c r="R67"/>
      <c r="S67"/>
      <c r="T67"/>
    </row>
    <row r="68" spans="1:20">
      <c r="A68" s="410">
        <v>41</v>
      </c>
      <c r="B68" s="410" t="s">
        <v>761</v>
      </c>
      <c r="C68" s="410" t="s">
        <v>187</v>
      </c>
      <c r="D68" s="295" t="s">
        <v>823</v>
      </c>
      <c r="F68"/>
      <c r="G68"/>
      <c r="H68"/>
      <c r="I68"/>
      <c r="J68"/>
      <c r="K68"/>
      <c r="L68"/>
      <c r="M68"/>
      <c r="N68"/>
      <c r="O68"/>
      <c r="P68"/>
      <c r="Q68"/>
      <c r="R68"/>
      <c r="S68"/>
      <c r="T68"/>
    </row>
    <row r="69" spans="1:20">
      <c r="A69" s="410">
        <v>42</v>
      </c>
      <c r="B69" s="410" t="s">
        <v>762</v>
      </c>
      <c r="C69" s="410" t="s">
        <v>176</v>
      </c>
      <c r="D69" s="295" t="s">
        <v>816</v>
      </c>
      <c r="F69"/>
      <c r="G69"/>
      <c r="H69"/>
      <c r="I69"/>
      <c r="J69"/>
      <c r="K69"/>
      <c r="L69"/>
      <c r="M69"/>
      <c r="N69"/>
      <c r="O69"/>
      <c r="P69"/>
      <c r="Q69"/>
      <c r="R69"/>
      <c r="S69"/>
      <c r="T69"/>
    </row>
    <row r="70" spans="1:20">
      <c r="A70" s="410">
        <v>43</v>
      </c>
      <c r="B70" s="410" t="s">
        <v>763</v>
      </c>
      <c r="C70" s="410" t="s">
        <v>176</v>
      </c>
      <c r="D70" s="295" t="s">
        <v>816</v>
      </c>
      <c r="F70"/>
      <c r="G70"/>
      <c r="H70"/>
      <c r="I70"/>
      <c r="J70"/>
      <c r="K70"/>
      <c r="L70"/>
      <c r="M70"/>
      <c r="N70"/>
      <c r="O70"/>
      <c r="P70"/>
      <c r="Q70"/>
      <c r="R70"/>
      <c r="S70"/>
      <c r="T70"/>
    </row>
    <row r="71" spans="1:20" ht="29">
      <c r="A71" s="410">
        <v>44</v>
      </c>
      <c r="B71" s="410" t="s">
        <v>764</v>
      </c>
      <c r="C71" s="410" t="s">
        <v>187</v>
      </c>
      <c r="D71" s="295" t="s">
        <v>826</v>
      </c>
      <c r="F71"/>
      <c r="G71"/>
      <c r="H71"/>
      <c r="I71"/>
      <c r="J71"/>
      <c r="K71"/>
      <c r="L71"/>
      <c r="M71"/>
      <c r="N71"/>
      <c r="O71"/>
      <c r="P71"/>
      <c r="Q71"/>
      <c r="R71"/>
      <c r="S71"/>
      <c r="T71"/>
    </row>
    <row r="72" spans="1:20">
      <c r="A72" s="410">
        <v>45</v>
      </c>
      <c r="B72" s="410" t="s">
        <v>765</v>
      </c>
      <c r="C72" s="410" t="s">
        <v>164</v>
      </c>
      <c r="D72" s="295" t="s">
        <v>823</v>
      </c>
      <c r="F72"/>
      <c r="G72"/>
      <c r="H72"/>
      <c r="I72"/>
      <c r="J72"/>
      <c r="K72"/>
      <c r="L72"/>
      <c r="M72"/>
      <c r="N72"/>
      <c r="O72"/>
      <c r="P72"/>
      <c r="Q72"/>
      <c r="R72"/>
      <c r="S72"/>
      <c r="T72"/>
    </row>
    <row r="73" spans="1:20">
      <c r="A73" s="410">
        <v>46</v>
      </c>
      <c r="B73" s="410" t="s">
        <v>766</v>
      </c>
      <c r="C73" s="410" t="s">
        <v>192</v>
      </c>
      <c r="D73" s="295" t="s">
        <v>820</v>
      </c>
      <c r="F73"/>
      <c r="G73"/>
      <c r="H73"/>
      <c r="I73"/>
      <c r="J73"/>
      <c r="K73"/>
      <c r="L73"/>
      <c r="M73"/>
      <c r="N73"/>
      <c r="O73"/>
      <c r="P73"/>
      <c r="Q73"/>
      <c r="R73"/>
      <c r="S73"/>
      <c r="T73"/>
    </row>
    <row r="74" spans="1:20">
      <c r="A74" s="410">
        <v>47</v>
      </c>
      <c r="B74" s="410" t="s">
        <v>767</v>
      </c>
      <c r="C74" s="410" t="s">
        <v>192</v>
      </c>
      <c r="D74" s="295" t="s">
        <v>822</v>
      </c>
      <c r="F74"/>
      <c r="G74"/>
      <c r="H74"/>
      <c r="I74"/>
      <c r="J74"/>
      <c r="K74"/>
      <c r="L74"/>
      <c r="M74"/>
      <c r="N74"/>
      <c r="O74"/>
      <c r="P74"/>
      <c r="Q74"/>
      <c r="R74"/>
      <c r="S74"/>
      <c r="T74"/>
    </row>
    <row r="75" spans="1:20">
      <c r="A75" s="410">
        <v>48</v>
      </c>
      <c r="B75" s="410" t="s">
        <v>768</v>
      </c>
      <c r="C75" s="410" t="s">
        <v>195</v>
      </c>
      <c r="D75" s="295" t="s">
        <v>820</v>
      </c>
      <c r="F75"/>
      <c r="G75"/>
      <c r="H75"/>
      <c r="I75"/>
      <c r="J75"/>
      <c r="K75"/>
      <c r="L75"/>
      <c r="M75"/>
      <c r="N75"/>
      <c r="O75"/>
      <c r="P75"/>
      <c r="Q75"/>
      <c r="R75"/>
      <c r="S75"/>
      <c r="T75"/>
    </row>
    <row r="76" spans="1:20">
      <c r="A76" s="410">
        <v>49</v>
      </c>
      <c r="B76" s="410" t="s">
        <v>769</v>
      </c>
      <c r="C76" s="410" t="s">
        <v>187</v>
      </c>
      <c r="D76" s="295" t="s">
        <v>826</v>
      </c>
      <c r="F76"/>
      <c r="G76"/>
      <c r="H76"/>
      <c r="I76"/>
      <c r="J76"/>
      <c r="K76"/>
      <c r="L76"/>
      <c r="M76"/>
      <c r="N76"/>
      <c r="O76"/>
      <c r="P76"/>
      <c r="Q76"/>
      <c r="R76"/>
      <c r="S76"/>
      <c r="T76"/>
    </row>
    <row r="77" spans="1:20">
      <c r="A77" s="410">
        <v>50</v>
      </c>
      <c r="B77" s="410" t="s">
        <v>770</v>
      </c>
      <c r="C77" s="410" t="s">
        <v>182</v>
      </c>
      <c r="D77" s="295" t="s">
        <v>821</v>
      </c>
      <c r="F77"/>
      <c r="G77"/>
      <c r="H77"/>
      <c r="I77"/>
      <c r="J77"/>
      <c r="K77"/>
      <c r="L77"/>
      <c r="M77"/>
      <c r="N77"/>
      <c r="O77"/>
      <c r="P77"/>
      <c r="Q77"/>
      <c r="R77"/>
      <c r="S77"/>
      <c r="T77"/>
    </row>
    <row r="78" spans="1:20">
      <c r="A78" s="410">
        <v>51</v>
      </c>
      <c r="B78" s="410" t="s">
        <v>771</v>
      </c>
      <c r="C78" s="410" t="s">
        <v>164</v>
      </c>
      <c r="D78" s="295" t="s">
        <v>819</v>
      </c>
      <c r="F78"/>
      <c r="G78"/>
      <c r="H78"/>
      <c r="I78"/>
      <c r="J78"/>
      <c r="K78"/>
      <c r="L78"/>
      <c r="M78"/>
      <c r="N78"/>
      <c r="O78"/>
      <c r="P78"/>
      <c r="Q78"/>
      <c r="R78"/>
      <c r="S78"/>
      <c r="T78"/>
    </row>
    <row r="79" spans="1:20">
      <c r="A79" s="410">
        <v>52</v>
      </c>
      <c r="B79" s="410" t="s">
        <v>772</v>
      </c>
      <c r="C79" s="410" t="s">
        <v>164</v>
      </c>
      <c r="D79" s="295" t="s">
        <v>819</v>
      </c>
      <c r="F79"/>
      <c r="G79"/>
      <c r="H79"/>
      <c r="I79"/>
      <c r="J79"/>
      <c r="K79"/>
      <c r="L79"/>
      <c r="M79"/>
      <c r="N79"/>
      <c r="O79"/>
      <c r="P79"/>
      <c r="Q79"/>
      <c r="R79"/>
      <c r="S79"/>
      <c r="T79"/>
    </row>
    <row r="80" spans="1:20">
      <c r="A80" s="410">
        <v>53</v>
      </c>
      <c r="B80" s="410" t="s">
        <v>773</v>
      </c>
      <c r="C80" s="410" t="s">
        <v>187</v>
      </c>
      <c r="D80" s="295" t="s">
        <v>826</v>
      </c>
      <c r="F80"/>
      <c r="G80"/>
      <c r="H80"/>
      <c r="I80"/>
      <c r="J80"/>
      <c r="K80"/>
      <c r="L80"/>
      <c r="M80"/>
      <c r="N80"/>
      <c r="O80"/>
      <c r="P80"/>
      <c r="Q80"/>
      <c r="R80"/>
      <c r="S80"/>
      <c r="T80"/>
    </row>
    <row r="81" spans="1:20" ht="29">
      <c r="A81" s="410">
        <v>54</v>
      </c>
      <c r="B81" s="410" t="s">
        <v>774</v>
      </c>
      <c r="C81" s="410" t="s">
        <v>164</v>
      </c>
      <c r="D81" s="295" t="s">
        <v>819</v>
      </c>
      <c r="F81"/>
      <c r="G81"/>
      <c r="H81"/>
      <c r="I81"/>
      <c r="J81"/>
      <c r="K81"/>
      <c r="L81"/>
      <c r="M81"/>
      <c r="N81"/>
      <c r="O81"/>
      <c r="P81"/>
      <c r="Q81"/>
      <c r="R81"/>
      <c r="S81"/>
      <c r="T81"/>
    </row>
    <row r="82" spans="1:20">
      <c r="A82" s="410">
        <v>55</v>
      </c>
      <c r="B82" s="410" t="s">
        <v>775</v>
      </c>
      <c r="C82" s="410" t="s">
        <v>164</v>
      </c>
      <c r="D82" s="295" t="s">
        <v>819</v>
      </c>
      <c r="F82"/>
      <c r="G82"/>
      <c r="H82"/>
      <c r="I82"/>
      <c r="J82"/>
      <c r="K82"/>
      <c r="L82"/>
      <c r="M82"/>
      <c r="N82"/>
      <c r="O82"/>
      <c r="P82"/>
      <c r="Q82"/>
      <c r="R82"/>
      <c r="S82"/>
      <c r="T82"/>
    </row>
    <row r="83" spans="1:20">
      <c r="A83" s="410">
        <v>56</v>
      </c>
      <c r="B83" s="410" t="s">
        <v>776</v>
      </c>
      <c r="C83" s="410" t="s">
        <v>182</v>
      </c>
      <c r="D83" s="295" t="s">
        <v>825</v>
      </c>
      <c r="F83"/>
      <c r="G83"/>
      <c r="H83"/>
      <c r="I83"/>
      <c r="J83"/>
      <c r="K83"/>
      <c r="L83"/>
      <c r="M83"/>
      <c r="N83"/>
      <c r="O83"/>
      <c r="P83"/>
      <c r="Q83"/>
      <c r="R83"/>
      <c r="S83"/>
      <c r="T83"/>
    </row>
    <row r="84" spans="1:20">
      <c r="A84" s="410">
        <v>57</v>
      </c>
      <c r="B84" s="410" t="s">
        <v>777</v>
      </c>
      <c r="C84" s="410" t="s">
        <v>164</v>
      </c>
      <c r="D84" s="295" t="s">
        <v>819</v>
      </c>
      <c r="F84"/>
      <c r="G84"/>
      <c r="H84"/>
      <c r="I84"/>
      <c r="J84"/>
      <c r="K84"/>
      <c r="L84"/>
      <c r="M84"/>
      <c r="N84"/>
      <c r="O84"/>
      <c r="P84"/>
      <c r="Q84"/>
      <c r="R84"/>
      <c r="S84"/>
      <c r="T84"/>
    </row>
    <row r="85" spans="1:20">
      <c r="A85" s="410">
        <v>58</v>
      </c>
      <c r="B85" s="410" t="s">
        <v>778</v>
      </c>
      <c r="C85" s="410" t="s">
        <v>164</v>
      </c>
      <c r="D85" s="295" t="s">
        <v>824</v>
      </c>
      <c r="F85"/>
      <c r="G85"/>
      <c r="H85"/>
      <c r="I85"/>
      <c r="J85"/>
      <c r="K85"/>
      <c r="L85"/>
      <c r="M85"/>
      <c r="N85"/>
      <c r="O85"/>
      <c r="P85"/>
      <c r="Q85"/>
      <c r="R85"/>
      <c r="S85"/>
      <c r="T85"/>
    </row>
    <row r="86" spans="1:20">
      <c r="A86" s="410">
        <v>59</v>
      </c>
      <c r="B86" s="410" t="s">
        <v>779</v>
      </c>
      <c r="C86" s="410" t="s">
        <v>147</v>
      </c>
      <c r="D86" s="295" t="s">
        <v>817</v>
      </c>
      <c r="F86"/>
      <c r="G86"/>
      <c r="H86"/>
      <c r="I86"/>
      <c r="J86"/>
      <c r="K86"/>
      <c r="L86"/>
      <c r="M86"/>
      <c r="N86"/>
      <c r="O86"/>
      <c r="P86"/>
      <c r="Q86"/>
      <c r="R86"/>
      <c r="S86"/>
      <c r="T86"/>
    </row>
    <row r="87" spans="1:20">
      <c r="A87" s="410">
        <v>60</v>
      </c>
      <c r="B87" s="410" t="s">
        <v>780</v>
      </c>
      <c r="C87" s="410" t="s">
        <v>147</v>
      </c>
      <c r="D87" s="295" t="s">
        <v>817</v>
      </c>
      <c r="F87"/>
      <c r="G87"/>
      <c r="H87"/>
      <c r="I87"/>
      <c r="J87"/>
      <c r="K87"/>
      <c r="L87"/>
      <c r="M87"/>
      <c r="N87"/>
      <c r="O87"/>
      <c r="P87"/>
      <c r="Q87"/>
      <c r="R87"/>
      <c r="S87"/>
      <c r="T87"/>
    </row>
    <row r="88" spans="1:20">
      <c r="A88" s="410">
        <v>61</v>
      </c>
      <c r="B88" s="410" t="s">
        <v>781</v>
      </c>
      <c r="C88" s="410" t="s">
        <v>147</v>
      </c>
      <c r="D88" s="295" t="s">
        <v>821</v>
      </c>
      <c r="F88"/>
      <c r="G88"/>
      <c r="H88"/>
      <c r="I88"/>
      <c r="J88"/>
      <c r="K88"/>
      <c r="L88"/>
      <c r="M88"/>
      <c r="N88"/>
      <c r="O88"/>
      <c r="P88"/>
      <c r="Q88"/>
      <c r="R88"/>
      <c r="S88"/>
      <c r="T88"/>
    </row>
    <row r="89" spans="1:20">
      <c r="A89" s="410">
        <v>62</v>
      </c>
      <c r="B89" s="410" t="s">
        <v>782</v>
      </c>
      <c r="C89" s="410" t="s">
        <v>147</v>
      </c>
      <c r="D89" s="295" t="s">
        <v>817</v>
      </c>
      <c r="F89"/>
      <c r="G89"/>
      <c r="H89"/>
      <c r="I89"/>
      <c r="J89"/>
      <c r="K89"/>
      <c r="L89"/>
      <c r="M89"/>
      <c r="N89"/>
      <c r="O89"/>
      <c r="P89"/>
      <c r="Q89"/>
      <c r="R89"/>
      <c r="S89"/>
      <c r="T89"/>
    </row>
    <row r="90" spans="1:20">
      <c r="A90" s="410">
        <v>63</v>
      </c>
      <c r="B90" s="410" t="s">
        <v>783</v>
      </c>
      <c r="C90" s="410" t="s">
        <v>176</v>
      </c>
      <c r="D90" s="295" t="s">
        <v>816</v>
      </c>
      <c r="F90"/>
      <c r="G90"/>
      <c r="H90"/>
      <c r="I90"/>
      <c r="J90"/>
      <c r="K90"/>
      <c r="L90"/>
      <c r="M90"/>
      <c r="N90"/>
      <c r="O90"/>
      <c r="P90"/>
      <c r="Q90"/>
      <c r="R90"/>
      <c r="S90"/>
      <c r="T90"/>
    </row>
    <row r="91" spans="1:20" ht="29">
      <c r="A91" s="410">
        <v>64</v>
      </c>
      <c r="B91" s="410" t="s">
        <v>784</v>
      </c>
      <c r="C91" s="410" t="s">
        <v>192</v>
      </c>
      <c r="D91" s="295" t="s">
        <v>822</v>
      </c>
      <c r="F91"/>
      <c r="G91"/>
      <c r="H91"/>
      <c r="I91"/>
      <c r="J91"/>
      <c r="K91"/>
      <c r="L91"/>
      <c r="M91"/>
      <c r="N91"/>
      <c r="O91"/>
      <c r="P91"/>
      <c r="Q91"/>
      <c r="R91"/>
      <c r="S91"/>
      <c r="T91"/>
    </row>
    <row r="92" spans="1:20" ht="29">
      <c r="A92" s="410">
        <v>65</v>
      </c>
      <c r="B92" s="410" t="s">
        <v>785</v>
      </c>
      <c r="C92" s="410" t="s">
        <v>192</v>
      </c>
      <c r="D92" s="295" t="s">
        <v>820</v>
      </c>
      <c r="F92"/>
      <c r="G92"/>
      <c r="H92"/>
      <c r="I92"/>
      <c r="J92"/>
      <c r="K92"/>
      <c r="L92"/>
      <c r="M92"/>
      <c r="N92"/>
      <c r="O92"/>
      <c r="P92"/>
      <c r="Q92"/>
      <c r="R92"/>
      <c r="S92"/>
      <c r="T92"/>
    </row>
    <row r="93" spans="1:20" ht="29">
      <c r="A93" s="410">
        <v>66</v>
      </c>
      <c r="B93" s="410" t="s">
        <v>786</v>
      </c>
      <c r="C93" s="410" t="s">
        <v>197</v>
      </c>
      <c r="D93" s="295" t="s">
        <v>820</v>
      </c>
      <c r="F93"/>
      <c r="G93"/>
      <c r="H93"/>
      <c r="I93"/>
      <c r="J93"/>
      <c r="K93"/>
      <c r="L93"/>
      <c r="M93"/>
      <c r="N93"/>
      <c r="O93"/>
      <c r="P93"/>
      <c r="Q93"/>
      <c r="R93"/>
      <c r="S93"/>
      <c r="T93"/>
    </row>
    <row r="94" spans="1:20">
      <c r="A94" s="410">
        <v>67</v>
      </c>
      <c r="B94" s="410" t="s">
        <v>787</v>
      </c>
      <c r="C94" s="410" t="s">
        <v>164</v>
      </c>
      <c r="D94" s="295" t="s">
        <v>819</v>
      </c>
      <c r="F94"/>
      <c r="G94"/>
      <c r="H94"/>
      <c r="I94"/>
      <c r="J94"/>
      <c r="K94"/>
      <c r="L94"/>
      <c r="M94"/>
      <c r="N94"/>
      <c r="O94"/>
      <c r="P94"/>
      <c r="Q94"/>
      <c r="R94"/>
      <c r="S94"/>
      <c r="T94"/>
    </row>
    <row r="95" spans="1:20">
      <c r="A95" s="410">
        <v>68</v>
      </c>
      <c r="B95" s="410" t="s">
        <v>788</v>
      </c>
      <c r="C95" s="410" t="s">
        <v>164</v>
      </c>
      <c r="D95" s="295" t="s">
        <v>819</v>
      </c>
      <c r="F95"/>
      <c r="G95"/>
      <c r="H95"/>
      <c r="I95"/>
      <c r="J95"/>
      <c r="K95"/>
      <c r="L95"/>
      <c r="M95"/>
      <c r="N95"/>
      <c r="O95"/>
      <c r="P95"/>
      <c r="Q95"/>
      <c r="R95"/>
      <c r="S95"/>
      <c r="T95"/>
    </row>
    <row r="96" spans="1:20">
      <c r="A96" s="410">
        <v>69</v>
      </c>
      <c r="B96" s="410" t="s">
        <v>789</v>
      </c>
      <c r="C96" s="410" t="s">
        <v>176</v>
      </c>
      <c r="D96" s="295" t="s">
        <v>816</v>
      </c>
      <c r="F96"/>
      <c r="G96"/>
      <c r="H96"/>
      <c r="I96"/>
      <c r="J96"/>
      <c r="K96"/>
      <c r="L96"/>
      <c r="M96"/>
      <c r="N96"/>
      <c r="O96"/>
      <c r="P96"/>
      <c r="Q96"/>
      <c r="R96"/>
      <c r="S96"/>
      <c r="T96"/>
    </row>
    <row r="97" spans="1:20">
      <c r="A97" s="410">
        <v>70</v>
      </c>
      <c r="B97" s="410" t="s">
        <v>790</v>
      </c>
      <c r="C97" s="410" t="s">
        <v>164</v>
      </c>
      <c r="D97" s="295" t="s">
        <v>824</v>
      </c>
      <c r="F97"/>
      <c r="G97"/>
      <c r="H97"/>
      <c r="I97"/>
      <c r="J97"/>
      <c r="K97"/>
      <c r="L97"/>
      <c r="M97"/>
      <c r="N97"/>
      <c r="O97"/>
      <c r="P97"/>
      <c r="Q97"/>
      <c r="R97"/>
      <c r="S97"/>
      <c r="T97"/>
    </row>
    <row r="98" spans="1:20">
      <c r="A98" s="410">
        <v>71</v>
      </c>
      <c r="B98" s="410" t="s">
        <v>791</v>
      </c>
      <c r="C98" s="410" t="s">
        <v>176</v>
      </c>
      <c r="D98" s="295" t="s">
        <v>824</v>
      </c>
      <c r="F98"/>
      <c r="G98"/>
      <c r="H98"/>
      <c r="I98"/>
      <c r="J98"/>
      <c r="K98"/>
      <c r="L98"/>
      <c r="M98"/>
      <c r="N98"/>
      <c r="O98"/>
      <c r="P98"/>
      <c r="Q98"/>
      <c r="R98"/>
      <c r="S98"/>
      <c r="T98"/>
    </row>
    <row r="99" spans="1:20">
      <c r="A99" s="410">
        <v>72</v>
      </c>
      <c r="B99" s="410" t="s">
        <v>792</v>
      </c>
      <c r="C99" s="410" t="s">
        <v>187</v>
      </c>
      <c r="D99" s="295" t="s">
        <v>826</v>
      </c>
      <c r="F99"/>
      <c r="G99"/>
      <c r="H99"/>
      <c r="I99"/>
      <c r="J99"/>
      <c r="K99"/>
      <c r="L99"/>
      <c r="M99"/>
      <c r="N99"/>
      <c r="O99"/>
      <c r="P99"/>
      <c r="Q99"/>
      <c r="R99"/>
      <c r="S99"/>
      <c r="T99"/>
    </row>
    <row r="100" spans="1:20">
      <c r="A100" s="410">
        <v>73</v>
      </c>
      <c r="B100" s="410" t="s">
        <v>793</v>
      </c>
      <c r="C100" s="410" t="s">
        <v>176</v>
      </c>
      <c r="D100" s="295" t="s">
        <v>816</v>
      </c>
      <c r="F100"/>
      <c r="G100"/>
      <c r="H100"/>
      <c r="I100"/>
      <c r="J100"/>
      <c r="K100"/>
      <c r="L100"/>
      <c r="M100"/>
      <c r="N100"/>
      <c r="O100"/>
      <c r="P100"/>
      <c r="Q100"/>
      <c r="R100"/>
      <c r="S100"/>
      <c r="T100"/>
    </row>
    <row r="101" spans="1:20">
      <c r="A101" s="410">
        <v>74</v>
      </c>
      <c r="B101" s="410" t="s">
        <v>794</v>
      </c>
      <c r="C101" s="410" t="s">
        <v>176</v>
      </c>
      <c r="D101" s="295" t="s">
        <v>816</v>
      </c>
      <c r="F101"/>
      <c r="G101"/>
      <c r="H101"/>
      <c r="I101"/>
      <c r="J101"/>
      <c r="K101"/>
      <c r="L101"/>
      <c r="M101"/>
      <c r="N101"/>
      <c r="O101"/>
      <c r="P101"/>
      <c r="Q101"/>
      <c r="R101"/>
      <c r="S101"/>
      <c r="T101"/>
    </row>
    <row r="102" spans="1:20">
      <c r="A102" s="410">
        <v>75</v>
      </c>
      <c r="B102" s="410" t="s">
        <v>795</v>
      </c>
      <c r="C102" s="410" t="s">
        <v>164</v>
      </c>
      <c r="D102" s="295" t="s">
        <v>827</v>
      </c>
      <c r="F102"/>
      <c r="G102"/>
      <c r="H102"/>
      <c r="I102"/>
      <c r="J102"/>
      <c r="K102"/>
      <c r="L102"/>
      <c r="M102"/>
      <c r="N102"/>
      <c r="O102"/>
      <c r="P102"/>
      <c r="Q102"/>
      <c r="R102"/>
      <c r="S102"/>
      <c r="T102"/>
    </row>
    <row r="103" spans="1:20">
      <c r="A103" s="410">
        <v>76</v>
      </c>
      <c r="B103" s="410" t="s">
        <v>796</v>
      </c>
      <c r="C103" s="410" t="s">
        <v>147</v>
      </c>
      <c r="D103" s="295" t="s">
        <v>821</v>
      </c>
      <c r="F103"/>
      <c r="G103"/>
      <c r="H103"/>
      <c r="I103"/>
      <c r="J103"/>
      <c r="K103"/>
      <c r="L103"/>
      <c r="M103"/>
      <c r="N103"/>
      <c r="O103"/>
      <c r="P103"/>
      <c r="Q103"/>
      <c r="R103"/>
      <c r="S103"/>
      <c r="T103"/>
    </row>
    <row r="104" spans="1:20">
      <c r="A104" s="410">
        <v>77</v>
      </c>
      <c r="B104" s="410" t="s">
        <v>797</v>
      </c>
      <c r="C104" s="410" t="s">
        <v>147</v>
      </c>
      <c r="D104" s="295" t="s">
        <v>827</v>
      </c>
      <c r="F104"/>
      <c r="G104"/>
      <c r="H104"/>
      <c r="I104"/>
      <c r="J104"/>
      <c r="K104"/>
      <c r="L104"/>
      <c r="M104"/>
      <c r="N104"/>
      <c r="O104"/>
      <c r="P104"/>
      <c r="Q104"/>
      <c r="R104"/>
      <c r="S104"/>
      <c r="T104"/>
    </row>
    <row r="105" spans="1:20">
      <c r="A105" s="410">
        <v>78</v>
      </c>
      <c r="B105" s="410" t="s">
        <v>798</v>
      </c>
      <c r="C105" s="410" t="s">
        <v>147</v>
      </c>
      <c r="D105" s="295" t="s">
        <v>827</v>
      </c>
      <c r="F105"/>
      <c r="G105"/>
      <c r="H105"/>
      <c r="I105"/>
      <c r="J105"/>
      <c r="K105"/>
      <c r="L105"/>
      <c r="M105"/>
      <c r="N105"/>
      <c r="O105"/>
      <c r="P105"/>
      <c r="Q105"/>
      <c r="R105"/>
      <c r="S105"/>
      <c r="T105"/>
    </row>
    <row r="106" spans="1:20">
      <c r="A106" s="410">
        <v>79</v>
      </c>
      <c r="B106" s="410" t="s">
        <v>799</v>
      </c>
      <c r="C106" s="410" t="s">
        <v>187</v>
      </c>
      <c r="D106" s="295" t="s">
        <v>822</v>
      </c>
      <c r="F106"/>
      <c r="G106"/>
      <c r="H106"/>
      <c r="I106"/>
      <c r="J106"/>
      <c r="K106"/>
      <c r="L106"/>
      <c r="M106"/>
      <c r="N106"/>
      <c r="O106"/>
      <c r="P106"/>
      <c r="Q106"/>
      <c r="R106"/>
      <c r="S106"/>
      <c r="T106"/>
    </row>
    <row r="107" spans="1:20">
      <c r="A107" s="410">
        <v>80</v>
      </c>
      <c r="B107" s="410" t="s">
        <v>800</v>
      </c>
      <c r="C107" s="410" t="s">
        <v>147</v>
      </c>
      <c r="D107" s="295" t="s">
        <v>817</v>
      </c>
      <c r="F107"/>
      <c r="G107"/>
      <c r="H107"/>
      <c r="I107"/>
      <c r="J107"/>
      <c r="K107"/>
      <c r="L107"/>
      <c r="M107"/>
      <c r="N107"/>
      <c r="O107"/>
      <c r="P107"/>
      <c r="Q107"/>
      <c r="R107"/>
      <c r="S107"/>
      <c r="T107"/>
    </row>
    <row r="108" spans="1:20">
      <c r="A108" s="410">
        <v>81</v>
      </c>
      <c r="B108" s="410" t="s">
        <v>801</v>
      </c>
      <c r="C108" s="410" t="s">
        <v>192</v>
      </c>
      <c r="D108" s="295" t="s">
        <v>820</v>
      </c>
      <c r="F108"/>
      <c r="G108"/>
      <c r="H108"/>
      <c r="I108"/>
      <c r="J108"/>
      <c r="K108"/>
      <c r="L108"/>
      <c r="M108"/>
      <c r="N108"/>
      <c r="O108"/>
      <c r="P108"/>
      <c r="Q108"/>
      <c r="R108"/>
      <c r="S108"/>
      <c r="T108"/>
    </row>
    <row r="109" spans="1:20" ht="29">
      <c r="A109" s="410">
        <v>82</v>
      </c>
      <c r="B109" s="410" t="s">
        <v>802</v>
      </c>
      <c r="C109" s="410" t="s">
        <v>192</v>
      </c>
      <c r="D109" s="295" t="s">
        <v>820</v>
      </c>
      <c r="F109"/>
      <c r="G109"/>
      <c r="H109"/>
      <c r="I109"/>
      <c r="J109"/>
      <c r="K109"/>
      <c r="L109"/>
      <c r="M109"/>
      <c r="N109"/>
      <c r="O109"/>
      <c r="P109"/>
      <c r="Q109"/>
      <c r="R109"/>
      <c r="S109"/>
      <c r="T109"/>
    </row>
    <row r="110" spans="1:20">
      <c r="A110" s="410">
        <v>83</v>
      </c>
      <c r="B110" s="410" t="s">
        <v>803</v>
      </c>
      <c r="C110" s="410" t="s">
        <v>197</v>
      </c>
      <c r="D110" s="295" t="s">
        <v>818</v>
      </c>
      <c r="F110"/>
      <c r="G110"/>
      <c r="H110"/>
      <c r="I110"/>
      <c r="J110"/>
      <c r="K110"/>
      <c r="L110"/>
      <c r="M110"/>
      <c r="N110"/>
      <c r="O110"/>
      <c r="P110"/>
      <c r="Q110"/>
      <c r="R110"/>
      <c r="S110"/>
      <c r="T110"/>
    </row>
    <row r="111" spans="1:20">
      <c r="A111" s="410">
        <v>84</v>
      </c>
      <c r="B111" s="410" t="s">
        <v>804</v>
      </c>
      <c r="C111" s="410" t="s">
        <v>195</v>
      </c>
      <c r="D111" s="295" t="s">
        <v>818</v>
      </c>
      <c r="F111"/>
      <c r="G111"/>
      <c r="H111"/>
      <c r="I111"/>
      <c r="J111"/>
      <c r="K111"/>
      <c r="L111"/>
      <c r="M111"/>
      <c r="N111"/>
      <c r="O111"/>
      <c r="P111"/>
      <c r="Q111"/>
      <c r="R111"/>
      <c r="S111"/>
      <c r="T111"/>
    </row>
    <row r="112" spans="1:20">
      <c r="A112" s="410">
        <v>85</v>
      </c>
      <c r="B112" s="410" t="s">
        <v>805</v>
      </c>
      <c r="C112" s="410" t="s">
        <v>187</v>
      </c>
      <c r="D112" s="295" t="s">
        <v>826</v>
      </c>
      <c r="F112"/>
      <c r="G112"/>
      <c r="H112"/>
      <c r="I112"/>
      <c r="J112"/>
      <c r="K112"/>
      <c r="L112"/>
      <c r="M112"/>
      <c r="N112"/>
      <c r="O112"/>
      <c r="P112"/>
      <c r="Q112"/>
      <c r="R112"/>
      <c r="S112"/>
      <c r="T112"/>
    </row>
    <row r="113" spans="1:20">
      <c r="A113" s="410">
        <v>86</v>
      </c>
      <c r="B113" s="410" t="s">
        <v>806</v>
      </c>
      <c r="C113" s="410" t="s">
        <v>187</v>
      </c>
      <c r="D113" s="295" t="s">
        <v>822</v>
      </c>
      <c r="F113"/>
      <c r="G113"/>
      <c r="H113"/>
      <c r="I113"/>
      <c r="J113"/>
      <c r="K113"/>
      <c r="L113"/>
      <c r="M113"/>
      <c r="N113"/>
      <c r="O113"/>
      <c r="P113"/>
      <c r="Q113"/>
      <c r="R113"/>
      <c r="S113"/>
      <c r="T113"/>
    </row>
    <row r="114" spans="1:20">
      <c r="A114" s="410">
        <v>87</v>
      </c>
      <c r="B114" s="410" t="s">
        <v>807</v>
      </c>
      <c r="C114" s="410" t="s">
        <v>176</v>
      </c>
      <c r="D114" s="295" t="s">
        <v>822</v>
      </c>
      <c r="F114"/>
      <c r="G114"/>
      <c r="H114"/>
      <c r="I114"/>
      <c r="J114"/>
      <c r="K114"/>
      <c r="L114"/>
      <c r="M114"/>
      <c r="N114"/>
      <c r="O114"/>
      <c r="P114"/>
      <c r="Q114"/>
      <c r="R114"/>
      <c r="S114"/>
      <c r="T114"/>
    </row>
    <row r="115" spans="1:20">
      <c r="A115" s="410">
        <v>88</v>
      </c>
      <c r="B115" s="410" t="s">
        <v>808</v>
      </c>
      <c r="C115" s="410" t="s">
        <v>164</v>
      </c>
      <c r="D115" s="295" t="s">
        <v>819</v>
      </c>
      <c r="F115"/>
      <c r="G115"/>
      <c r="H115"/>
      <c r="I115"/>
      <c r="J115"/>
      <c r="K115"/>
      <c r="L115"/>
      <c r="M115"/>
      <c r="N115"/>
      <c r="O115"/>
      <c r="P115"/>
      <c r="Q115"/>
      <c r="R115"/>
      <c r="S115"/>
      <c r="T115"/>
    </row>
    <row r="116" spans="1:20">
      <c r="A116" s="410">
        <v>89</v>
      </c>
      <c r="B116" s="410" t="s">
        <v>809</v>
      </c>
      <c r="C116" s="410" t="s">
        <v>164</v>
      </c>
      <c r="D116" s="295" t="s">
        <v>824</v>
      </c>
      <c r="F116"/>
      <c r="G116"/>
      <c r="H116"/>
      <c r="I116"/>
      <c r="J116"/>
      <c r="K116"/>
      <c r="L116"/>
      <c r="M116"/>
      <c r="N116"/>
      <c r="O116"/>
      <c r="P116"/>
      <c r="Q116"/>
      <c r="R116"/>
      <c r="S116"/>
      <c r="T116"/>
    </row>
    <row r="117" spans="1:20" ht="29">
      <c r="A117" s="410">
        <v>90</v>
      </c>
      <c r="B117" s="410" t="s">
        <v>810</v>
      </c>
      <c r="C117" s="410" t="s">
        <v>164</v>
      </c>
      <c r="D117" s="295" t="s">
        <v>824</v>
      </c>
      <c r="F117"/>
      <c r="G117"/>
      <c r="H117"/>
      <c r="I117"/>
      <c r="J117"/>
      <c r="K117"/>
      <c r="L117"/>
      <c r="M117"/>
      <c r="N117"/>
      <c r="O117"/>
      <c r="P117"/>
      <c r="Q117"/>
      <c r="R117"/>
      <c r="S117"/>
      <c r="T117"/>
    </row>
    <row r="118" spans="1:20">
      <c r="A118" s="410">
        <v>91</v>
      </c>
      <c r="B118" s="410" t="s">
        <v>811</v>
      </c>
      <c r="C118" s="410" t="s">
        <v>147</v>
      </c>
      <c r="D118" s="295" t="s">
        <v>827</v>
      </c>
      <c r="F118"/>
      <c r="G118"/>
      <c r="H118"/>
      <c r="I118"/>
      <c r="J118"/>
      <c r="K118"/>
      <c r="L118"/>
      <c r="M118"/>
      <c r="N118"/>
      <c r="O118"/>
      <c r="P118"/>
      <c r="Q118"/>
      <c r="R118"/>
      <c r="S118"/>
      <c r="T118"/>
    </row>
    <row r="119" spans="1:20">
      <c r="A119" s="410">
        <v>92</v>
      </c>
      <c r="B119" s="410" t="s">
        <v>812</v>
      </c>
      <c r="C119" s="410" t="s">
        <v>164</v>
      </c>
      <c r="D119" s="295" t="s">
        <v>827</v>
      </c>
      <c r="F119"/>
      <c r="G119"/>
      <c r="H119"/>
      <c r="I119"/>
      <c r="J119"/>
      <c r="K119"/>
      <c r="L119"/>
      <c r="M119"/>
      <c r="N119"/>
      <c r="O119"/>
      <c r="P119"/>
      <c r="Q119"/>
      <c r="R119"/>
      <c r="S119"/>
      <c r="T119"/>
    </row>
    <row r="120" spans="1:20" ht="29">
      <c r="A120" s="410">
        <v>93</v>
      </c>
      <c r="B120" s="410" t="s">
        <v>813</v>
      </c>
      <c r="C120" s="410" t="s">
        <v>164</v>
      </c>
      <c r="D120" s="407" t="s">
        <v>827</v>
      </c>
      <c r="F120"/>
      <c r="G120"/>
      <c r="H120"/>
      <c r="I120"/>
      <c r="J120"/>
      <c r="K120"/>
      <c r="L120"/>
      <c r="M120"/>
      <c r="N120"/>
      <c r="O120"/>
      <c r="P120"/>
      <c r="Q120"/>
      <c r="R120"/>
      <c r="S120"/>
      <c r="T120"/>
    </row>
    <row r="121" spans="1:20">
      <c r="A121" s="410">
        <v>94</v>
      </c>
      <c r="B121" s="410" t="s">
        <v>814</v>
      </c>
      <c r="C121" s="410" t="s">
        <v>164</v>
      </c>
      <c r="D121" s="407" t="s">
        <v>827</v>
      </c>
      <c r="F121"/>
      <c r="G121"/>
      <c r="H121"/>
      <c r="I121"/>
      <c r="J121"/>
      <c r="K121"/>
      <c r="L121"/>
      <c r="M121"/>
      <c r="N121"/>
      <c r="O121"/>
      <c r="P121"/>
      <c r="Q121"/>
      <c r="R121"/>
      <c r="S121"/>
      <c r="T121"/>
    </row>
    <row r="122" spans="1:20">
      <c r="A122" s="410">
        <v>95</v>
      </c>
      <c r="B122" s="410" t="s">
        <v>815</v>
      </c>
      <c r="C122" s="410" t="s">
        <v>147</v>
      </c>
      <c r="D122" s="407" t="s">
        <v>827</v>
      </c>
      <c r="F122"/>
      <c r="G122"/>
      <c r="H122"/>
      <c r="I122"/>
      <c r="J122"/>
      <c r="K122"/>
      <c r="L122"/>
      <c r="M122"/>
      <c r="N122"/>
      <c r="O122"/>
      <c r="P122"/>
      <c r="Q122"/>
      <c r="R122"/>
      <c r="S122"/>
      <c r="T122"/>
    </row>
    <row r="123" spans="1:20">
      <c r="A123" s="410">
        <v>971</v>
      </c>
      <c r="B123" s="410" t="s">
        <v>697</v>
      </c>
      <c r="C123" s="407" t="s">
        <v>697</v>
      </c>
      <c r="D123" s="407" t="s">
        <v>831</v>
      </c>
      <c r="F123"/>
      <c r="G123"/>
      <c r="H123"/>
      <c r="I123"/>
      <c r="J123"/>
      <c r="K123"/>
      <c r="L123"/>
      <c r="M123"/>
      <c r="N123"/>
      <c r="O123"/>
      <c r="P123"/>
      <c r="Q123"/>
      <c r="R123"/>
      <c r="S123"/>
      <c r="T123"/>
    </row>
    <row r="124" spans="1:20">
      <c r="A124" s="410">
        <v>973</v>
      </c>
      <c r="B124" s="410" t="s">
        <v>699</v>
      </c>
      <c r="C124" s="407" t="s">
        <v>699</v>
      </c>
      <c r="D124" s="407" t="s">
        <v>831</v>
      </c>
      <c r="F124"/>
      <c r="G124"/>
      <c r="H124"/>
      <c r="I124"/>
      <c r="J124"/>
      <c r="K124"/>
      <c r="L124"/>
      <c r="M124"/>
      <c r="N124"/>
      <c r="O124"/>
      <c r="P124"/>
      <c r="Q124"/>
      <c r="R124"/>
      <c r="S124"/>
      <c r="T124"/>
    </row>
    <row r="125" spans="1:20">
      <c r="A125" s="410">
        <v>974</v>
      </c>
      <c r="B125" s="410" t="s">
        <v>830</v>
      </c>
      <c r="C125" s="407" t="s">
        <v>700</v>
      </c>
      <c r="D125" s="407" t="s">
        <v>831</v>
      </c>
      <c r="F125"/>
      <c r="G125"/>
      <c r="H125"/>
      <c r="I125"/>
      <c r="J125"/>
      <c r="K125"/>
      <c r="L125"/>
      <c r="M125"/>
      <c r="N125"/>
      <c r="O125"/>
      <c r="P125"/>
      <c r="Q125"/>
      <c r="R125"/>
      <c r="S125"/>
      <c r="T125"/>
    </row>
    <row r="126" spans="1:20">
      <c r="A126" s="410">
        <v>972</v>
      </c>
      <c r="B126" s="410" t="s">
        <v>698</v>
      </c>
      <c r="C126" s="407" t="s">
        <v>698</v>
      </c>
      <c r="D126" s="407" t="s">
        <v>831</v>
      </c>
      <c r="F126"/>
      <c r="G126"/>
      <c r="H126"/>
      <c r="I126"/>
      <c r="J126"/>
      <c r="K126"/>
      <c r="L126"/>
      <c r="M126"/>
      <c r="N126"/>
      <c r="O126"/>
      <c r="P126"/>
      <c r="Q126"/>
      <c r="R126"/>
      <c r="S126"/>
      <c r="T126"/>
    </row>
    <row r="127" spans="1:20">
      <c r="A127" s="410"/>
      <c r="B127" s="410" t="s">
        <v>701</v>
      </c>
      <c r="C127" s="410" t="s">
        <v>701</v>
      </c>
      <c r="D127" s="407" t="s">
        <v>831</v>
      </c>
      <c r="F127"/>
      <c r="G127"/>
      <c r="H127"/>
      <c r="I127"/>
      <c r="J127"/>
      <c r="K127"/>
      <c r="L127"/>
      <c r="M127"/>
      <c r="N127"/>
      <c r="O127"/>
      <c r="P127"/>
      <c r="Q127"/>
      <c r="R127"/>
      <c r="S127"/>
      <c r="T127"/>
    </row>
    <row r="128" spans="1:20">
      <c r="F128"/>
      <c r="G128"/>
      <c r="H128"/>
      <c r="I128"/>
      <c r="J128"/>
      <c r="K128"/>
      <c r="L128"/>
      <c r="M128"/>
      <c r="N128"/>
      <c r="O128"/>
      <c r="P128"/>
      <c r="Q128"/>
      <c r="R128"/>
      <c r="S128"/>
      <c r="T128"/>
    </row>
    <row r="129" spans="6:20">
      <c r="F129"/>
      <c r="G129"/>
      <c r="H129"/>
      <c r="I129"/>
      <c r="J129"/>
      <c r="K129"/>
      <c r="L129"/>
      <c r="M129"/>
      <c r="N129"/>
      <c r="O129"/>
      <c r="P129"/>
      <c r="Q129"/>
      <c r="R129"/>
      <c r="S129"/>
      <c r="T129"/>
    </row>
    <row r="130" spans="6:20">
      <c r="F130"/>
      <c r="G130"/>
      <c r="H130"/>
      <c r="I130"/>
      <c r="J130"/>
      <c r="K130"/>
      <c r="L130"/>
      <c r="M130"/>
      <c r="N130"/>
      <c r="O130"/>
      <c r="P130"/>
      <c r="Q130"/>
      <c r="R130"/>
      <c r="S130"/>
      <c r="T130"/>
    </row>
    <row r="131" spans="6:20">
      <c r="F131"/>
      <c r="G131"/>
      <c r="H131"/>
      <c r="I131"/>
      <c r="J131"/>
      <c r="K131"/>
      <c r="L131"/>
      <c r="M131"/>
      <c r="N131"/>
      <c r="O131"/>
      <c r="P131"/>
      <c r="Q131"/>
      <c r="R131"/>
      <c r="S131"/>
      <c r="T131"/>
    </row>
    <row r="132" spans="6:20">
      <c r="F132"/>
      <c r="G132"/>
      <c r="H132"/>
      <c r="I132"/>
      <c r="J132"/>
      <c r="K132"/>
      <c r="L132"/>
      <c r="M132"/>
      <c r="N132"/>
      <c r="O132"/>
      <c r="P132"/>
      <c r="Q132"/>
      <c r="R132"/>
      <c r="S132"/>
      <c r="T132"/>
    </row>
    <row r="133" spans="6:20">
      <c r="F133"/>
      <c r="G133"/>
      <c r="H133"/>
      <c r="I133"/>
      <c r="J133"/>
      <c r="K133"/>
      <c r="L133"/>
      <c r="M133"/>
      <c r="N133"/>
      <c r="O133"/>
      <c r="P133"/>
      <c r="Q133"/>
      <c r="R133"/>
      <c r="S133"/>
      <c r="T133"/>
    </row>
    <row r="134" spans="6:20">
      <c r="F134"/>
      <c r="G134"/>
      <c r="H134"/>
      <c r="I134"/>
      <c r="J134"/>
      <c r="K134"/>
      <c r="L134"/>
      <c r="M134"/>
      <c r="N134"/>
      <c r="O134"/>
      <c r="P134"/>
      <c r="Q134"/>
      <c r="R134"/>
      <c r="S134"/>
      <c r="T134"/>
    </row>
    <row r="135" spans="6:20">
      <c r="F135"/>
      <c r="G135"/>
      <c r="H135"/>
      <c r="I135"/>
      <c r="J135"/>
      <c r="K135"/>
      <c r="L135"/>
      <c r="M135"/>
      <c r="N135"/>
      <c r="O135"/>
      <c r="P135"/>
      <c r="Q135"/>
      <c r="R135"/>
      <c r="S135"/>
      <c r="T135"/>
    </row>
    <row r="136" spans="6:20">
      <c r="F136"/>
      <c r="G136"/>
      <c r="H136"/>
      <c r="I136"/>
      <c r="J136"/>
      <c r="K136"/>
      <c r="L136"/>
      <c r="M136"/>
      <c r="N136"/>
      <c r="O136"/>
      <c r="P136"/>
      <c r="Q136"/>
      <c r="R136"/>
      <c r="S136"/>
      <c r="T136"/>
    </row>
    <row r="137" spans="6:20">
      <c r="F137"/>
      <c r="G137"/>
      <c r="H137"/>
      <c r="I137"/>
      <c r="J137"/>
      <c r="K137"/>
      <c r="L137"/>
      <c r="M137"/>
      <c r="N137"/>
      <c r="O137"/>
      <c r="P137"/>
      <c r="Q137"/>
      <c r="R137"/>
      <c r="S137"/>
      <c r="T137"/>
    </row>
    <row r="138" spans="6:20">
      <c r="F138"/>
      <c r="G138"/>
      <c r="H138"/>
      <c r="I138"/>
      <c r="J138"/>
      <c r="K138"/>
      <c r="L138"/>
      <c r="M138"/>
      <c r="N138"/>
      <c r="O138"/>
      <c r="P138"/>
      <c r="Q138"/>
      <c r="R138"/>
      <c r="S138"/>
      <c r="T138"/>
    </row>
    <row r="139" spans="6:20">
      <c r="F139"/>
      <c r="G139"/>
      <c r="H139"/>
      <c r="I139"/>
      <c r="J139"/>
      <c r="K139"/>
      <c r="L139"/>
      <c r="M139"/>
      <c r="N139"/>
      <c r="O139"/>
      <c r="P139"/>
      <c r="Q139"/>
      <c r="R139"/>
      <c r="S139"/>
      <c r="T139"/>
    </row>
    <row r="140" spans="6:20">
      <c r="F140"/>
      <c r="G140"/>
      <c r="H140"/>
      <c r="I140"/>
      <c r="J140"/>
      <c r="K140"/>
      <c r="L140"/>
      <c r="M140"/>
      <c r="N140"/>
      <c r="O140"/>
      <c r="P140"/>
      <c r="Q140"/>
      <c r="R140"/>
      <c r="S140"/>
      <c r="T140"/>
    </row>
    <row r="141" spans="6:20">
      <c r="F141"/>
      <c r="G141"/>
      <c r="H141"/>
      <c r="I141"/>
      <c r="J141"/>
      <c r="K141"/>
      <c r="L141"/>
      <c r="M141"/>
      <c r="N141"/>
      <c r="O141"/>
      <c r="P141"/>
      <c r="Q141"/>
      <c r="R141"/>
      <c r="S141"/>
      <c r="T141"/>
    </row>
    <row r="142" spans="6:20">
      <c r="F142"/>
      <c r="G142"/>
      <c r="H142"/>
      <c r="I142"/>
      <c r="J142"/>
      <c r="K142"/>
      <c r="L142"/>
      <c r="M142"/>
      <c r="N142"/>
      <c r="O142"/>
      <c r="P142"/>
      <c r="Q142"/>
      <c r="R142"/>
      <c r="S142"/>
      <c r="T142"/>
    </row>
    <row r="143" spans="6:20">
      <c r="F143"/>
      <c r="G143"/>
      <c r="H143"/>
      <c r="I143"/>
      <c r="J143"/>
      <c r="K143"/>
      <c r="L143"/>
      <c r="M143"/>
      <c r="N143"/>
      <c r="O143"/>
      <c r="P143"/>
      <c r="Q143"/>
      <c r="R143"/>
      <c r="S143"/>
      <c r="T143"/>
    </row>
    <row r="144" spans="6:20">
      <c r="F144"/>
      <c r="G144"/>
      <c r="H144"/>
    </row>
    <row r="145" spans="6:8">
      <c r="F145"/>
      <c r="G145"/>
      <c r="H145"/>
    </row>
    <row r="146" spans="6:8">
      <c r="F146"/>
      <c r="G146"/>
      <c r="H146"/>
    </row>
    <row r="147" spans="6:8">
      <c r="F147"/>
    </row>
    <row r="148" spans="6:8">
      <c r="F148"/>
    </row>
    <row r="149" spans="6:8">
      <c r="F149"/>
    </row>
    <row r="150" spans="6:8">
      <c r="F150"/>
    </row>
    <row r="151" spans="6:8">
      <c r="F151"/>
    </row>
    <row r="152" spans="6:8">
      <c r="F152"/>
    </row>
    <row r="153" spans="6:8">
      <c r="F153"/>
    </row>
    <row r="154" spans="6:8">
      <c r="F154"/>
    </row>
    <row r="155" spans="6:8">
      <c r="F155"/>
    </row>
    <row r="156" spans="6:8">
      <c r="F156"/>
    </row>
    <row r="157" spans="6:8">
      <c r="F157"/>
    </row>
    <row r="158" spans="6:8">
      <c r="F158"/>
    </row>
    <row r="159" spans="6:8">
      <c r="F159"/>
    </row>
    <row r="160" spans="6:8">
      <c r="F160"/>
    </row>
    <row r="161" spans="6:6">
      <c r="F161"/>
    </row>
    <row r="162" spans="6:6">
      <c r="F162"/>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row r="175" spans="6:6">
      <c r="F175"/>
    </row>
    <row r="176" spans="6:6">
      <c r="F176"/>
    </row>
    <row r="177" spans="6:6">
      <c r="F177"/>
    </row>
    <row r="178" spans="6:6">
      <c r="F178"/>
    </row>
    <row r="179" spans="6:6">
      <c r="F179"/>
    </row>
    <row r="180" spans="6:6">
      <c r="F180"/>
    </row>
    <row r="181" spans="6:6">
      <c r="F181"/>
    </row>
    <row r="182" spans="6:6">
      <c r="F182"/>
    </row>
    <row r="183" spans="6:6">
      <c r="F183"/>
    </row>
    <row r="184" spans="6:6">
      <c r="F184"/>
    </row>
    <row r="185" spans="6:6">
      <c r="F185"/>
    </row>
    <row r="186" spans="6:6">
      <c r="F186"/>
    </row>
    <row r="187" spans="6:6">
      <c r="F187"/>
    </row>
    <row r="188" spans="6:6">
      <c r="F188"/>
    </row>
    <row r="189" spans="6:6">
      <c r="F189"/>
    </row>
    <row r="190" spans="6:6">
      <c r="F190"/>
    </row>
    <row r="191" spans="6:6">
      <c r="F191"/>
    </row>
    <row r="192" spans="6:6">
      <c r="F192"/>
    </row>
    <row r="193" spans="6:6">
      <c r="F193"/>
    </row>
    <row r="194" spans="6:6">
      <c r="F194"/>
    </row>
    <row r="195" spans="6:6">
      <c r="F195"/>
    </row>
    <row r="196" spans="6:6">
      <c r="F196"/>
    </row>
    <row r="197" spans="6:6">
      <c r="F197"/>
    </row>
    <row r="198" spans="6:6">
      <c r="F198"/>
    </row>
    <row r="199" spans="6:6">
      <c r="F199"/>
    </row>
    <row r="200" spans="6:6">
      <c r="F200"/>
    </row>
    <row r="201" spans="6:6">
      <c r="F201"/>
    </row>
    <row r="202" spans="6:6">
      <c r="F202"/>
    </row>
    <row r="203" spans="6:6">
      <c r="F203"/>
    </row>
    <row r="204" spans="6:6">
      <c r="F204"/>
    </row>
    <row r="205" spans="6:6">
      <c r="F205"/>
    </row>
    <row r="206" spans="6:6">
      <c r="F206"/>
    </row>
    <row r="207" spans="6:6">
      <c r="F207"/>
    </row>
    <row r="208" spans="6:6">
      <c r="F208"/>
    </row>
    <row r="209" spans="6:6">
      <c r="F209"/>
    </row>
    <row r="210" spans="6:6">
      <c r="F210"/>
    </row>
    <row r="211" spans="6:6">
      <c r="F211"/>
    </row>
    <row r="212" spans="6:6">
      <c r="F212"/>
    </row>
    <row r="213" spans="6:6">
      <c r="F213"/>
    </row>
    <row r="214" spans="6:6">
      <c r="F214"/>
    </row>
    <row r="215" spans="6:6">
      <c r="F215"/>
    </row>
    <row r="216" spans="6:6">
      <c r="F216"/>
    </row>
    <row r="217" spans="6:6">
      <c r="F217"/>
    </row>
    <row r="218" spans="6:6">
      <c r="F218"/>
    </row>
    <row r="219" spans="6:6">
      <c r="F219"/>
    </row>
    <row r="220" spans="6:6">
      <c r="F220"/>
    </row>
    <row r="221" spans="6:6">
      <c r="F221"/>
    </row>
    <row r="222" spans="6:6">
      <c r="F222"/>
    </row>
    <row r="223" spans="6:6">
      <c r="F223"/>
    </row>
    <row r="224" spans="6:6">
      <c r="F224"/>
    </row>
    <row r="225" spans="6:6">
      <c r="F225"/>
    </row>
    <row r="226" spans="6:6">
      <c r="F226"/>
    </row>
    <row r="227" spans="6:6">
      <c r="F227"/>
    </row>
    <row r="228" spans="6:6">
      <c r="F228"/>
    </row>
    <row r="229" spans="6:6">
      <c r="F229"/>
    </row>
    <row r="230" spans="6:6">
      <c r="F230"/>
    </row>
    <row r="231" spans="6:6">
      <c r="F231"/>
    </row>
    <row r="232" spans="6:6">
      <c r="F232"/>
    </row>
    <row r="233" spans="6:6">
      <c r="F233"/>
    </row>
    <row r="234" spans="6:6">
      <c r="F234"/>
    </row>
    <row r="235" spans="6:6">
      <c r="F235"/>
    </row>
    <row r="236" spans="6:6">
      <c r="F236"/>
    </row>
    <row r="237" spans="6:6">
      <c r="F237"/>
    </row>
    <row r="238" spans="6:6">
      <c r="F238"/>
    </row>
    <row r="239" spans="6:6">
      <c r="F239"/>
    </row>
    <row r="240" spans="6:6">
      <c r="F240"/>
    </row>
    <row r="241" spans="6:6">
      <c r="F241"/>
    </row>
    <row r="242" spans="6:6">
      <c r="F242"/>
    </row>
  </sheetData>
  <mergeCells count="1">
    <mergeCell ref="C20:F25"/>
  </mergeCells>
  <pageMargins left="0.7" right="0.7" top="0.75" bottom="0.75" header="0.3" footer="0.3"/>
  <pageSetup paperSize="9" orientation="portrait" r:id="rId2"/>
  <drawing r:id="rId3"/>
  <tableParts count="1">
    <tablePart r:id="rId4"/>
  </tableParts>
  <extLst>
    <ext xmlns:x14="http://schemas.microsoft.com/office/spreadsheetml/2009/9/main" uri="{A8765BA9-456A-4dab-B4F3-ACF838C121DE}">
      <x14:slicerList>
        <x14:slicer r:id="rId5"/>
      </x14:slicerList>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28"/>
  <dimension ref="A1:O243"/>
  <sheetViews>
    <sheetView workbookViewId="0">
      <selection activeCell="E37" sqref="E37"/>
    </sheetView>
  </sheetViews>
  <sheetFormatPr baseColWidth="10" defaultColWidth="0" defaultRowHeight="14.5" zeroHeight="1"/>
  <cols>
    <col min="1" max="1" width="15.26953125" customWidth="1"/>
    <col min="2" max="2" width="19.453125" style="193" customWidth="1"/>
    <col min="3" max="3" width="13.81640625" customWidth="1"/>
    <col min="4" max="4" width="15.453125" style="127" customWidth="1"/>
    <col min="5" max="5" width="11.453125" customWidth="1"/>
    <col min="6" max="8" width="11.453125" hidden="1" customWidth="1"/>
    <col min="9" max="9" width="10.90625" customWidth="1"/>
    <col min="10" max="10" width="13.7265625" style="215" customWidth="1"/>
    <col min="11" max="11" width="21.7265625" customWidth="1"/>
    <col min="12" max="13" width="11.453125" customWidth="1"/>
    <col min="14" max="14" width="21.7265625" customWidth="1"/>
    <col min="15" max="15" width="0" hidden="1" customWidth="1"/>
    <col min="16" max="16384" width="11.453125" hidden="1"/>
  </cols>
  <sheetData>
    <row r="1" spans="1:13" ht="34.15" customHeight="1">
      <c r="A1" s="57" t="s">
        <v>401</v>
      </c>
      <c r="B1" s="235" t="s">
        <v>402</v>
      </c>
      <c r="C1" s="132" t="s">
        <v>403</v>
      </c>
      <c r="D1" s="59" t="str">
        <f>CONCATENATE("Montant ",Controle_des_données!$A$40)</f>
        <v>Montant TTC</v>
      </c>
      <c r="E1" s="30" t="s">
        <v>218</v>
      </c>
      <c r="F1" s="29" t="s">
        <v>404</v>
      </c>
      <c r="G1" s="30" t="s">
        <v>405</v>
      </c>
      <c r="H1" s="30" t="s">
        <v>406</v>
      </c>
      <c r="I1" s="30" t="s">
        <v>407</v>
      </c>
      <c r="J1" s="188" t="s">
        <v>408</v>
      </c>
      <c r="K1" s="178" t="s">
        <v>19</v>
      </c>
      <c r="L1" s="186" t="str">
        <f>IF(Site!C42="", "Compteur 5",Site!C42)</f>
        <v>Compteur 5</v>
      </c>
    </row>
    <row r="2" spans="1:13" ht="20.25" hidden="1" customHeight="1">
      <c r="A2" s="57" t="s">
        <v>401</v>
      </c>
      <c r="B2" s="240" t="s">
        <v>402</v>
      </c>
      <c r="C2" s="58" t="s">
        <v>403</v>
      </c>
      <c r="D2" s="143" t="s">
        <v>437</v>
      </c>
      <c r="E2" s="30" t="s">
        <v>218</v>
      </c>
      <c r="F2" s="29" t="s">
        <v>404</v>
      </c>
      <c r="G2" s="30" t="s">
        <v>405</v>
      </c>
      <c r="H2" s="30" t="s">
        <v>406</v>
      </c>
      <c r="I2" s="215" t="s">
        <v>407</v>
      </c>
      <c r="J2" s="30" t="s">
        <v>408</v>
      </c>
      <c r="K2" s="178"/>
      <c r="L2" s="574"/>
      <c r="M2" s="575"/>
    </row>
    <row r="3" spans="1:13" hidden="1">
      <c r="A3" s="3"/>
      <c r="B3" s="239">
        <f>A4-1</f>
        <v>-1</v>
      </c>
      <c r="C3" s="56">
        <v>0</v>
      </c>
      <c r="D3" s="127">
        <v>0</v>
      </c>
      <c r="F3">
        <f t="shared" ref="F3:F66" si="0">IFERROR(B3-A3+1,"")</f>
        <v>0</v>
      </c>
      <c r="G3">
        <v>0</v>
      </c>
      <c r="H3">
        <v>0</v>
      </c>
      <c r="I3" s="215">
        <f t="shared" ref="I3:I66" si="1">G3</f>
        <v>0</v>
      </c>
      <c r="J3" s="38"/>
      <c r="K3" s="38"/>
      <c r="L3" s="38"/>
      <c r="M3" s="38"/>
    </row>
    <row r="4" spans="1:13">
      <c r="A4" s="3">
        <f>Site!I42</f>
        <v>0</v>
      </c>
      <c r="B4" s="88"/>
      <c r="C4" s="194"/>
      <c r="D4" s="195"/>
      <c r="E4" s="193"/>
      <c r="F4" s="193">
        <f t="shared" si="0"/>
        <v>1</v>
      </c>
      <c r="G4" s="193">
        <f>IF(IFERROR(IF(Str_TypeDonneesCpt5=Cpt_Index,Tab_Compteur_5[[#This Row],[Index]]-M4,Tab_Compteur_5[[#This Row],[Quantité]])/Tab_Compteur_5[[#This Row],[Delta Jour]],"")&lt;0,"",IFERROR(IF(Str_TypeDonneesCpt5=Cpt_Index,Tab_Compteur_5[[#This Row],[Index]]-M4,Tab_Compteur_5[[#This Row],[Quantité]])/Tab_Compteur_5[[#This Row],[Delta Jour]],""))</f>
        <v>0</v>
      </c>
      <c r="H4" s="193">
        <f>IFERROR(Tab_Compteur_5[[#This Row],[Montant]]/Tab_Compteur_5[[#This Row],[Delta Jour]],"")</f>
        <v>0</v>
      </c>
      <c r="I4" s="215">
        <f t="shared" si="1"/>
        <v>0</v>
      </c>
      <c r="J4" s="216"/>
      <c r="K4" s="223" t="s">
        <v>409</v>
      </c>
      <c r="L4" s="178"/>
      <c r="M4" s="224">
        <v>0</v>
      </c>
    </row>
    <row r="5" spans="1:13">
      <c r="A5" s="3">
        <f>IFERROR(B4+1,0)</f>
        <v>1</v>
      </c>
      <c r="B5" s="88"/>
      <c r="C5" s="194"/>
      <c r="D5" s="195"/>
      <c r="E5" s="193"/>
      <c r="F5" s="193">
        <f t="shared" si="0"/>
        <v>0</v>
      </c>
      <c r="G5" s="193" t="str">
        <f>IF(IFERROR(IF(Str_TypeDonneesCpt5=Cpt_Index,Tab_Compteur_5[[#This Row],[Index]]-E4,Tab_Compteur_5[[#This Row],[Quantité]])/Tab_Compteur_5[[#This Row],[Delta Jour]],"")&lt;0,"",IFERROR(IF(Str_TypeDonneesCpt5=Cpt_Index,Tab_Compteur_5[[#This Row],[Index]]-E4,Tab_Compteur_5[[#This Row],[Quantité]])/Tab_Compteur_5[[#This Row],[Delta Jour]],""))</f>
        <v/>
      </c>
      <c r="H5" s="193" t="str">
        <f>IFERROR(Tab_Compteur_5[[#This Row],[Montant]]/Tab_Compteur_5[[#This Row],[Delta Jour]],"")</f>
        <v/>
      </c>
      <c r="I5" s="215" t="str">
        <f t="shared" si="1"/>
        <v/>
      </c>
      <c r="J5" s="216"/>
      <c r="K5" s="38"/>
      <c r="L5" s="38"/>
      <c r="M5" s="38"/>
    </row>
    <row r="6" spans="1:13">
      <c r="A6" s="3">
        <f t="shared" ref="A6:A69" si="2">IFERROR(B5+1,0)</f>
        <v>1</v>
      </c>
      <c r="B6" s="88"/>
      <c r="C6" s="194"/>
      <c r="D6" s="195"/>
      <c r="E6" s="193"/>
      <c r="F6" s="193">
        <f t="shared" si="0"/>
        <v>0</v>
      </c>
      <c r="G6" s="193" t="str">
        <f>IF(IFERROR(IF(Str_TypeDonneesCpt5=Cpt_Index,Tab_Compteur_5[[#This Row],[Index]]-E5,Tab_Compteur_5[[#This Row],[Quantité]])/Tab_Compteur_5[[#This Row],[Delta Jour]],"")&lt;0,"",IFERROR(IF(Str_TypeDonneesCpt5=Cpt_Index,Tab_Compteur_5[[#This Row],[Index]]-E5,Tab_Compteur_5[[#This Row],[Quantité]])/Tab_Compteur_5[[#This Row],[Delta Jour]],""))</f>
        <v/>
      </c>
      <c r="H6" s="193" t="str">
        <f>IFERROR(Tab_Compteur_5[[#This Row],[Montant]]/Tab_Compteur_5[[#This Row],[Delta Jour]],"")</f>
        <v/>
      </c>
      <c r="I6" s="215" t="str">
        <f t="shared" si="1"/>
        <v/>
      </c>
      <c r="J6" s="216"/>
      <c r="K6" s="38"/>
      <c r="L6" s="38"/>
      <c r="M6" s="38"/>
    </row>
    <row r="7" spans="1:13">
      <c r="A7" s="3">
        <f t="shared" si="2"/>
        <v>1</v>
      </c>
      <c r="B7" s="88"/>
      <c r="C7" s="194"/>
      <c r="D7" s="195"/>
      <c r="E7" s="193"/>
      <c r="F7" s="193">
        <f t="shared" si="0"/>
        <v>0</v>
      </c>
      <c r="G7" s="193" t="str">
        <f>IF(IFERROR(IF(Str_TypeDonneesCpt5=Cpt_Index,Tab_Compteur_5[[#This Row],[Index]]-E6,Tab_Compteur_5[[#This Row],[Quantité]])/Tab_Compteur_5[[#This Row],[Delta Jour]],"")&lt;0,"",IFERROR(IF(Str_TypeDonneesCpt5=Cpt_Index,Tab_Compteur_5[[#This Row],[Index]]-E6,Tab_Compteur_5[[#This Row],[Quantité]])/Tab_Compteur_5[[#This Row],[Delta Jour]],""))</f>
        <v/>
      </c>
      <c r="H7" s="193" t="str">
        <f>IFERROR(Tab_Compteur_5[[#This Row],[Montant]]/Tab_Compteur_5[[#This Row],[Delta Jour]],"")</f>
        <v/>
      </c>
      <c r="I7" s="215" t="str">
        <f t="shared" si="1"/>
        <v/>
      </c>
      <c r="J7" s="216"/>
      <c r="K7" s="38"/>
      <c r="L7" s="38"/>
      <c r="M7" s="38"/>
    </row>
    <row r="8" spans="1:13">
      <c r="A8" s="3">
        <f t="shared" si="2"/>
        <v>1</v>
      </c>
      <c r="B8" s="88"/>
      <c r="C8" s="194"/>
      <c r="D8" s="195"/>
      <c r="E8" s="193"/>
      <c r="F8" s="193">
        <f t="shared" si="0"/>
        <v>0</v>
      </c>
      <c r="G8" s="193" t="str">
        <f>IF(IFERROR(IF(Str_TypeDonneesCpt5=Cpt_Index,Tab_Compteur_5[[#This Row],[Index]]-E7,Tab_Compteur_5[[#This Row],[Quantité]])/Tab_Compteur_5[[#This Row],[Delta Jour]],"")&lt;0,"",IFERROR(IF(Str_TypeDonneesCpt5=Cpt_Index,Tab_Compteur_5[[#This Row],[Index]]-E7,Tab_Compteur_5[[#This Row],[Quantité]])/Tab_Compteur_5[[#This Row],[Delta Jour]],""))</f>
        <v/>
      </c>
      <c r="H8" s="193" t="str">
        <f>IFERROR(Tab_Compteur_5[[#This Row],[Montant]]/Tab_Compteur_5[[#This Row],[Delta Jour]],"")</f>
        <v/>
      </c>
      <c r="I8" s="215" t="str">
        <f t="shared" si="1"/>
        <v/>
      </c>
      <c r="J8" s="216"/>
      <c r="K8" s="38"/>
      <c r="L8" s="38"/>
      <c r="M8" s="38"/>
    </row>
    <row r="9" spans="1:13">
      <c r="A9" s="3">
        <f t="shared" si="2"/>
        <v>1</v>
      </c>
      <c r="B9" s="88"/>
      <c r="C9" s="194"/>
      <c r="D9" s="195"/>
      <c r="E9" s="193"/>
      <c r="F9" s="193">
        <f t="shared" si="0"/>
        <v>0</v>
      </c>
      <c r="G9" s="193" t="str">
        <f>IF(IFERROR(IF(Str_TypeDonneesCpt5=Cpt_Index,Tab_Compteur_5[[#This Row],[Index]]-E8,Tab_Compteur_5[[#This Row],[Quantité]])/Tab_Compteur_5[[#This Row],[Delta Jour]],"")&lt;0,"",IFERROR(IF(Str_TypeDonneesCpt5=Cpt_Index,Tab_Compteur_5[[#This Row],[Index]]-E8,Tab_Compteur_5[[#This Row],[Quantité]])/Tab_Compteur_5[[#This Row],[Delta Jour]],""))</f>
        <v/>
      </c>
      <c r="H9" s="193" t="str">
        <f>IFERROR(Tab_Compteur_5[[#This Row],[Montant]]/Tab_Compteur_5[[#This Row],[Delta Jour]],"")</f>
        <v/>
      </c>
      <c r="I9" s="215" t="str">
        <f t="shared" si="1"/>
        <v/>
      </c>
      <c r="J9" s="216"/>
      <c r="K9" s="179"/>
      <c r="L9" s="179"/>
      <c r="M9" s="179"/>
    </row>
    <row r="10" spans="1:13">
      <c r="A10" s="3">
        <f t="shared" si="2"/>
        <v>1</v>
      </c>
      <c r="B10" s="88"/>
      <c r="C10" s="194"/>
      <c r="D10" s="195"/>
      <c r="E10" s="193"/>
      <c r="F10" s="193">
        <f t="shared" si="0"/>
        <v>0</v>
      </c>
      <c r="G10" s="193" t="str">
        <f>IF(IFERROR(IF(Str_TypeDonneesCpt5=Cpt_Index,Tab_Compteur_5[[#This Row],[Index]]-E9,Tab_Compteur_5[[#This Row],[Quantité]])/Tab_Compteur_5[[#This Row],[Delta Jour]],"")&lt;0,"",IFERROR(IF(Str_TypeDonneesCpt5=Cpt_Index,Tab_Compteur_5[[#This Row],[Index]]-E9,Tab_Compteur_5[[#This Row],[Quantité]])/Tab_Compteur_5[[#This Row],[Delta Jour]],""))</f>
        <v/>
      </c>
      <c r="H10" s="193" t="str">
        <f>IFERROR(Tab_Compteur_5[[#This Row],[Montant]]/Tab_Compteur_5[[#This Row],[Delta Jour]],"")</f>
        <v/>
      </c>
      <c r="I10" s="215" t="str">
        <f t="shared" si="1"/>
        <v/>
      </c>
      <c r="J10" s="216"/>
      <c r="K10" s="179"/>
      <c r="L10" s="179"/>
      <c r="M10" s="179"/>
    </row>
    <row r="11" spans="1:13">
      <c r="A11" s="3">
        <f t="shared" si="2"/>
        <v>1</v>
      </c>
      <c r="B11" s="88"/>
      <c r="C11" s="194"/>
      <c r="D11" s="195"/>
      <c r="E11" s="193"/>
      <c r="F11" s="193">
        <f t="shared" si="0"/>
        <v>0</v>
      </c>
      <c r="G11" s="193" t="str">
        <f>IF(IFERROR(IF(Str_TypeDonneesCpt5=Cpt_Index,Tab_Compteur_5[[#This Row],[Index]]-E10,Tab_Compteur_5[[#This Row],[Quantité]])/Tab_Compteur_5[[#This Row],[Delta Jour]],"")&lt;0,"",IFERROR(IF(Str_TypeDonneesCpt5=Cpt_Index,Tab_Compteur_5[[#This Row],[Index]]-E10,Tab_Compteur_5[[#This Row],[Quantité]])/Tab_Compteur_5[[#This Row],[Delta Jour]],""))</f>
        <v/>
      </c>
      <c r="H11" s="193" t="str">
        <f>IFERROR(Tab_Compteur_5[[#This Row],[Montant]]/Tab_Compteur_5[[#This Row],[Delta Jour]],"")</f>
        <v/>
      </c>
      <c r="I11" s="215" t="str">
        <f t="shared" si="1"/>
        <v/>
      </c>
      <c r="J11" s="216"/>
      <c r="K11" s="573"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73"/>
      <c r="M11" s="573"/>
    </row>
    <row r="12" spans="1:13">
      <c r="A12" s="3">
        <f t="shared" si="2"/>
        <v>1</v>
      </c>
      <c r="B12" s="88"/>
      <c r="C12" s="194"/>
      <c r="D12" s="195"/>
      <c r="E12" s="193"/>
      <c r="F12" s="193">
        <f t="shared" si="0"/>
        <v>0</v>
      </c>
      <c r="G12" s="193" t="str">
        <f>IF(IFERROR(IF(Str_TypeDonneesCpt5=Cpt_Index,Tab_Compteur_5[[#This Row],[Index]]-E11,Tab_Compteur_5[[#This Row],[Quantité]])/Tab_Compteur_5[[#This Row],[Delta Jour]],"")&lt;0,"",IFERROR(IF(Str_TypeDonneesCpt5=Cpt_Index,Tab_Compteur_5[[#This Row],[Index]]-E11,Tab_Compteur_5[[#This Row],[Quantité]])/Tab_Compteur_5[[#This Row],[Delta Jour]],""))</f>
        <v/>
      </c>
      <c r="H12" s="193" t="str">
        <f>IFERROR(Tab_Compteur_5[[#This Row],[Montant]]/Tab_Compteur_5[[#This Row],[Delta Jour]],"")</f>
        <v/>
      </c>
      <c r="I12" s="215" t="str">
        <f t="shared" si="1"/>
        <v/>
      </c>
      <c r="J12" s="216"/>
      <c r="K12" s="573"/>
      <c r="L12" s="573"/>
      <c r="M12" s="573"/>
    </row>
    <row r="13" spans="1:13">
      <c r="A13" s="3">
        <f t="shared" si="2"/>
        <v>1</v>
      </c>
      <c r="B13" s="88"/>
      <c r="C13" s="194"/>
      <c r="D13" s="195"/>
      <c r="E13" s="193"/>
      <c r="F13" s="193">
        <f t="shared" si="0"/>
        <v>0</v>
      </c>
      <c r="G13" s="193" t="str">
        <f>IF(IFERROR(IF(Str_TypeDonneesCpt5=Cpt_Index,Tab_Compteur_5[[#This Row],[Index]]-E12,Tab_Compteur_5[[#This Row],[Quantité]])/Tab_Compteur_5[[#This Row],[Delta Jour]],"")&lt;0,"",IFERROR(IF(Str_TypeDonneesCpt5=Cpt_Index,Tab_Compteur_5[[#This Row],[Index]]-E12,Tab_Compteur_5[[#This Row],[Quantité]])/Tab_Compteur_5[[#This Row],[Delta Jour]],""))</f>
        <v/>
      </c>
      <c r="H13" s="193" t="str">
        <f>IFERROR(Tab_Compteur_5[[#This Row],[Montant]]/Tab_Compteur_5[[#This Row],[Delta Jour]],"")</f>
        <v/>
      </c>
      <c r="I13" s="215" t="str">
        <f t="shared" si="1"/>
        <v/>
      </c>
      <c r="J13" s="216"/>
      <c r="K13" s="573"/>
      <c r="L13" s="573"/>
      <c r="M13" s="573"/>
    </row>
    <row r="14" spans="1:13">
      <c r="A14" s="3">
        <f t="shared" si="2"/>
        <v>1</v>
      </c>
      <c r="B14" s="88"/>
      <c r="C14" s="194"/>
      <c r="D14" s="195"/>
      <c r="E14" s="193"/>
      <c r="F14" s="193">
        <f t="shared" si="0"/>
        <v>0</v>
      </c>
      <c r="G14" s="193" t="str">
        <f>IF(IFERROR(IF(Str_TypeDonneesCpt5=Cpt_Index,Tab_Compteur_5[[#This Row],[Index]]-E13,Tab_Compteur_5[[#This Row],[Quantité]])/Tab_Compteur_5[[#This Row],[Delta Jour]],"")&lt;0,"",IFERROR(IF(Str_TypeDonneesCpt5=Cpt_Index,Tab_Compteur_5[[#This Row],[Index]]-E13,Tab_Compteur_5[[#This Row],[Quantité]])/Tab_Compteur_5[[#This Row],[Delta Jour]],""))</f>
        <v/>
      </c>
      <c r="H14" s="193" t="str">
        <f>IFERROR(Tab_Compteur_5[[#This Row],[Montant]]/Tab_Compteur_5[[#This Row],[Delta Jour]],"")</f>
        <v/>
      </c>
      <c r="I14" s="215" t="str">
        <f t="shared" si="1"/>
        <v/>
      </c>
      <c r="J14" s="216"/>
      <c r="K14" s="573"/>
      <c r="L14" s="573"/>
      <c r="M14" s="573"/>
    </row>
    <row r="15" spans="1:13">
      <c r="A15" s="3">
        <f t="shared" si="2"/>
        <v>1</v>
      </c>
      <c r="B15" s="88"/>
      <c r="C15" s="194"/>
      <c r="D15" s="195"/>
      <c r="E15" s="193"/>
      <c r="F15" s="193">
        <f t="shared" si="0"/>
        <v>0</v>
      </c>
      <c r="G15" s="193" t="str">
        <f>IF(IFERROR(IF(Str_TypeDonneesCpt5=Cpt_Index,Tab_Compteur_5[[#This Row],[Index]]-E14,Tab_Compteur_5[[#This Row],[Quantité]])/Tab_Compteur_5[[#This Row],[Delta Jour]],"")&lt;0,"",IFERROR(IF(Str_TypeDonneesCpt5=Cpt_Index,Tab_Compteur_5[[#This Row],[Index]]-E14,Tab_Compteur_5[[#This Row],[Quantité]])/Tab_Compteur_5[[#This Row],[Delta Jour]],""))</f>
        <v/>
      </c>
      <c r="H15" s="193" t="str">
        <f>IFERROR(Tab_Compteur_5[[#This Row],[Montant]]/Tab_Compteur_5[[#This Row],[Delta Jour]],"")</f>
        <v/>
      </c>
      <c r="I15" s="215" t="str">
        <f t="shared" si="1"/>
        <v/>
      </c>
      <c r="J15" s="216"/>
      <c r="K15" s="573"/>
      <c r="L15" s="573"/>
      <c r="M15" s="573"/>
    </row>
    <row r="16" spans="1:13">
      <c r="A16" s="3">
        <f t="shared" si="2"/>
        <v>1</v>
      </c>
      <c r="B16" s="88"/>
      <c r="C16" s="194"/>
      <c r="D16" s="195"/>
      <c r="E16" s="193"/>
      <c r="F16" s="193">
        <f t="shared" si="0"/>
        <v>0</v>
      </c>
      <c r="G16" s="193" t="str">
        <f>IF(IFERROR(IF(Str_TypeDonneesCpt5=Cpt_Index,Tab_Compteur_5[[#This Row],[Index]]-E15,Tab_Compteur_5[[#This Row],[Quantité]])/Tab_Compteur_5[[#This Row],[Delta Jour]],"")&lt;0,"",IFERROR(IF(Str_TypeDonneesCpt5=Cpt_Index,Tab_Compteur_5[[#This Row],[Index]]-E15,Tab_Compteur_5[[#This Row],[Quantité]])/Tab_Compteur_5[[#This Row],[Delta Jour]],""))</f>
        <v/>
      </c>
      <c r="H16" s="193" t="str">
        <f>IFERROR(Tab_Compteur_5[[#This Row],[Montant]]/Tab_Compteur_5[[#This Row],[Delta Jour]],"")</f>
        <v/>
      </c>
      <c r="I16" s="215" t="str">
        <f t="shared" si="1"/>
        <v/>
      </c>
      <c r="J16" s="216"/>
      <c r="K16" s="573"/>
      <c r="L16" s="573"/>
      <c r="M16" s="573"/>
    </row>
    <row r="17" spans="1:13">
      <c r="A17" s="3">
        <f t="shared" si="2"/>
        <v>1</v>
      </c>
      <c r="B17" s="88"/>
      <c r="C17" s="194"/>
      <c r="D17" s="195"/>
      <c r="E17" s="193"/>
      <c r="F17" s="193">
        <f t="shared" si="0"/>
        <v>0</v>
      </c>
      <c r="G17" s="193" t="str">
        <f>IF(IFERROR(IF(Str_TypeDonneesCpt5=Cpt_Index,Tab_Compteur_5[[#This Row],[Index]]-E16,Tab_Compteur_5[[#This Row],[Quantité]])/Tab_Compteur_5[[#This Row],[Delta Jour]],"")&lt;0,"",IFERROR(IF(Str_TypeDonneesCpt5=Cpt_Index,Tab_Compteur_5[[#This Row],[Index]]-E16,Tab_Compteur_5[[#This Row],[Quantité]])/Tab_Compteur_5[[#This Row],[Delta Jour]],""))</f>
        <v/>
      </c>
      <c r="H17" s="193" t="str">
        <f>IFERROR(Tab_Compteur_5[[#This Row],[Montant]]/Tab_Compteur_5[[#This Row],[Delta Jour]],"")</f>
        <v/>
      </c>
      <c r="I17" s="215" t="str">
        <f t="shared" si="1"/>
        <v/>
      </c>
      <c r="J17" s="216"/>
      <c r="K17" s="573"/>
      <c r="L17" s="573"/>
      <c r="M17" s="573"/>
    </row>
    <row r="18" spans="1:13">
      <c r="A18" s="3">
        <f t="shared" si="2"/>
        <v>1</v>
      </c>
      <c r="B18" s="88"/>
      <c r="C18" s="196"/>
      <c r="D18" s="195"/>
      <c r="E18" s="193"/>
      <c r="F18" s="193">
        <f t="shared" si="0"/>
        <v>0</v>
      </c>
      <c r="G18" s="193" t="str">
        <f>IF(IFERROR(IF(Str_TypeDonneesCpt5=Cpt_Index,Tab_Compteur_5[[#This Row],[Index]]-E17,Tab_Compteur_5[[#This Row],[Quantité]])/Tab_Compteur_5[[#This Row],[Delta Jour]],"")&lt;0,"",IFERROR(IF(Str_TypeDonneesCpt5=Cpt_Index,Tab_Compteur_5[[#This Row],[Index]]-E17,Tab_Compteur_5[[#This Row],[Quantité]])/Tab_Compteur_5[[#This Row],[Delta Jour]],""))</f>
        <v/>
      </c>
      <c r="H18" s="193" t="str">
        <f>IFERROR(Tab_Compteur_5[[#This Row],[Montant]]/Tab_Compteur_5[[#This Row],[Delta Jour]],"")</f>
        <v/>
      </c>
      <c r="I18" s="215" t="str">
        <f t="shared" si="1"/>
        <v/>
      </c>
      <c r="J18" s="216"/>
      <c r="K18" s="573"/>
      <c r="L18" s="573"/>
      <c r="M18" s="573"/>
    </row>
    <row r="19" spans="1:13">
      <c r="A19" s="3">
        <f t="shared" si="2"/>
        <v>1</v>
      </c>
      <c r="B19" s="88"/>
      <c r="C19" s="197"/>
      <c r="D19" s="198"/>
      <c r="E19" s="193"/>
      <c r="F19" s="193">
        <f t="shared" si="0"/>
        <v>0</v>
      </c>
      <c r="G19" s="193" t="str">
        <f>IF(IFERROR(IF(Str_TypeDonneesCpt5=Cpt_Index,Tab_Compteur_5[[#This Row],[Index]]-E18,Tab_Compteur_5[[#This Row],[Quantité]])/Tab_Compteur_5[[#This Row],[Delta Jour]],"")&lt;0,"",IFERROR(IF(Str_TypeDonneesCpt5=Cpt_Index,Tab_Compteur_5[[#This Row],[Index]]-E18,Tab_Compteur_5[[#This Row],[Quantité]])/Tab_Compteur_5[[#This Row],[Delta Jour]],""))</f>
        <v/>
      </c>
      <c r="H19" s="193" t="str">
        <f>IFERROR(Tab_Compteur_5[[#This Row],[Montant]]/Tab_Compteur_5[[#This Row],[Delta Jour]],"")</f>
        <v/>
      </c>
      <c r="I19" s="215" t="str">
        <f t="shared" si="1"/>
        <v/>
      </c>
      <c r="J19" s="216"/>
      <c r="K19" s="573"/>
      <c r="L19" s="573"/>
      <c r="M19" s="573"/>
    </row>
    <row r="20" spans="1:13">
      <c r="A20" s="3">
        <f t="shared" si="2"/>
        <v>1</v>
      </c>
      <c r="B20" s="88"/>
      <c r="C20" s="199"/>
      <c r="D20" s="198"/>
      <c r="E20" s="193"/>
      <c r="F20" s="193">
        <f t="shared" si="0"/>
        <v>0</v>
      </c>
      <c r="G20" s="193" t="str">
        <f>IF(IFERROR(IF(Str_TypeDonneesCpt5=Cpt_Index,Tab_Compteur_5[[#This Row],[Index]]-E19,Tab_Compteur_5[[#This Row],[Quantité]])/Tab_Compteur_5[[#This Row],[Delta Jour]],"")&lt;0,"",IFERROR(IF(Str_TypeDonneesCpt5=Cpt_Index,Tab_Compteur_5[[#This Row],[Index]]-E19,Tab_Compteur_5[[#This Row],[Quantité]])/Tab_Compteur_5[[#This Row],[Delta Jour]],""))</f>
        <v/>
      </c>
      <c r="H20" s="193" t="str">
        <f>IFERROR(Tab_Compteur_5[[#This Row],[Montant]]/Tab_Compteur_5[[#This Row],[Delta Jour]],"")</f>
        <v/>
      </c>
      <c r="I20" s="215" t="str">
        <f t="shared" si="1"/>
        <v/>
      </c>
      <c r="J20" s="216"/>
      <c r="K20" s="573"/>
      <c r="L20" s="573"/>
      <c r="M20" s="573"/>
    </row>
    <row r="21" spans="1:13">
      <c r="A21" s="3">
        <f t="shared" si="2"/>
        <v>1</v>
      </c>
      <c r="B21" s="88"/>
      <c r="C21" s="199"/>
      <c r="D21" s="198"/>
      <c r="E21" s="193"/>
      <c r="F21" s="193">
        <f t="shared" si="0"/>
        <v>0</v>
      </c>
      <c r="G21" s="193" t="str">
        <f>IF(IFERROR(IF(Str_TypeDonneesCpt5=Cpt_Index,Tab_Compteur_5[[#This Row],[Index]]-E20,Tab_Compteur_5[[#This Row],[Quantité]])/Tab_Compteur_5[[#This Row],[Delta Jour]],"")&lt;0,"",IFERROR(IF(Str_TypeDonneesCpt5=Cpt_Index,Tab_Compteur_5[[#This Row],[Index]]-E20,Tab_Compteur_5[[#This Row],[Quantité]])/Tab_Compteur_5[[#This Row],[Delta Jour]],""))</f>
        <v/>
      </c>
      <c r="H21" s="193" t="str">
        <f>IFERROR(Tab_Compteur_5[[#This Row],[Montant]]/Tab_Compteur_5[[#This Row],[Delta Jour]],"")</f>
        <v/>
      </c>
      <c r="I21" s="215" t="str">
        <f t="shared" si="1"/>
        <v/>
      </c>
      <c r="J21" s="216"/>
      <c r="K21" s="573"/>
      <c r="L21" s="573"/>
      <c r="M21" s="573"/>
    </row>
    <row r="22" spans="1:13">
      <c r="A22" s="3">
        <f t="shared" si="2"/>
        <v>1</v>
      </c>
      <c r="B22" s="88"/>
      <c r="C22" s="199"/>
      <c r="D22" s="198"/>
      <c r="E22" s="193"/>
      <c r="F22" s="193">
        <f t="shared" si="0"/>
        <v>0</v>
      </c>
      <c r="G22" s="193" t="str">
        <f>IF(IFERROR(IF(Str_TypeDonneesCpt5=Cpt_Index,Tab_Compteur_5[[#This Row],[Index]]-E21,Tab_Compteur_5[[#This Row],[Quantité]])/Tab_Compteur_5[[#This Row],[Delta Jour]],"")&lt;0,"",IFERROR(IF(Str_TypeDonneesCpt5=Cpt_Index,Tab_Compteur_5[[#This Row],[Index]]-E21,Tab_Compteur_5[[#This Row],[Quantité]])/Tab_Compteur_5[[#This Row],[Delta Jour]],""))</f>
        <v/>
      </c>
      <c r="H22" s="193" t="str">
        <f>IFERROR(Tab_Compteur_5[[#This Row],[Montant]]/Tab_Compteur_5[[#This Row],[Delta Jour]],"")</f>
        <v/>
      </c>
      <c r="I22" s="215" t="str">
        <f t="shared" si="1"/>
        <v/>
      </c>
      <c r="J22" s="216"/>
      <c r="K22" s="573"/>
      <c r="L22" s="573"/>
      <c r="M22" s="573"/>
    </row>
    <row r="23" spans="1:13">
      <c r="A23" s="3">
        <f t="shared" si="2"/>
        <v>1</v>
      </c>
      <c r="B23" s="88"/>
      <c r="C23" s="199"/>
      <c r="D23" s="198"/>
      <c r="E23" s="193"/>
      <c r="F23" s="193">
        <f t="shared" si="0"/>
        <v>0</v>
      </c>
      <c r="G23" s="193" t="str">
        <f>IF(IFERROR(IF(Str_TypeDonneesCpt5=Cpt_Index,Tab_Compteur_5[[#This Row],[Index]]-E22,Tab_Compteur_5[[#This Row],[Quantité]])/Tab_Compteur_5[[#This Row],[Delta Jour]],"")&lt;0,"",IFERROR(IF(Str_TypeDonneesCpt5=Cpt_Index,Tab_Compteur_5[[#This Row],[Index]]-E22,Tab_Compteur_5[[#This Row],[Quantité]])/Tab_Compteur_5[[#This Row],[Delta Jour]],""))</f>
        <v/>
      </c>
      <c r="H23" s="193" t="str">
        <f>IFERROR(Tab_Compteur_5[[#This Row],[Montant]]/Tab_Compteur_5[[#This Row],[Delta Jour]],"")</f>
        <v/>
      </c>
      <c r="I23" s="215" t="str">
        <f t="shared" si="1"/>
        <v/>
      </c>
      <c r="J23" s="216"/>
      <c r="K23" s="573"/>
      <c r="L23" s="573"/>
      <c r="M23" s="573"/>
    </row>
    <row r="24" spans="1:13">
      <c r="A24" s="3">
        <f t="shared" si="2"/>
        <v>1</v>
      </c>
      <c r="B24" s="88"/>
      <c r="C24" s="199"/>
      <c r="D24" s="198"/>
      <c r="E24" s="193"/>
      <c r="F24" s="193">
        <f t="shared" si="0"/>
        <v>0</v>
      </c>
      <c r="G24" s="193" t="str">
        <f>IF(IFERROR(IF(Str_TypeDonneesCpt5=Cpt_Index,Tab_Compteur_5[[#This Row],[Index]]-E23,Tab_Compteur_5[[#This Row],[Quantité]])/Tab_Compteur_5[[#This Row],[Delta Jour]],"")&lt;0,"",IFERROR(IF(Str_TypeDonneesCpt5=Cpt_Index,Tab_Compteur_5[[#This Row],[Index]]-E23,Tab_Compteur_5[[#This Row],[Quantité]])/Tab_Compteur_5[[#This Row],[Delta Jour]],""))</f>
        <v/>
      </c>
      <c r="H24" s="193" t="str">
        <f>IFERROR(Tab_Compteur_5[[#This Row],[Montant]]/Tab_Compteur_5[[#This Row],[Delta Jour]],"")</f>
        <v/>
      </c>
      <c r="I24" s="215" t="str">
        <f t="shared" si="1"/>
        <v/>
      </c>
      <c r="J24" s="216"/>
      <c r="K24" s="573"/>
      <c r="L24" s="573"/>
      <c r="M24" s="573"/>
    </row>
    <row r="25" spans="1:13">
      <c r="A25" s="3">
        <f t="shared" si="2"/>
        <v>1</v>
      </c>
      <c r="B25" s="88"/>
      <c r="C25" s="199"/>
      <c r="D25" s="198"/>
      <c r="E25" s="193"/>
      <c r="F25" s="193">
        <f t="shared" si="0"/>
        <v>0</v>
      </c>
      <c r="G25" s="193" t="str">
        <f>IF(IFERROR(IF(Str_TypeDonneesCpt5=Cpt_Index,Tab_Compteur_5[[#This Row],[Index]]-E24,Tab_Compteur_5[[#This Row],[Quantité]])/Tab_Compteur_5[[#This Row],[Delta Jour]],"")&lt;0,"",IFERROR(IF(Str_TypeDonneesCpt5=Cpt_Index,Tab_Compteur_5[[#This Row],[Index]]-E24,Tab_Compteur_5[[#This Row],[Quantité]])/Tab_Compteur_5[[#This Row],[Delta Jour]],""))</f>
        <v/>
      </c>
      <c r="H25" s="193" t="str">
        <f>IFERROR(Tab_Compteur_5[[#This Row],[Montant]]/Tab_Compteur_5[[#This Row],[Delta Jour]],"")</f>
        <v/>
      </c>
      <c r="I25" s="215" t="str">
        <f t="shared" si="1"/>
        <v/>
      </c>
      <c r="J25" s="216"/>
      <c r="K25" s="573"/>
      <c r="L25" s="573"/>
      <c r="M25" s="573"/>
    </row>
    <row r="26" spans="1:13">
      <c r="A26" s="3">
        <f t="shared" si="2"/>
        <v>1</v>
      </c>
      <c r="B26" s="88"/>
      <c r="C26" s="199"/>
      <c r="D26" s="198"/>
      <c r="E26" s="193"/>
      <c r="F26" s="193">
        <f t="shared" si="0"/>
        <v>0</v>
      </c>
      <c r="G26" s="193" t="str">
        <f>IF(IFERROR(IF(Str_TypeDonneesCpt5=Cpt_Index,Tab_Compteur_5[[#This Row],[Index]]-E25,Tab_Compteur_5[[#This Row],[Quantité]])/Tab_Compteur_5[[#This Row],[Delta Jour]],"")&lt;0,"",IFERROR(IF(Str_TypeDonneesCpt5=Cpt_Index,Tab_Compteur_5[[#This Row],[Index]]-E25,Tab_Compteur_5[[#This Row],[Quantité]])/Tab_Compteur_5[[#This Row],[Delta Jour]],""))</f>
        <v/>
      </c>
      <c r="H26" s="193" t="str">
        <f>IFERROR(Tab_Compteur_5[[#This Row],[Montant]]/Tab_Compteur_5[[#This Row],[Delta Jour]],"")</f>
        <v/>
      </c>
      <c r="I26" s="215" t="str">
        <f t="shared" si="1"/>
        <v/>
      </c>
      <c r="J26" s="216"/>
      <c r="K26" s="573"/>
      <c r="L26" s="573"/>
      <c r="M26" s="573"/>
    </row>
    <row r="27" spans="1:13">
      <c r="A27" s="3">
        <f t="shared" si="2"/>
        <v>1</v>
      </c>
      <c r="B27" s="88"/>
      <c r="C27" s="199"/>
      <c r="D27" s="198"/>
      <c r="E27" s="193"/>
      <c r="F27" s="193">
        <f t="shared" si="0"/>
        <v>0</v>
      </c>
      <c r="G27" s="193" t="str">
        <f>IF(IFERROR(IF(Str_TypeDonneesCpt5=Cpt_Index,Tab_Compteur_5[[#This Row],[Index]]-E26,Tab_Compteur_5[[#This Row],[Quantité]])/Tab_Compteur_5[[#This Row],[Delta Jour]],"")&lt;0,"",IFERROR(IF(Str_TypeDonneesCpt5=Cpt_Index,Tab_Compteur_5[[#This Row],[Index]]-E26,Tab_Compteur_5[[#This Row],[Quantité]])/Tab_Compteur_5[[#This Row],[Delta Jour]],""))</f>
        <v/>
      </c>
      <c r="H27" s="193" t="str">
        <f>IFERROR(Tab_Compteur_5[[#This Row],[Montant]]/Tab_Compteur_5[[#This Row],[Delta Jour]],"")</f>
        <v/>
      </c>
      <c r="I27" s="215" t="str">
        <f t="shared" si="1"/>
        <v/>
      </c>
      <c r="J27" s="216"/>
      <c r="K27" s="573"/>
      <c r="L27" s="573"/>
      <c r="M27" s="573"/>
    </row>
    <row r="28" spans="1:13">
      <c r="A28" s="3">
        <f t="shared" si="2"/>
        <v>1</v>
      </c>
      <c r="B28" s="88"/>
      <c r="C28" s="199"/>
      <c r="D28" s="198"/>
      <c r="E28" s="193"/>
      <c r="F28" s="193">
        <f t="shared" si="0"/>
        <v>0</v>
      </c>
      <c r="G28" s="193" t="str">
        <f>IF(IFERROR(IF(Str_TypeDonneesCpt5=Cpt_Index,Tab_Compteur_5[[#This Row],[Index]]-E27,Tab_Compteur_5[[#This Row],[Quantité]])/Tab_Compteur_5[[#This Row],[Delta Jour]],"")&lt;0,"",IFERROR(IF(Str_TypeDonneesCpt5=Cpt_Index,Tab_Compteur_5[[#This Row],[Index]]-E27,Tab_Compteur_5[[#This Row],[Quantité]])/Tab_Compteur_5[[#This Row],[Delta Jour]],""))</f>
        <v/>
      </c>
      <c r="H28" s="193" t="str">
        <f>IFERROR(Tab_Compteur_5[[#This Row],[Montant]]/Tab_Compteur_5[[#This Row],[Delta Jour]],"")</f>
        <v/>
      </c>
      <c r="I28" s="215" t="str">
        <f t="shared" si="1"/>
        <v/>
      </c>
      <c r="J28" s="216"/>
      <c r="K28" s="573"/>
      <c r="L28" s="573"/>
      <c r="M28" s="573"/>
    </row>
    <row r="29" spans="1:13">
      <c r="A29" s="3">
        <f t="shared" si="2"/>
        <v>1</v>
      </c>
      <c r="B29" s="88"/>
      <c r="C29" s="197"/>
      <c r="D29" s="198"/>
      <c r="E29" s="193"/>
      <c r="F29" s="193">
        <f t="shared" si="0"/>
        <v>0</v>
      </c>
      <c r="G29" s="193" t="str">
        <f>IF(IFERROR(IF(Str_TypeDonneesCpt5=Cpt_Index,Tab_Compteur_5[[#This Row],[Index]]-E28,Tab_Compteur_5[[#This Row],[Quantité]])/Tab_Compteur_5[[#This Row],[Delta Jour]],"")&lt;0,"",IFERROR(IF(Str_TypeDonneesCpt5=Cpt_Index,Tab_Compteur_5[[#This Row],[Index]]-E28,Tab_Compteur_5[[#This Row],[Quantité]])/Tab_Compteur_5[[#This Row],[Delta Jour]],""))</f>
        <v/>
      </c>
      <c r="H29" s="193" t="str">
        <f>IFERROR(Tab_Compteur_5[[#This Row],[Montant]]/Tab_Compteur_5[[#This Row],[Delta Jour]],"")</f>
        <v/>
      </c>
      <c r="I29" s="215" t="str">
        <f t="shared" si="1"/>
        <v/>
      </c>
      <c r="J29" s="216"/>
      <c r="K29" s="573"/>
      <c r="L29" s="573"/>
      <c r="M29" s="573"/>
    </row>
    <row r="30" spans="1:13">
      <c r="A30" s="3">
        <f t="shared" si="2"/>
        <v>1</v>
      </c>
      <c r="B30" s="88"/>
      <c r="C30" s="197"/>
      <c r="D30" s="198"/>
      <c r="E30" s="193"/>
      <c r="F30" s="193">
        <f t="shared" si="0"/>
        <v>0</v>
      </c>
      <c r="G30" s="193" t="str">
        <f>IF(IFERROR(IF(Str_TypeDonneesCpt5=Cpt_Index,Tab_Compteur_5[[#This Row],[Index]]-E29,Tab_Compteur_5[[#This Row],[Quantité]])/Tab_Compteur_5[[#This Row],[Delta Jour]],"")&lt;0,"",IFERROR(IF(Str_TypeDonneesCpt5=Cpt_Index,Tab_Compteur_5[[#This Row],[Index]]-E29,Tab_Compteur_5[[#This Row],[Quantité]])/Tab_Compteur_5[[#This Row],[Delta Jour]],""))</f>
        <v/>
      </c>
      <c r="H30" s="193" t="str">
        <f>IFERROR(Tab_Compteur_5[[#This Row],[Montant]]/Tab_Compteur_5[[#This Row],[Delta Jour]],"")</f>
        <v/>
      </c>
      <c r="I30" s="215" t="str">
        <f t="shared" si="1"/>
        <v/>
      </c>
      <c r="J30" s="216"/>
      <c r="K30" s="573"/>
      <c r="L30" s="573"/>
      <c r="M30" s="573"/>
    </row>
    <row r="31" spans="1:13">
      <c r="A31" s="3">
        <f t="shared" si="2"/>
        <v>1</v>
      </c>
      <c r="B31" s="88"/>
      <c r="C31" s="197"/>
      <c r="D31" s="198"/>
      <c r="E31" s="193"/>
      <c r="F31" s="193">
        <f t="shared" si="0"/>
        <v>0</v>
      </c>
      <c r="G31" s="193" t="str">
        <f>IF(IFERROR(IF(Str_TypeDonneesCpt5=Cpt_Index,Tab_Compteur_5[[#This Row],[Index]]-E30,Tab_Compteur_5[[#This Row],[Quantité]])/Tab_Compteur_5[[#This Row],[Delta Jour]],"")&lt;0,"",IFERROR(IF(Str_TypeDonneesCpt5=Cpt_Index,Tab_Compteur_5[[#This Row],[Index]]-E30,Tab_Compteur_5[[#This Row],[Quantité]])/Tab_Compteur_5[[#This Row],[Delta Jour]],""))</f>
        <v/>
      </c>
      <c r="H31" s="193" t="str">
        <f>IFERROR(Tab_Compteur_5[[#This Row],[Montant]]/Tab_Compteur_5[[#This Row],[Delta Jour]],"")</f>
        <v/>
      </c>
      <c r="I31" s="215" t="str">
        <f t="shared" si="1"/>
        <v/>
      </c>
      <c r="J31" s="216"/>
      <c r="K31" s="573"/>
      <c r="L31" s="573"/>
      <c r="M31" s="573"/>
    </row>
    <row r="32" spans="1:13">
      <c r="A32" s="3">
        <f t="shared" si="2"/>
        <v>1</v>
      </c>
      <c r="B32" s="88"/>
      <c r="C32" s="199"/>
      <c r="D32" s="198"/>
      <c r="E32" s="193"/>
      <c r="F32" s="193">
        <f t="shared" si="0"/>
        <v>0</v>
      </c>
      <c r="G32" s="193" t="str">
        <f>IF(IFERROR(IF(Str_TypeDonneesCpt5=Cpt_Index,Tab_Compteur_5[[#This Row],[Index]]-E31,Tab_Compteur_5[[#This Row],[Quantité]])/Tab_Compteur_5[[#This Row],[Delta Jour]],"")&lt;0,"",IFERROR(IF(Str_TypeDonneesCpt5=Cpt_Index,Tab_Compteur_5[[#This Row],[Index]]-E31,Tab_Compteur_5[[#This Row],[Quantité]])/Tab_Compteur_5[[#This Row],[Delta Jour]],""))</f>
        <v/>
      </c>
      <c r="H32" s="193" t="str">
        <f>IFERROR(Tab_Compteur_5[[#This Row],[Montant]]/Tab_Compteur_5[[#This Row],[Delta Jour]],"")</f>
        <v/>
      </c>
      <c r="I32" s="215" t="str">
        <f t="shared" si="1"/>
        <v/>
      </c>
      <c r="J32" s="216"/>
      <c r="K32" s="573"/>
      <c r="L32" s="573"/>
      <c r="M32" s="573"/>
    </row>
    <row r="33" spans="1:13">
      <c r="A33" s="3">
        <f t="shared" si="2"/>
        <v>1</v>
      </c>
      <c r="B33" s="88"/>
      <c r="C33" s="199"/>
      <c r="D33" s="198"/>
      <c r="E33" s="193"/>
      <c r="F33" s="193">
        <f t="shared" si="0"/>
        <v>0</v>
      </c>
      <c r="G33" s="193" t="str">
        <f>IF(IFERROR(IF(Str_TypeDonneesCpt5=Cpt_Index,Tab_Compteur_5[[#This Row],[Index]]-E32,Tab_Compteur_5[[#This Row],[Quantité]])/Tab_Compteur_5[[#This Row],[Delta Jour]],"")&lt;0,"",IFERROR(IF(Str_TypeDonneesCpt5=Cpt_Index,Tab_Compteur_5[[#This Row],[Index]]-E32,Tab_Compteur_5[[#This Row],[Quantité]])/Tab_Compteur_5[[#This Row],[Delta Jour]],""))</f>
        <v/>
      </c>
      <c r="H33" s="193" t="str">
        <f>IFERROR(Tab_Compteur_5[[#This Row],[Montant]]/Tab_Compteur_5[[#This Row],[Delta Jour]],"")</f>
        <v/>
      </c>
      <c r="I33" s="215" t="str">
        <f t="shared" si="1"/>
        <v/>
      </c>
      <c r="J33" s="216"/>
      <c r="K33" s="573"/>
      <c r="L33" s="573"/>
      <c r="M33" s="573"/>
    </row>
    <row r="34" spans="1:13">
      <c r="A34" s="3">
        <f t="shared" si="2"/>
        <v>1</v>
      </c>
      <c r="B34" s="88"/>
      <c r="C34" s="199"/>
      <c r="D34" s="198"/>
      <c r="E34" s="193"/>
      <c r="F34" s="193">
        <f t="shared" si="0"/>
        <v>0</v>
      </c>
      <c r="G34" s="193" t="str">
        <f>IF(IFERROR(IF(Str_TypeDonneesCpt5=Cpt_Index,Tab_Compteur_5[[#This Row],[Index]]-E33,Tab_Compteur_5[[#This Row],[Quantité]])/Tab_Compteur_5[[#This Row],[Delta Jour]],"")&lt;0,"",IFERROR(IF(Str_TypeDonneesCpt5=Cpt_Index,Tab_Compteur_5[[#This Row],[Index]]-E33,Tab_Compteur_5[[#This Row],[Quantité]])/Tab_Compteur_5[[#This Row],[Delta Jour]],""))</f>
        <v/>
      </c>
      <c r="H34" s="193" t="str">
        <f>IFERROR(Tab_Compteur_5[[#This Row],[Montant]]/Tab_Compteur_5[[#This Row],[Delta Jour]],"")</f>
        <v/>
      </c>
      <c r="I34" s="215" t="str">
        <f t="shared" si="1"/>
        <v/>
      </c>
      <c r="J34" s="216"/>
      <c r="K34" s="38"/>
      <c r="L34" s="38"/>
      <c r="M34" s="38"/>
    </row>
    <row r="35" spans="1:13">
      <c r="A35" s="3">
        <f t="shared" si="2"/>
        <v>1</v>
      </c>
      <c r="B35" s="88"/>
      <c r="C35" s="199"/>
      <c r="D35" s="198"/>
      <c r="E35" s="193"/>
      <c r="F35" s="193">
        <f t="shared" si="0"/>
        <v>0</v>
      </c>
      <c r="G35" s="193" t="str">
        <f>IF(IFERROR(IF(Str_TypeDonneesCpt5=Cpt_Index,Tab_Compteur_5[[#This Row],[Index]]-E34,Tab_Compteur_5[[#This Row],[Quantité]])/Tab_Compteur_5[[#This Row],[Delta Jour]],"")&lt;0,"",IFERROR(IF(Str_TypeDonneesCpt5=Cpt_Index,Tab_Compteur_5[[#This Row],[Index]]-E34,Tab_Compteur_5[[#This Row],[Quantité]])/Tab_Compteur_5[[#This Row],[Delta Jour]],""))</f>
        <v/>
      </c>
      <c r="H35" s="193" t="str">
        <f>IFERROR(Tab_Compteur_5[[#This Row],[Montant]]/Tab_Compteur_5[[#This Row],[Delta Jour]],"")</f>
        <v/>
      </c>
      <c r="I35" s="215" t="str">
        <f t="shared" si="1"/>
        <v/>
      </c>
      <c r="J35" s="216"/>
      <c r="K35" s="38"/>
      <c r="L35" s="38"/>
      <c r="M35" s="38"/>
    </row>
    <row r="36" spans="1:13">
      <c r="A36" s="3">
        <f t="shared" si="2"/>
        <v>1</v>
      </c>
      <c r="B36" s="88"/>
      <c r="C36" s="199"/>
      <c r="D36" s="198"/>
      <c r="E36" s="193"/>
      <c r="F36" s="193">
        <f t="shared" si="0"/>
        <v>0</v>
      </c>
      <c r="G36" s="193" t="str">
        <f>IF(IFERROR(IF(Str_TypeDonneesCpt5=Cpt_Index,Tab_Compteur_5[[#This Row],[Index]]-E35,Tab_Compteur_5[[#This Row],[Quantité]])/Tab_Compteur_5[[#This Row],[Delta Jour]],"")&lt;0,"",IFERROR(IF(Str_TypeDonneesCpt5=Cpt_Index,Tab_Compteur_5[[#This Row],[Index]]-E35,Tab_Compteur_5[[#This Row],[Quantité]])/Tab_Compteur_5[[#This Row],[Delta Jour]],""))</f>
        <v/>
      </c>
      <c r="H36" s="193" t="str">
        <f>IFERROR(Tab_Compteur_5[[#This Row],[Montant]]/Tab_Compteur_5[[#This Row],[Delta Jour]],"")</f>
        <v/>
      </c>
      <c r="I36" s="215" t="str">
        <f t="shared" si="1"/>
        <v/>
      </c>
      <c r="J36" s="216"/>
      <c r="K36" s="38"/>
      <c r="L36" s="38"/>
      <c r="M36" s="38"/>
    </row>
    <row r="37" spans="1:13">
      <c r="A37" s="3">
        <f t="shared" si="2"/>
        <v>1</v>
      </c>
      <c r="B37" s="88"/>
      <c r="C37" s="199"/>
      <c r="D37" s="198"/>
      <c r="E37" s="193"/>
      <c r="F37" s="193">
        <f t="shared" si="0"/>
        <v>0</v>
      </c>
      <c r="G37" s="193" t="str">
        <f>IF(IFERROR(IF(Str_TypeDonneesCpt5=Cpt_Index,Tab_Compteur_5[[#This Row],[Index]]-E36,Tab_Compteur_5[[#This Row],[Quantité]])/Tab_Compteur_5[[#This Row],[Delta Jour]],"")&lt;0,"",IFERROR(IF(Str_TypeDonneesCpt5=Cpt_Index,Tab_Compteur_5[[#This Row],[Index]]-E36,Tab_Compteur_5[[#This Row],[Quantité]])/Tab_Compteur_5[[#This Row],[Delta Jour]],""))</f>
        <v/>
      </c>
      <c r="H37" s="193" t="str">
        <f>IFERROR(Tab_Compteur_5[[#This Row],[Montant]]/Tab_Compteur_5[[#This Row],[Delta Jour]],"")</f>
        <v/>
      </c>
      <c r="I37" s="215" t="str">
        <f t="shared" si="1"/>
        <v/>
      </c>
      <c r="J37" s="216"/>
      <c r="K37" s="38"/>
      <c r="L37" s="38"/>
      <c r="M37" s="38"/>
    </row>
    <row r="38" spans="1:13">
      <c r="A38" s="3">
        <f t="shared" si="2"/>
        <v>1</v>
      </c>
      <c r="B38" s="88"/>
      <c r="C38" s="199"/>
      <c r="D38" s="198"/>
      <c r="E38" s="193"/>
      <c r="F38" s="193">
        <f t="shared" si="0"/>
        <v>0</v>
      </c>
      <c r="G38" s="193" t="str">
        <f>IF(IFERROR(IF(Str_TypeDonneesCpt5=Cpt_Index,Tab_Compteur_5[[#This Row],[Index]]-E37,Tab_Compteur_5[[#This Row],[Quantité]])/Tab_Compteur_5[[#This Row],[Delta Jour]],"")&lt;0,"",IFERROR(IF(Str_TypeDonneesCpt5=Cpt_Index,Tab_Compteur_5[[#This Row],[Index]]-E37,Tab_Compteur_5[[#This Row],[Quantité]])/Tab_Compteur_5[[#This Row],[Delta Jour]],""))</f>
        <v/>
      </c>
      <c r="H38" s="193" t="str">
        <f>IFERROR(Tab_Compteur_5[[#This Row],[Montant]]/Tab_Compteur_5[[#This Row],[Delta Jour]],"")</f>
        <v/>
      </c>
      <c r="I38" s="215" t="str">
        <f t="shared" si="1"/>
        <v/>
      </c>
      <c r="J38" s="216"/>
      <c r="K38" s="38"/>
      <c r="L38" s="38"/>
      <c r="M38" s="38"/>
    </row>
    <row r="39" spans="1:13">
      <c r="A39" s="3">
        <f t="shared" si="2"/>
        <v>1</v>
      </c>
      <c r="B39" s="88"/>
      <c r="C39" s="199"/>
      <c r="D39" s="200"/>
      <c r="E39" s="193"/>
      <c r="F39" s="193">
        <f t="shared" si="0"/>
        <v>0</v>
      </c>
      <c r="G39" s="193" t="str">
        <f>IF(IFERROR(IF(Str_TypeDonneesCpt5=Cpt_Index,Tab_Compteur_5[[#This Row],[Index]]-E38,Tab_Compteur_5[[#This Row],[Quantité]])/Tab_Compteur_5[[#This Row],[Delta Jour]],"")&lt;0,"",IFERROR(IF(Str_TypeDonneesCpt5=Cpt_Index,Tab_Compteur_5[[#This Row],[Index]]-E38,Tab_Compteur_5[[#This Row],[Quantité]])/Tab_Compteur_5[[#This Row],[Delta Jour]],""))</f>
        <v/>
      </c>
      <c r="H39" s="193" t="str">
        <f>IFERROR(Tab_Compteur_5[[#This Row],[Montant]]/Tab_Compteur_5[[#This Row],[Delta Jour]],"")</f>
        <v/>
      </c>
      <c r="I39" s="215" t="str">
        <f t="shared" si="1"/>
        <v/>
      </c>
      <c r="J39" s="216"/>
      <c r="K39" s="38"/>
      <c r="L39" s="38"/>
      <c r="M39" s="38"/>
    </row>
    <row r="40" spans="1:13">
      <c r="A40" s="3">
        <f t="shared" si="2"/>
        <v>1</v>
      </c>
      <c r="B40" s="88"/>
      <c r="C40" s="199"/>
      <c r="D40" s="200"/>
      <c r="E40" s="193"/>
      <c r="F40" s="193">
        <f t="shared" si="0"/>
        <v>0</v>
      </c>
      <c r="G40" s="193" t="str">
        <f>IF(IFERROR(IF(Str_TypeDonneesCpt5=Cpt_Index,Tab_Compteur_5[[#This Row],[Index]]-E39,Tab_Compteur_5[[#This Row],[Quantité]])/Tab_Compteur_5[[#This Row],[Delta Jour]],"")&lt;0,"",IFERROR(IF(Str_TypeDonneesCpt5=Cpt_Index,Tab_Compteur_5[[#This Row],[Index]]-E39,Tab_Compteur_5[[#This Row],[Quantité]])/Tab_Compteur_5[[#This Row],[Delta Jour]],""))</f>
        <v/>
      </c>
      <c r="H40" s="193" t="str">
        <f>IFERROR(Tab_Compteur_5[[#This Row],[Montant]]/Tab_Compteur_5[[#This Row],[Delta Jour]],"")</f>
        <v/>
      </c>
      <c r="I40" s="215" t="str">
        <f t="shared" si="1"/>
        <v/>
      </c>
      <c r="J40" s="216"/>
      <c r="K40" s="38"/>
      <c r="L40" s="38"/>
      <c r="M40" s="38"/>
    </row>
    <row r="41" spans="1:13">
      <c r="A41" s="3">
        <f t="shared" si="2"/>
        <v>1</v>
      </c>
      <c r="B41" s="88"/>
      <c r="C41" s="197"/>
      <c r="D41" s="200"/>
      <c r="E41" s="193"/>
      <c r="F41" s="193">
        <f t="shared" si="0"/>
        <v>0</v>
      </c>
      <c r="G41" s="193" t="str">
        <f>IF(IFERROR(IF(Str_TypeDonneesCpt5=Cpt_Index,Tab_Compteur_5[[#This Row],[Index]]-E40,Tab_Compteur_5[[#This Row],[Quantité]])/Tab_Compteur_5[[#This Row],[Delta Jour]],"")&lt;0,"",IFERROR(IF(Str_TypeDonneesCpt5=Cpt_Index,Tab_Compteur_5[[#This Row],[Index]]-E40,Tab_Compteur_5[[#This Row],[Quantité]])/Tab_Compteur_5[[#This Row],[Delta Jour]],""))</f>
        <v/>
      </c>
      <c r="H41" s="193" t="str">
        <f>IFERROR(Tab_Compteur_5[[#This Row],[Montant]]/Tab_Compteur_5[[#This Row],[Delta Jour]],"")</f>
        <v/>
      </c>
      <c r="I41" s="215" t="str">
        <f t="shared" si="1"/>
        <v/>
      </c>
      <c r="J41" s="216"/>
      <c r="K41" s="38"/>
      <c r="L41" s="38"/>
      <c r="M41" s="38"/>
    </row>
    <row r="42" spans="1:13">
      <c r="A42" s="3">
        <f t="shared" si="2"/>
        <v>1</v>
      </c>
      <c r="B42" s="88"/>
      <c r="C42" s="197"/>
      <c r="D42" s="200"/>
      <c r="E42" s="193"/>
      <c r="F42" s="193">
        <f t="shared" si="0"/>
        <v>0</v>
      </c>
      <c r="G42" s="193" t="str">
        <f>IF(IFERROR(IF(Str_TypeDonneesCpt5=Cpt_Index,Tab_Compteur_5[[#This Row],[Index]]-E41,Tab_Compteur_5[[#This Row],[Quantité]])/Tab_Compteur_5[[#This Row],[Delta Jour]],"")&lt;0,"",IFERROR(IF(Str_TypeDonneesCpt5=Cpt_Index,Tab_Compteur_5[[#This Row],[Index]]-E41,Tab_Compteur_5[[#This Row],[Quantité]])/Tab_Compteur_5[[#This Row],[Delta Jour]],""))</f>
        <v/>
      </c>
      <c r="H42" s="193" t="str">
        <f>IFERROR(Tab_Compteur_5[[#This Row],[Montant]]/Tab_Compteur_5[[#This Row],[Delta Jour]],"")</f>
        <v/>
      </c>
      <c r="I42" s="215" t="str">
        <f t="shared" si="1"/>
        <v/>
      </c>
      <c r="J42" s="216"/>
      <c r="K42" s="38"/>
      <c r="L42" s="38"/>
      <c r="M42" s="38"/>
    </row>
    <row r="43" spans="1:13">
      <c r="A43" s="3">
        <f t="shared" si="2"/>
        <v>1</v>
      </c>
      <c r="B43" s="88"/>
      <c r="C43" s="199"/>
      <c r="D43" s="200"/>
      <c r="E43" s="193"/>
      <c r="F43" s="193">
        <f t="shared" si="0"/>
        <v>0</v>
      </c>
      <c r="G43" s="193" t="str">
        <f>IF(IFERROR(IF(Str_TypeDonneesCpt5=Cpt_Index,Tab_Compteur_5[[#This Row],[Index]]-E42,Tab_Compteur_5[[#This Row],[Quantité]])/Tab_Compteur_5[[#This Row],[Delta Jour]],"")&lt;0,"",IFERROR(IF(Str_TypeDonneesCpt5=Cpt_Index,Tab_Compteur_5[[#This Row],[Index]]-E42,Tab_Compteur_5[[#This Row],[Quantité]])/Tab_Compteur_5[[#This Row],[Delta Jour]],""))</f>
        <v/>
      </c>
      <c r="H43" s="193" t="str">
        <f>IFERROR(Tab_Compteur_5[[#This Row],[Montant]]/Tab_Compteur_5[[#This Row],[Delta Jour]],"")</f>
        <v/>
      </c>
      <c r="I43" s="215" t="str">
        <f t="shared" si="1"/>
        <v/>
      </c>
      <c r="J43" s="216"/>
      <c r="K43" s="38"/>
      <c r="L43" s="38"/>
      <c r="M43" s="38"/>
    </row>
    <row r="44" spans="1:13">
      <c r="A44" s="3">
        <f t="shared" si="2"/>
        <v>1</v>
      </c>
      <c r="B44" s="88"/>
      <c r="C44" s="199"/>
      <c r="D44" s="200"/>
      <c r="E44" s="193"/>
      <c r="F44" s="193">
        <f t="shared" si="0"/>
        <v>0</v>
      </c>
      <c r="G44" s="193" t="str">
        <f>IF(IFERROR(IF(Str_TypeDonneesCpt5=Cpt_Index,Tab_Compteur_5[[#This Row],[Index]]-E43,Tab_Compteur_5[[#This Row],[Quantité]])/Tab_Compteur_5[[#This Row],[Delta Jour]],"")&lt;0,"",IFERROR(IF(Str_TypeDonneesCpt5=Cpt_Index,Tab_Compteur_5[[#This Row],[Index]]-E43,Tab_Compteur_5[[#This Row],[Quantité]])/Tab_Compteur_5[[#This Row],[Delta Jour]],""))</f>
        <v/>
      </c>
      <c r="H44" s="193" t="str">
        <f>IFERROR(Tab_Compteur_5[[#This Row],[Montant]]/Tab_Compteur_5[[#This Row],[Delta Jour]],"")</f>
        <v/>
      </c>
      <c r="I44" s="215" t="str">
        <f t="shared" si="1"/>
        <v/>
      </c>
      <c r="J44" s="216"/>
      <c r="K44" s="38"/>
      <c r="L44" s="38"/>
      <c r="M44" s="38"/>
    </row>
    <row r="45" spans="1:13">
      <c r="A45" s="3">
        <f t="shared" si="2"/>
        <v>1</v>
      </c>
      <c r="B45" s="88"/>
      <c r="C45" s="199"/>
      <c r="D45" s="200"/>
      <c r="E45" s="193"/>
      <c r="F45" s="193">
        <f t="shared" si="0"/>
        <v>0</v>
      </c>
      <c r="G45" s="193" t="str">
        <f>IF(IFERROR(IF(Str_TypeDonneesCpt5=Cpt_Index,Tab_Compteur_5[[#This Row],[Index]]-E44,Tab_Compteur_5[[#This Row],[Quantité]])/Tab_Compteur_5[[#This Row],[Delta Jour]],"")&lt;0,"",IFERROR(IF(Str_TypeDonneesCpt5=Cpt_Index,Tab_Compteur_5[[#This Row],[Index]]-E44,Tab_Compteur_5[[#This Row],[Quantité]])/Tab_Compteur_5[[#This Row],[Delta Jour]],""))</f>
        <v/>
      </c>
      <c r="H45" s="193" t="str">
        <f>IFERROR(Tab_Compteur_5[[#This Row],[Montant]]/Tab_Compteur_5[[#This Row],[Delta Jour]],"")</f>
        <v/>
      </c>
      <c r="I45" s="215" t="str">
        <f t="shared" si="1"/>
        <v/>
      </c>
      <c r="J45" s="216"/>
      <c r="K45" s="38"/>
      <c r="L45" s="38"/>
      <c r="M45" s="38"/>
    </row>
    <row r="46" spans="1:13">
      <c r="A46" s="3">
        <f t="shared" si="2"/>
        <v>1</v>
      </c>
      <c r="B46" s="88"/>
      <c r="C46" s="199"/>
      <c r="D46" s="200"/>
      <c r="E46" s="193"/>
      <c r="F46" s="193">
        <f t="shared" si="0"/>
        <v>0</v>
      </c>
      <c r="G46" s="193" t="str">
        <f>IF(IFERROR(IF(Str_TypeDonneesCpt5=Cpt_Index,Tab_Compteur_5[[#This Row],[Index]]-E45,Tab_Compteur_5[[#This Row],[Quantité]])/Tab_Compteur_5[[#This Row],[Delta Jour]],"")&lt;0,"",IFERROR(IF(Str_TypeDonneesCpt5=Cpt_Index,Tab_Compteur_5[[#This Row],[Index]]-E45,Tab_Compteur_5[[#This Row],[Quantité]])/Tab_Compteur_5[[#This Row],[Delta Jour]],""))</f>
        <v/>
      </c>
      <c r="H46" s="193" t="str">
        <f>IFERROR(Tab_Compteur_5[[#This Row],[Montant]]/Tab_Compteur_5[[#This Row],[Delta Jour]],"")</f>
        <v/>
      </c>
      <c r="I46" s="215" t="str">
        <f t="shared" si="1"/>
        <v/>
      </c>
      <c r="J46" s="216"/>
      <c r="K46" s="38"/>
      <c r="L46" s="38"/>
      <c r="M46" s="38"/>
    </row>
    <row r="47" spans="1:13">
      <c r="A47" s="3">
        <f t="shared" si="2"/>
        <v>1</v>
      </c>
      <c r="B47" s="88"/>
      <c r="C47" s="199"/>
      <c r="D47" s="200"/>
      <c r="E47" s="193"/>
      <c r="F47" s="193">
        <f t="shared" si="0"/>
        <v>0</v>
      </c>
      <c r="G47" s="193" t="str">
        <f>IF(IFERROR(IF(Str_TypeDonneesCpt5=Cpt_Index,Tab_Compteur_5[[#This Row],[Index]]-E46,Tab_Compteur_5[[#This Row],[Quantité]])/Tab_Compteur_5[[#This Row],[Delta Jour]],"")&lt;0,"",IFERROR(IF(Str_TypeDonneesCpt5=Cpt_Index,Tab_Compteur_5[[#This Row],[Index]]-E46,Tab_Compteur_5[[#This Row],[Quantité]])/Tab_Compteur_5[[#This Row],[Delta Jour]],""))</f>
        <v/>
      </c>
      <c r="H47" s="193" t="str">
        <f>IFERROR(Tab_Compteur_5[[#This Row],[Montant]]/Tab_Compteur_5[[#This Row],[Delta Jour]],"")</f>
        <v/>
      </c>
      <c r="I47" s="215" t="str">
        <f t="shared" si="1"/>
        <v/>
      </c>
      <c r="J47" s="216"/>
      <c r="K47" s="38"/>
      <c r="L47" s="38"/>
      <c r="M47" s="38"/>
    </row>
    <row r="48" spans="1:13">
      <c r="A48" s="3">
        <f t="shared" si="2"/>
        <v>1</v>
      </c>
      <c r="B48" s="88"/>
      <c r="C48" s="199"/>
      <c r="D48" s="200"/>
      <c r="E48" s="193"/>
      <c r="F48" s="193">
        <f t="shared" si="0"/>
        <v>0</v>
      </c>
      <c r="G48" s="193" t="str">
        <f>IF(IFERROR(IF(Str_TypeDonneesCpt5=Cpt_Index,Tab_Compteur_5[[#This Row],[Index]]-E47,Tab_Compteur_5[[#This Row],[Quantité]])/Tab_Compteur_5[[#This Row],[Delta Jour]],"")&lt;0,"",IFERROR(IF(Str_TypeDonneesCpt5=Cpt_Index,Tab_Compteur_5[[#This Row],[Index]]-E47,Tab_Compteur_5[[#This Row],[Quantité]])/Tab_Compteur_5[[#This Row],[Delta Jour]],""))</f>
        <v/>
      </c>
      <c r="H48" s="193" t="str">
        <f>IFERROR(Tab_Compteur_5[[#This Row],[Montant]]/Tab_Compteur_5[[#This Row],[Delta Jour]],"")</f>
        <v/>
      </c>
      <c r="I48" s="215" t="str">
        <f t="shared" si="1"/>
        <v/>
      </c>
      <c r="J48" s="216"/>
      <c r="K48" s="38"/>
      <c r="L48" s="38"/>
      <c r="M48" s="38"/>
    </row>
    <row r="49" spans="1:13">
      <c r="A49" s="3">
        <f t="shared" si="2"/>
        <v>1</v>
      </c>
      <c r="B49" s="88"/>
      <c r="C49" s="199"/>
      <c r="D49" s="200"/>
      <c r="E49" s="193"/>
      <c r="F49" s="193">
        <f t="shared" si="0"/>
        <v>0</v>
      </c>
      <c r="G49" s="193" t="str">
        <f>IF(IFERROR(IF(Str_TypeDonneesCpt5=Cpt_Index,Tab_Compteur_5[[#This Row],[Index]]-E48,Tab_Compteur_5[[#This Row],[Quantité]])/Tab_Compteur_5[[#This Row],[Delta Jour]],"")&lt;0,"",IFERROR(IF(Str_TypeDonneesCpt5=Cpt_Index,Tab_Compteur_5[[#This Row],[Index]]-E48,Tab_Compteur_5[[#This Row],[Quantité]])/Tab_Compteur_5[[#This Row],[Delta Jour]],""))</f>
        <v/>
      </c>
      <c r="H49" s="193" t="str">
        <f>IFERROR(Tab_Compteur_5[[#This Row],[Montant]]/Tab_Compteur_5[[#This Row],[Delta Jour]],"")</f>
        <v/>
      </c>
      <c r="I49" s="215" t="str">
        <f t="shared" si="1"/>
        <v/>
      </c>
      <c r="J49" s="216"/>
      <c r="K49" s="38"/>
      <c r="L49" s="38"/>
      <c r="M49" s="38"/>
    </row>
    <row r="50" spans="1:13">
      <c r="A50" s="3">
        <f t="shared" si="2"/>
        <v>1</v>
      </c>
      <c r="B50" s="88"/>
      <c r="C50" s="199"/>
      <c r="D50" s="200"/>
      <c r="E50" s="193"/>
      <c r="F50" s="193">
        <f t="shared" si="0"/>
        <v>0</v>
      </c>
      <c r="G50" s="193" t="str">
        <f>IF(IFERROR(IF(Str_TypeDonneesCpt5=Cpt_Index,Tab_Compteur_5[[#This Row],[Index]]-E49,Tab_Compteur_5[[#This Row],[Quantité]])/Tab_Compteur_5[[#This Row],[Delta Jour]],"")&lt;0,"",IFERROR(IF(Str_TypeDonneesCpt5=Cpt_Index,Tab_Compteur_5[[#This Row],[Index]]-E49,Tab_Compteur_5[[#This Row],[Quantité]])/Tab_Compteur_5[[#This Row],[Delta Jour]],""))</f>
        <v/>
      </c>
      <c r="H50" s="193" t="str">
        <f>IFERROR(Tab_Compteur_5[[#This Row],[Montant]]/Tab_Compteur_5[[#This Row],[Delta Jour]],"")</f>
        <v/>
      </c>
      <c r="I50" s="215" t="str">
        <f t="shared" si="1"/>
        <v/>
      </c>
      <c r="J50" s="216"/>
      <c r="K50" s="38"/>
      <c r="L50" s="38"/>
      <c r="M50" s="38"/>
    </row>
    <row r="51" spans="1:13">
      <c r="A51" s="3">
        <f t="shared" si="2"/>
        <v>1</v>
      </c>
      <c r="B51" s="88"/>
      <c r="C51" s="199"/>
      <c r="D51" s="200"/>
      <c r="E51" s="193"/>
      <c r="F51" s="193">
        <f t="shared" si="0"/>
        <v>0</v>
      </c>
      <c r="G51" s="193" t="str">
        <f>IF(IFERROR(IF(Str_TypeDonneesCpt5=Cpt_Index,Tab_Compteur_5[[#This Row],[Index]]-E50,Tab_Compteur_5[[#This Row],[Quantité]])/Tab_Compteur_5[[#This Row],[Delta Jour]],"")&lt;0,"",IFERROR(IF(Str_TypeDonneesCpt5=Cpt_Index,Tab_Compteur_5[[#This Row],[Index]]-E50,Tab_Compteur_5[[#This Row],[Quantité]])/Tab_Compteur_5[[#This Row],[Delta Jour]],""))</f>
        <v/>
      </c>
      <c r="H51" s="193" t="str">
        <f>IFERROR(Tab_Compteur_5[[#This Row],[Montant]]/Tab_Compteur_5[[#This Row],[Delta Jour]],"")</f>
        <v/>
      </c>
      <c r="I51" s="215" t="str">
        <f t="shared" si="1"/>
        <v/>
      </c>
      <c r="J51" s="216"/>
      <c r="K51" s="38"/>
      <c r="L51" s="38"/>
      <c r="M51" s="38"/>
    </row>
    <row r="52" spans="1:13">
      <c r="A52" s="3">
        <f t="shared" si="2"/>
        <v>1</v>
      </c>
      <c r="B52" s="88"/>
      <c r="C52" s="197"/>
      <c r="D52" s="200"/>
      <c r="E52" s="193"/>
      <c r="F52" s="193">
        <f t="shared" si="0"/>
        <v>0</v>
      </c>
      <c r="G52" s="193" t="str">
        <f>IF(IFERROR(IF(Str_TypeDonneesCpt5=Cpt_Index,Tab_Compteur_5[[#This Row],[Index]]-E51,Tab_Compteur_5[[#This Row],[Quantité]])/Tab_Compteur_5[[#This Row],[Delta Jour]],"")&lt;0,"",IFERROR(IF(Str_TypeDonneesCpt5=Cpt_Index,Tab_Compteur_5[[#This Row],[Index]]-E51,Tab_Compteur_5[[#This Row],[Quantité]])/Tab_Compteur_5[[#This Row],[Delta Jour]],""))</f>
        <v/>
      </c>
      <c r="H52" s="193" t="str">
        <f>IFERROR(Tab_Compteur_5[[#This Row],[Montant]]/Tab_Compteur_5[[#This Row],[Delta Jour]],"")</f>
        <v/>
      </c>
      <c r="I52" s="215" t="str">
        <f t="shared" si="1"/>
        <v/>
      </c>
      <c r="J52" s="216"/>
      <c r="K52" s="38"/>
      <c r="L52" s="38"/>
      <c r="M52" s="38"/>
    </row>
    <row r="53" spans="1:13">
      <c r="A53" s="3">
        <f t="shared" si="2"/>
        <v>1</v>
      </c>
      <c r="B53" s="88"/>
      <c r="C53" s="197"/>
      <c r="D53" s="200"/>
      <c r="E53" s="193"/>
      <c r="F53" s="193">
        <f t="shared" si="0"/>
        <v>0</v>
      </c>
      <c r="G53" s="193" t="str">
        <f>IF(IFERROR(IF(Str_TypeDonneesCpt5=Cpt_Index,Tab_Compteur_5[[#This Row],[Index]]-E52,Tab_Compteur_5[[#This Row],[Quantité]])/Tab_Compteur_5[[#This Row],[Delta Jour]],"")&lt;0,"",IFERROR(IF(Str_TypeDonneesCpt5=Cpt_Index,Tab_Compteur_5[[#This Row],[Index]]-E52,Tab_Compteur_5[[#This Row],[Quantité]])/Tab_Compteur_5[[#This Row],[Delta Jour]],""))</f>
        <v/>
      </c>
      <c r="H53" s="193" t="str">
        <f>IFERROR(Tab_Compteur_5[[#This Row],[Montant]]/Tab_Compteur_5[[#This Row],[Delta Jour]],"")</f>
        <v/>
      </c>
      <c r="I53" s="215" t="str">
        <f t="shared" si="1"/>
        <v/>
      </c>
      <c r="J53" s="216"/>
      <c r="K53" s="38"/>
      <c r="L53" s="38"/>
      <c r="M53" s="38"/>
    </row>
    <row r="54" spans="1:13">
      <c r="A54" s="3">
        <f t="shared" si="2"/>
        <v>1</v>
      </c>
      <c r="B54" s="88"/>
      <c r="C54" s="197"/>
      <c r="D54" s="200"/>
      <c r="E54" s="193"/>
      <c r="F54" s="193">
        <f t="shared" si="0"/>
        <v>0</v>
      </c>
      <c r="G54" s="193" t="str">
        <f>IF(IFERROR(IF(Str_TypeDonneesCpt5=Cpt_Index,Tab_Compteur_5[[#This Row],[Index]]-E53,Tab_Compteur_5[[#This Row],[Quantité]])/Tab_Compteur_5[[#This Row],[Delta Jour]],"")&lt;0,"",IFERROR(IF(Str_TypeDonneesCpt5=Cpt_Index,Tab_Compteur_5[[#This Row],[Index]]-E53,Tab_Compteur_5[[#This Row],[Quantité]])/Tab_Compteur_5[[#This Row],[Delta Jour]],""))</f>
        <v/>
      </c>
      <c r="H54" s="193" t="str">
        <f>IFERROR(Tab_Compteur_5[[#This Row],[Montant]]/Tab_Compteur_5[[#This Row],[Delta Jour]],"")</f>
        <v/>
      </c>
      <c r="I54" s="215" t="str">
        <f t="shared" si="1"/>
        <v/>
      </c>
      <c r="J54" s="216"/>
      <c r="K54" s="38"/>
      <c r="L54" s="38"/>
      <c r="M54" s="38"/>
    </row>
    <row r="55" spans="1:13">
      <c r="A55" s="3">
        <f t="shared" si="2"/>
        <v>1</v>
      </c>
      <c r="B55" s="88"/>
      <c r="C55" s="199"/>
      <c r="D55" s="200"/>
      <c r="E55" s="193"/>
      <c r="F55" s="193">
        <f t="shared" si="0"/>
        <v>0</v>
      </c>
      <c r="G55" s="193" t="str">
        <f>IF(IFERROR(IF(Str_TypeDonneesCpt5=Cpt_Index,Tab_Compteur_5[[#This Row],[Index]]-E54,Tab_Compteur_5[[#This Row],[Quantité]])/Tab_Compteur_5[[#This Row],[Delta Jour]],"")&lt;0,"",IFERROR(IF(Str_TypeDonneesCpt5=Cpt_Index,Tab_Compteur_5[[#This Row],[Index]]-E54,Tab_Compteur_5[[#This Row],[Quantité]])/Tab_Compteur_5[[#This Row],[Delta Jour]],""))</f>
        <v/>
      </c>
      <c r="H55" s="193" t="str">
        <f>IFERROR(Tab_Compteur_5[[#This Row],[Montant]]/Tab_Compteur_5[[#This Row],[Delta Jour]],"")</f>
        <v/>
      </c>
      <c r="I55" s="215" t="str">
        <f t="shared" si="1"/>
        <v/>
      </c>
      <c r="J55" s="216"/>
      <c r="K55" s="38"/>
      <c r="L55" s="38"/>
      <c r="M55" s="38"/>
    </row>
    <row r="56" spans="1:13">
      <c r="A56" s="3">
        <f t="shared" si="2"/>
        <v>1</v>
      </c>
      <c r="B56" s="88"/>
      <c r="C56" s="199"/>
      <c r="D56" s="200"/>
      <c r="E56" s="193"/>
      <c r="F56" s="193">
        <f t="shared" si="0"/>
        <v>0</v>
      </c>
      <c r="G56" s="193" t="str">
        <f>IF(IFERROR(IF(Str_TypeDonneesCpt5=Cpt_Index,Tab_Compteur_5[[#This Row],[Index]]-E55,Tab_Compteur_5[[#This Row],[Quantité]])/Tab_Compteur_5[[#This Row],[Delta Jour]],"")&lt;0,"",IFERROR(IF(Str_TypeDonneesCpt5=Cpt_Index,Tab_Compteur_5[[#This Row],[Index]]-E55,Tab_Compteur_5[[#This Row],[Quantité]])/Tab_Compteur_5[[#This Row],[Delta Jour]],""))</f>
        <v/>
      </c>
      <c r="H56" s="193" t="str">
        <f>IFERROR(Tab_Compteur_5[[#This Row],[Montant]]/Tab_Compteur_5[[#This Row],[Delta Jour]],"")</f>
        <v/>
      </c>
      <c r="I56" s="215" t="str">
        <f t="shared" si="1"/>
        <v/>
      </c>
      <c r="J56" s="216"/>
      <c r="K56" s="38"/>
      <c r="L56" s="38"/>
      <c r="M56" s="38"/>
    </row>
    <row r="57" spans="1:13">
      <c r="A57" s="3">
        <f t="shared" si="2"/>
        <v>1</v>
      </c>
      <c r="B57" s="88"/>
      <c r="C57" s="199"/>
      <c r="D57" s="200"/>
      <c r="E57" s="193"/>
      <c r="F57" s="193">
        <f t="shared" si="0"/>
        <v>0</v>
      </c>
      <c r="G57" s="193" t="str">
        <f>IF(IFERROR(IF(Str_TypeDonneesCpt5=Cpt_Index,Tab_Compteur_5[[#This Row],[Index]]-E56,Tab_Compteur_5[[#This Row],[Quantité]])/Tab_Compteur_5[[#This Row],[Delta Jour]],"")&lt;0,"",IFERROR(IF(Str_TypeDonneesCpt5=Cpt_Index,Tab_Compteur_5[[#This Row],[Index]]-E56,Tab_Compteur_5[[#This Row],[Quantité]])/Tab_Compteur_5[[#This Row],[Delta Jour]],""))</f>
        <v/>
      </c>
      <c r="H57" s="193" t="str">
        <f>IFERROR(Tab_Compteur_5[[#This Row],[Montant]]/Tab_Compteur_5[[#This Row],[Delta Jour]],"")</f>
        <v/>
      </c>
      <c r="I57" s="215" t="str">
        <f t="shared" si="1"/>
        <v/>
      </c>
      <c r="J57" s="216"/>
      <c r="K57" s="38"/>
      <c r="L57" s="38"/>
      <c r="M57" s="38"/>
    </row>
    <row r="58" spans="1:13">
      <c r="A58" s="3">
        <f t="shared" si="2"/>
        <v>1</v>
      </c>
      <c r="B58" s="88"/>
      <c r="C58" s="199"/>
      <c r="D58" s="200"/>
      <c r="E58" s="193"/>
      <c r="F58" s="193">
        <f t="shared" si="0"/>
        <v>0</v>
      </c>
      <c r="G58" s="193" t="str">
        <f>IF(IFERROR(IF(Str_TypeDonneesCpt5=Cpt_Index,Tab_Compteur_5[[#This Row],[Index]]-E57,Tab_Compteur_5[[#This Row],[Quantité]])/Tab_Compteur_5[[#This Row],[Delta Jour]],"")&lt;0,"",IFERROR(IF(Str_TypeDonneesCpt5=Cpt_Index,Tab_Compteur_5[[#This Row],[Index]]-E57,Tab_Compteur_5[[#This Row],[Quantité]])/Tab_Compteur_5[[#This Row],[Delta Jour]],""))</f>
        <v/>
      </c>
      <c r="H58" s="193" t="str">
        <f>IFERROR(Tab_Compteur_5[[#This Row],[Montant]]/Tab_Compteur_5[[#This Row],[Delta Jour]],"")</f>
        <v/>
      </c>
      <c r="I58" s="215" t="str">
        <f t="shared" si="1"/>
        <v/>
      </c>
      <c r="J58" s="216"/>
      <c r="K58" s="38"/>
      <c r="L58" s="38"/>
      <c r="M58" s="38"/>
    </row>
    <row r="59" spans="1:13">
      <c r="A59" s="3">
        <f t="shared" si="2"/>
        <v>1</v>
      </c>
      <c r="B59" s="88"/>
      <c r="C59" s="199"/>
      <c r="D59" s="200"/>
      <c r="E59" s="193"/>
      <c r="F59" s="193">
        <f t="shared" si="0"/>
        <v>0</v>
      </c>
      <c r="G59" s="193" t="str">
        <f>IF(IFERROR(IF(Str_TypeDonneesCpt5=Cpt_Index,Tab_Compteur_5[[#This Row],[Index]]-E58,Tab_Compteur_5[[#This Row],[Quantité]])/Tab_Compteur_5[[#This Row],[Delta Jour]],"")&lt;0,"",IFERROR(IF(Str_TypeDonneesCpt5=Cpt_Index,Tab_Compteur_5[[#This Row],[Index]]-E58,Tab_Compteur_5[[#This Row],[Quantité]])/Tab_Compteur_5[[#This Row],[Delta Jour]],""))</f>
        <v/>
      </c>
      <c r="H59" s="193" t="str">
        <f>IFERROR(Tab_Compteur_5[[#This Row],[Montant]]/Tab_Compteur_5[[#This Row],[Delta Jour]],"")</f>
        <v/>
      </c>
      <c r="I59" s="215" t="str">
        <f t="shared" si="1"/>
        <v/>
      </c>
      <c r="J59" s="216"/>
      <c r="K59" s="38"/>
      <c r="L59" s="38"/>
      <c r="M59" s="38"/>
    </row>
    <row r="60" spans="1:13">
      <c r="A60" s="3">
        <f t="shared" si="2"/>
        <v>1</v>
      </c>
      <c r="B60" s="88"/>
      <c r="C60" s="196"/>
      <c r="D60" s="195"/>
      <c r="E60" s="193"/>
      <c r="F60" s="193">
        <f t="shared" si="0"/>
        <v>0</v>
      </c>
      <c r="G60" s="193" t="str">
        <f>IF(IFERROR(IF(Str_TypeDonneesCpt5=Cpt_Index,Tab_Compteur_5[[#This Row],[Index]]-E59,Tab_Compteur_5[[#This Row],[Quantité]])/Tab_Compteur_5[[#This Row],[Delta Jour]],"")&lt;0,"",IFERROR(IF(Str_TypeDonneesCpt5=Cpt_Index,Tab_Compteur_5[[#This Row],[Index]]-E59,Tab_Compteur_5[[#This Row],[Quantité]])/Tab_Compteur_5[[#This Row],[Delta Jour]],""))</f>
        <v/>
      </c>
      <c r="H60" s="193" t="str">
        <f>IFERROR(Tab_Compteur_5[[#This Row],[Montant]]/Tab_Compteur_5[[#This Row],[Delta Jour]],"")</f>
        <v/>
      </c>
      <c r="I60" s="215" t="str">
        <f t="shared" si="1"/>
        <v/>
      </c>
      <c r="J60" s="216"/>
      <c r="K60" s="38"/>
      <c r="L60" s="38"/>
      <c r="M60" s="38"/>
    </row>
    <row r="61" spans="1:13">
      <c r="A61" s="3">
        <f t="shared" si="2"/>
        <v>1</v>
      </c>
      <c r="B61" s="88"/>
      <c r="C61" s="196"/>
      <c r="D61" s="195"/>
      <c r="E61" s="193"/>
      <c r="F61" s="193">
        <f t="shared" si="0"/>
        <v>0</v>
      </c>
      <c r="G61" s="193" t="str">
        <f>IF(IFERROR(IF(Str_TypeDonneesCpt5=Cpt_Index,Tab_Compteur_5[[#This Row],[Index]]-E60,Tab_Compteur_5[[#This Row],[Quantité]])/Tab_Compteur_5[[#This Row],[Delta Jour]],"")&lt;0,"",IFERROR(IF(Str_TypeDonneesCpt5=Cpt_Index,Tab_Compteur_5[[#This Row],[Index]]-E60,Tab_Compteur_5[[#This Row],[Quantité]])/Tab_Compteur_5[[#This Row],[Delta Jour]],""))</f>
        <v/>
      </c>
      <c r="H61" s="193" t="str">
        <f>IFERROR(Tab_Compteur_5[[#This Row],[Montant]]/Tab_Compteur_5[[#This Row],[Delta Jour]],"")</f>
        <v/>
      </c>
      <c r="I61" s="215" t="str">
        <f t="shared" si="1"/>
        <v/>
      </c>
      <c r="J61" s="216"/>
      <c r="K61" s="38"/>
      <c r="L61" s="38"/>
      <c r="M61" s="38"/>
    </row>
    <row r="62" spans="1:13">
      <c r="A62" s="3">
        <f t="shared" si="2"/>
        <v>1</v>
      </c>
      <c r="B62" s="88"/>
      <c r="C62" s="196"/>
      <c r="D62" s="195"/>
      <c r="E62" s="193"/>
      <c r="F62" s="193">
        <f t="shared" si="0"/>
        <v>0</v>
      </c>
      <c r="G62" s="193" t="str">
        <f>IF(IFERROR(IF(Str_TypeDonneesCpt5=Cpt_Index,Tab_Compteur_5[[#This Row],[Index]]-E61,Tab_Compteur_5[[#This Row],[Quantité]])/Tab_Compteur_5[[#This Row],[Delta Jour]],"")&lt;0,"",IFERROR(IF(Str_TypeDonneesCpt5=Cpt_Index,Tab_Compteur_5[[#This Row],[Index]]-E61,Tab_Compteur_5[[#This Row],[Quantité]])/Tab_Compteur_5[[#This Row],[Delta Jour]],""))</f>
        <v/>
      </c>
      <c r="H62" s="193" t="str">
        <f>IFERROR(Tab_Compteur_5[[#This Row],[Montant]]/Tab_Compteur_5[[#This Row],[Delta Jour]],"")</f>
        <v/>
      </c>
      <c r="I62" s="215" t="str">
        <f t="shared" si="1"/>
        <v/>
      </c>
      <c r="J62" s="216"/>
      <c r="K62" s="38"/>
      <c r="L62" s="38"/>
      <c r="M62" s="38"/>
    </row>
    <row r="63" spans="1:13">
      <c r="A63" s="3">
        <f t="shared" si="2"/>
        <v>1</v>
      </c>
      <c r="B63" s="88"/>
      <c r="C63" s="196"/>
      <c r="D63" s="195"/>
      <c r="E63" s="193"/>
      <c r="F63" s="193">
        <f t="shared" si="0"/>
        <v>0</v>
      </c>
      <c r="G63" s="193" t="str">
        <f>IF(IFERROR(IF(Str_TypeDonneesCpt5=Cpt_Index,Tab_Compteur_5[[#This Row],[Index]]-E62,Tab_Compteur_5[[#This Row],[Quantité]])/Tab_Compteur_5[[#This Row],[Delta Jour]],"")&lt;0,"",IFERROR(IF(Str_TypeDonneesCpt5=Cpt_Index,Tab_Compteur_5[[#This Row],[Index]]-E62,Tab_Compteur_5[[#This Row],[Quantité]])/Tab_Compteur_5[[#This Row],[Delta Jour]],""))</f>
        <v/>
      </c>
      <c r="H63" s="193" t="str">
        <f>IFERROR(Tab_Compteur_5[[#This Row],[Montant]]/Tab_Compteur_5[[#This Row],[Delta Jour]],"")</f>
        <v/>
      </c>
      <c r="I63" s="215" t="str">
        <f t="shared" si="1"/>
        <v/>
      </c>
      <c r="J63" s="216"/>
      <c r="K63" s="38"/>
      <c r="L63" s="38"/>
      <c r="M63" s="38"/>
    </row>
    <row r="64" spans="1:13">
      <c r="A64" s="3">
        <f t="shared" si="2"/>
        <v>1</v>
      </c>
      <c r="B64" s="88"/>
      <c r="C64" s="196"/>
      <c r="D64" s="195"/>
      <c r="E64" s="193"/>
      <c r="F64" s="193">
        <f t="shared" si="0"/>
        <v>0</v>
      </c>
      <c r="G64" s="193" t="str">
        <f>IF(IFERROR(IF(Str_TypeDonneesCpt5=Cpt_Index,Tab_Compteur_5[[#This Row],[Index]]-E63,Tab_Compteur_5[[#This Row],[Quantité]])/Tab_Compteur_5[[#This Row],[Delta Jour]],"")&lt;0,"",IFERROR(IF(Str_TypeDonneesCpt5=Cpt_Index,Tab_Compteur_5[[#This Row],[Index]]-E63,Tab_Compteur_5[[#This Row],[Quantité]])/Tab_Compteur_5[[#This Row],[Delta Jour]],""))</f>
        <v/>
      </c>
      <c r="H64" s="193" t="str">
        <f>IFERROR(Tab_Compteur_5[[#This Row],[Montant]]/Tab_Compteur_5[[#This Row],[Delta Jour]],"")</f>
        <v/>
      </c>
      <c r="I64" s="215" t="str">
        <f t="shared" si="1"/>
        <v/>
      </c>
      <c r="J64" s="216"/>
      <c r="K64" s="38"/>
      <c r="L64" s="38"/>
      <c r="M64" s="38"/>
    </row>
    <row r="65" spans="1:13">
      <c r="A65" s="3">
        <f t="shared" si="2"/>
        <v>1</v>
      </c>
      <c r="B65" s="88"/>
      <c r="C65" s="196"/>
      <c r="D65" s="195"/>
      <c r="E65" s="193"/>
      <c r="F65" s="193">
        <f t="shared" si="0"/>
        <v>0</v>
      </c>
      <c r="G65" s="193" t="str">
        <f>IF(IFERROR(IF(Str_TypeDonneesCpt5=Cpt_Index,Tab_Compteur_5[[#This Row],[Index]]-E64,Tab_Compteur_5[[#This Row],[Quantité]])/Tab_Compteur_5[[#This Row],[Delta Jour]],"")&lt;0,"",IFERROR(IF(Str_TypeDonneesCpt5=Cpt_Index,Tab_Compteur_5[[#This Row],[Index]]-E64,Tab_Compteur_5[[#This Row],[Quantité]])/Tab_Compteur_5[[#This Row],[Delta Jour]],""))</f>
        <v/>
      </c>
      <c r="H65" s="193" t="str">
        <f>IFERROR(Tab_Compteur_5[[#This Row],[Montant]]/Tab_Compteur_5[[#This Row],[Delta Jour]],"")</f>
        <v/>
      </c>
      <c r="I65" s="215" t="str">
        <f t="shared" si="1"/>
        <v/>
      </c>
      <c r="J65" s="216"/>
      <c r="K65" s="38"/>
      <c r="L65" s="38"/>
      <c r="M65" s="38"/>
    </row>
    <row r="66" spans="1:13">
      <c r="A66" s="3">
        <f t="shared" si="2"/>
        <v>1</v>
      </c>
      <c r="B66" s="88"/>
      <c r="C66" s="196"/>
      <c r="D66" s="195"/>
      <c r="E66" s="193"/>
      <c r="F66" s="193">
        <f t="shared" si="0"/>
        <v>0</v>
      </c>
      <c r="G66" s="193" t="str">
        <f>IF(IFERROR(IF(Str_TypeDonneesCpt5=Cpt_Index,Tab_Compteur_5[[#This Row],[Index]]-E65,Tab_Compteur_5[[#This Row],[Quantité]])/Tab_Compteur_5[[#This Row],[Delta Jour]],"")&lt;0,"",IFERROR(IF(Str_TypeDonneesCpt5=Cpt_Index,Tab_Compteur_5[[#This Row],[Index]]-E65,Tab_Compteur_5[[#This Row],[Quantité]])/Tab_Compteur_5[[#This Row],[Delta Jour]],""))</f>
        <v/>
      </c>
      <c r="H66" s="193" t="str">
        <f>IFERROR(Tab_Compteur_5[[#This Row],[Montant]]/Tab_Compteur_5[[#This Row],[Delta Jour]],"")</f>
        <v/>
      </c>
      <c r="I66" s="215" t="str">
        <f t="shared" si="1"/>
        <v/>
      </c>
      <c r="J66" s="216"/>
      <c r="K66" s="38"/>
      <c r="L66" s="38"/>
      <c r="M66" s="38"/>
    </row>
    <row r="67" spans="1:13">
      <c r="A67" s="3">
        <f t="shared" si="2"/>
        <v>1</v>
      </c>
      <c r="B67" s="88"/>
      <c r="C67" s="196"/>
      <c r="D67" s="195"/>
      <c r="E67" s="193"/>
      <c r="F67" s="193">
        <f t="shared" ref="F67:F130" si="3">IFERROR(B67-A67+1,"")</f>
        <v>0</v>
      </c>
      <c r="G67" s="193" t="str">
        <f>IF(IFERROR(IF(Str_TypeDonneesCpt5=Cpt_Index,Tab_Compteur_5[[#This Row],[Index]]-E66,Tab_Compteur_5[[#This Row],[Quantité]])/Tab_Compteur_5[[#This Row],[Delta Jour]],"")&lt;0,"",IFERROR(IF(Str_TypeDonneesCpt5=Cpt_Index,Tab_Compteur_5[[#This Row],[Index]]-E66,Tab_Compteur_5[[#This Row],[Quantité]])/Tab_Compteur_5[[#This Row],[Delta Jour]],""))</f>
        <v/>
      </c>
      <c r="H67" s="193" t="str">
        <f>IFERROR(Tab_Compteur_5[[#This Row],[Montant]]/Tab_Compteur_5[[#This Row],[Delta Jour]],"")</f>
        <v/>
      </c>
      <c r="I67" s="215" t="str">
        <f t="shared" ref="I67:I130" si="4">G67</f>
        <v/>
      </c>
      <c r="J67" s="216"/>
      <c r="K67" s="38"/>
      <c r="L67" s="38"/>
      <c r="M67" s="38"/>
    </row>
    <row r="68" spans="1:13">
      <c r="A68" s="3">
        <f t="shared" si="2"/>
        <v>1</v>
      </c>
      <c r="B68" s="88"/>
      <c r="C68" s="196"/>
      <c r="D68" s="195"/>
      <c r="E68" s="193"/>
      <c r="F68" s="193">
        <f t="shared" si="3"/>
        <v>0</v>
      </c>
      <c r="G68" s="193" t="str">
        <f>IF(IFERROR(IF(Str_TypeDonneesCpt5=Cpt_Index,Tab_Compteur_5[[#This Row],[Index]]-E67,Tab_Compteur_5[[#This Row],[Quantité]])/Tab_Compteur_5[[#This Row],[Delta Jour]],"")&lt;0,"",IFERROR(IF(Str_TypeDonneesCpt5=Cpt_Index,Tab_Compteur_5[[#This Row],[Index]]-E67,Tab_Compteur_5[[#This Row],[Quantité]])/Tab_Compteur_5[[#This Row],[Delta Jour]],""))</f>
        <v/>
      </c>
      <c r="H68" s="193" t="str">
        <f>IFERROR(Tab_Compteur_5[[#This Row],[Montant]]/Tab_Compteur_5[[#This Row],[Delta Jour]],"")</f>
        <v/>
      </c>
      <c r="I68" s="215" t="str">
        <f t="shared" si="4"/>
        <v/>
      </c>
      <c r="J68" s="216"/>
      <c r="K68" s="38"/>
      <c r="L68" s="38"/>
      <c r="M68" s="38"/>
    </row>
    <row r="69" spans="1:13">
      <c r="A69" s="3">
        <f t="shared" si="2"/>
        <v>1</v>
      </c>
      <c r="B69" s="88"/>
      <c r="C69" s="196"/>
      <c r="D69" s="195"/>
      <c r="E69" s="193"/>
      <c r="F69" s="193">
        <f t="shared" si="3"/>
        <v>0</v>
      </c>
      <c r="G69" s="193" t="str">
        <f>IF(IFERROR(IF(Str_TypeDonneesCpt5=Cpt_Index,Tab_Compteur_5[[#This Row],[Index]]-E68,Tab_Compteur_5[[#This Row],[Quantité]])/Tab_Compteur_5[[#This Row],[Delta Jour]],"")&lt;0,"",IFERROR(IF(Str_TypeDonneesCpt5=Cpt_Index,Tab_Compteur_5[[#This Row],[Index]]-E68,Tab_Compteur_5[[#This Row],[Quantité]])/Tab_Compteur_5[[#This Row],[Delta Jour]],""))</f>
        <v/>
      </c>
      <c r="H69" s="193" t="str">
        <f>IFERROR(Tab_Compteur_5[[#This Row],[Montant]]/Tab_Compteur_5[[#This Row],[Delta Jour]],"")</f>
        <v/>
      </c>
      <c r="I69" s="215" t="str">
        <f t="shared" si="4"/>
        <v/>
      </c>
      <c r="J69" s="216"/>
      <c r="K69" s="38"/>
      <c r="L69" s="38"/>
      <c r="M69" s="38"/>
    </row>
    <row r="70" spans="1:13">
      <c r="A70" s="3">
        <f t="shared" ref="A70:A133" si="5">IFERROR(B69+1,0)</f>
        <v>1</v>
      </c>
      <c r="B70" s="88"/>
      <c r="C70" s="196"/>
      <c r="D70" s="195"/>
      <c r="E70" s="193"/>
      <c r="F70" s="193">
        <f t="shared" si="3"/>
        <v>0</v>
      </c>
      <c r="G70" s="193" t="str">
        <f>IF(IFERROR(IF(Str_TypeDonneesCpt5=Cpt_Index,Tab_Compteur_5[[#This Row],[Index]]-E69,Tab_Compteur_5[[#This Row],[Quantité]])/Tab_Compteur_5[[#This Row],[Delta Jour]],"")&lt;0,"",IFERROR(IF(Str_TypeDonneesCpt5=Cpt_Index,Tab_Compteur_5[[#This Row],[Index]]-E69,Tab_Compteur_5[[#This Row],[Quantité]])/Tab_Compteur_5[[#This Row],[Delta Jour]],""))</f>
        <v/>
      </c>
      <c r="H70" s="193" t="str">
        <f>IFERROR(Tab_Compteur_5[[#This Row],[Montant]]/Tab_Compteur_5[[#This Row],[Delta Jour]],"")</f>
        <v/>
      </c>
      <c r="I70" s="215" t="str">
        <f t="shared" si="4"/>
        <v/>
      </c>
      <c r="J70" s="216"/>
      <c r="K70" s="38"/>
      <c r="L70" s="38"/>
      <c r="M70" s="38"/>
    </row>
    <row r="71" spans="1:13">
      <c r="A71" s="3">
        <f t="shared" si="5"/>
        <v>1</v>
      </c>
      <c r="B71" s="88"/>
      <c r="C71" s="196"/>
      <c r="D71" s="195"/>
      <c r="E71" s="193"/>
      <c r="F71" s="193">
        <f t="shared" si="3"/>
        <v>0</v>
      </c>
      <c r="G71" s="193" t="str">
        <f>IF(IFERROR(IF(Str_TypeDonneesCpt5=Cpt_Index,Tab_Compteur_5[[#This Row],[Index]]-E70,Tab_Compteur_5[[#This Row],[Quantité]])/Tab_Compteur_5[[#This Row],[Delta Jour]],"")&lt;0,"",IFERROR(IF(Str_TypeDonneesCpt5=Cpt_Index,Tab_Compteur_5[[#This Row],[Index]]-E70,Tab_Compteur_5[[#This Row],[Quantité]])/Tab_Compteur_5[[#This Row],[Delta Jour]],""))</f>
        <v/>
      </c>
      <c r="H71" s="193" t="str">
        <f>IFERROR(Tab_Compteur_5[[#This Row],[Montant]]/Tab_Compteur_5[[#This Row],[Delta Jour]],"")</f>
        <v/>
      </c>
      <c r="I71" s="215" t="str">
        <f t="shared" si="4"/>
        <v/>
      </c>
      <c r="J71" s="216"/>
      <c r="K71" s="38"/>
      <c r="L71" s="38"/>
      <c r="M71" s="38"/>
    </row>
    <row r="72" spans="1:13">
      <c r="A72" s="3">
        <f t="shared" si="5"/>
        <v>1</v>
      </c>
      <c r="B72" s="88"/>
      <c r="C72" s="196"/>
      <c r="D72" s="195"/>
      <c r="E72" s="193"/>
      <c r="F72" s="193">
        <f t="shared" si="3"/>
        <v>0</v>
      </c>
      <c r="G72" s="193" t="str">
        <f>IF(IFERROR(IF(Str_TypeDonneesCpt5=Cpt_Index,Tab_Compteur_5[[#This Row],[Index]]-E71,Tab_Compteur_5[[#This Row],[Quantité]])/Tab_Compteur_5[[#This Row],[Delta Jour]],"")&lt;0,"",IFERROR(IF(Str_TypeDonneesCpt5=Cpt_Index,Tab_Compteur_5[[#This Row],[Index]]-E71,Tab_Compteur_5[[#This Row],[Quantité]])/Tab_Compteur_5[[#This Row],[Delta Jour]],""))</f>
        <v/>
      </c>
      <c r="H72" s="193" t="str">
        <f>IFERROR(Tab_Compteur_5[[#This Row],[Montant]]/Tab_Compteur_5[[#This Row],[Delta Jour]],"")</f>
        <v/>
      </c>
      <c r="I72" s="215" t="str">
        <f t="shared" si="4"/>
        <v/>
      </c>
      <c r="J72" s="216"/>
      <c r="K72" s="38"/>
      <c r="L72" s="38"/>
      <c r="M72" s="38"/>
    </row>
    <row r="73" spans="1:13">
      <c r="A73" s="3">
        <f t="shared" si="5"/>
        <v>1</v>
      </c>
      <c r="B73" s="88"/>
      <c r="C73" s="196"/>
      <c r="D73" s="195"/>
      <c r="E73" s="193"/>
      <c r="F73" s="193">
        <f t="shared" si="3"/>
        <v>0</v>
      </c>
      <c r="G73" s="193" t="str">
        <f>IF(IFERROR(IF(Str_TypeDonneesCpt5=Cpt_Index,Tab_Compteur_5[[#This Row],[Index]]-E72,Tab_Compteur_5[[#This Row],[Quantité]])/Tab_Compteur_5[[#This Row],[Delta Jour]],"")&lt;0,"",IFERROR(IF(Str_TypeDonneesCpt5=Cpt_Index,Tab_Compteur_5[[#This Row],[Index]]-E72,Tab_Compteur_5[[#This Row],[Quantité]])/Tab_Compteur_5[[#This Row],[Delta Jour]],""))</f>
        <v/>
      </c>
      <c r="H73" s="193" t="str">
        <f>IFERROR(Tab_Compteur_5[[#This Row],[Montant]]/Tab_Compteur_5[[#This Row],[Delta Jour]],"")</f>
        <v/>
      </c>
      <c r="I73" s="215" t="str">
        <f t="shared" si="4"/>
        <v/>
      </c>
      <c r="J73" s="216"/>
      <c r="K73" s="38"/>
      <c r="L73" s="38"/>
      <c r="M73" s="38"/>
    </row>
    <row r="74" spans="1:13">
      <c r="A74" s="3">
        <f t="shared" si="5"/>
        <v>1</v>
      </c>
      <c r="B74" s="88"/>
      <c r="C74" s="196"/>
      <c r="D74" s="195"/>
      <c r="E74" s="193"/>
      <c r="F74" s="193">
        <f t="shared" si="3"/>
        <v>0</v>
      </c>
      <c r="G74" s="193" t="str">
        <f>IF(IFERROR(IF(Str_TypeDonneesCpt5=Cpt_Index,Tab_Compteur_5[[#This Row],[Index]]-E73,Tab_Compteur_5[[#This Row],[Quantité]])/Tab_Compteur_5[[#This Row],[Delta Jour]],"")&lt;0,"",IFERROR(IF(Str_TypeDonneesCpt5=Cpt_Index,Tab_Compteur_5[[#This Row],[Index]]-E73,Tab_Compteur_5[[#This Row],[Quantité]])/Tab_Compteur_5[[#This Row],[Delta Jour]],""))</f>
        <v/>
      </c>
      <c r="H74" s="193" t="str">
        <f>IFERROR(Tab_Compteur_5[[#This Row],[Montant]]/Tab_Compteur_5[[#This Row],[Delta Jour]],"")</f>
        <v/>
      </c>
      <c r="I74" s="215" t="str">
        <f t="shared" si="4"/>
        <v/>
      </c>
      <c r="J74" s="216"/>
      <c r="K74" s="38"/>
      <c r="L74" s="38"/>
      <c r="M74" s="38"/>
    </row>
    <row r="75" spans="1:13">
      <c r="A75" s="3">
        <f t="shared" si="5"/>
        <v>1</v>
      </c>
      <c r="B75" s="88"/>
      <c r="C75" s="196"/>
      <c r="D75" s="195"/>
      <c r="E75" s="193"/>
      <c r="F75" s="193">
        <f t="shared" si="3"/>
        <v>0</v>
      </c>
      <c r="G75" s="193" t="str">
        <f>IF(IFERROR(IF(Str_TypeDonneesCpt5=Cpt_Index,Tab_Compteur_5[[#This Row],[Index]]-E74,Tab_Compteur_5[[#This Row],[Quantité]])/Tab_Compteur_5[[#This Row],[Delta Jour]],"")&lt;0,"",IFERROR(IF(Str_TypeDonneesCpt5=Cpt_Index,Tab_Compteur_5[[#This Row],[Index]]-E74,Tab_Compteur_5[[#This Row],[Quantité]])/Tab_Compteur_5[[#This Row],[Delta Jour]],""))</f>
        <v/>
      </c>
      <c r="H75" s="193" t="str">
        <f>IFERROR(Tab_Compteur_5[[#This Row],[Montant]]/Tab_Compteur_5[[#This Row],[Delta Jour]],"")</f>
        <v/>
      </c>
      <c r="I75" s="215" t="str">
        <f t="shared" si="4"/>
        <v/>
      </c>
      <c r="J75" s="216"/>
      <c r="K75" s="38"/>
      <c r="L75" s="38"/>
      <c r="M75" s="38"/>
    </row>
    <row r="76" spans="1:13">
      <c r="A76" s="3">
        <f t="shared" si="5"/>
        <v>1</v>
      </c>
      <c r="B76" s="88"/>
      <c r="C76" s="196"/>
      <c r="D76" s="195"/>
      <c r="E76" s="193"/>
      <c r="F76" s="193">
        <f t="shared" si="3"/>
        <v>0</v>
      </c>
      <c r="G76" s="193" t="str">
        <f>IF(IFERROR(IF(Str_TypeDonneesCpt5=Cpt_Index,Tab_Compteur_5[[#This Row],[Index]]-E75,Tab_Compteur_5[[#This Row],[Quantité]])/Tab_Compteur_5[[#This Row],[Delta Jour]],"")&lt;0,"",IFERROR(IF(Str_TypeDonneesCpt5=Cpt_Index,Tab_Compteur_5[[#This Row],[Index]]-E75,Tab_Compteur_5[[#This Row],[Quantité]])/Tab_Compteur_5[[#This Row],[Delta Jour]],""))</f>
        <v/>
      </c>
      <c r="H76" s="193" t="str">
        <f>IFERROR(Tab_Compteur_5[[#This Row],[Montant]]/Tab_Compteur_5[[#This Row],[Delta Jour]],"")</f>
        <v/>
      </c>
      <c r="I76" s="215" t="str">
        <f t="shared" si="4"/>
        <v/>
      </c>
      <c r="J76" s="216"/>
      <c r="K76" s="38"/>
      <c r="L76" s="38"/>
      <c r="M76" s="38"/>
    </row>
    <row r="77" spans="1:13">
      <c r="A77" s="3">
        <f t="shared" si="5"/>
        <v>1</v>
      </c>
      <c r="B77" s="88"/>
      <c r="C77" s="196"/>
      <c r="D77" s="195"/>
      <c r="E77" s="193"/>
      <c r="F77" s="193">
        <f t="shared" si="3"/>
        <v>0</v>
      </c>
      <c r="G77" s="193" t="str">
        <f>IF(IFERROR(IF(Str_TypeDonneesCpt5=Cpt_Index,Tab_Compteur_5[[#This Row],[Index]]-E76,Tab_Compteur_5[[#This Row],[Quantité]])/Tab_Compteur_5[[#This Row],[Delta Jour]],"")&lt;0,"",IFERROR(IF(Str_TypeDonneesCpt5=Cpt_Index,Tab_Compteur_5[[#This Row],[Index]]-E76,Tab_Compteur_5[[#This Row],[Quantité]])/Tab_Compteur_5[[#This Row],[Delta Jour]],""))</f>
        <v/>
      </c>
      <c r="H77" s="193" t="str">
        <f>IFERROR(Tab_Compteur_5[[#This Row],[Montant]]/Tab_Compteur_5[[#This Row],[Delta Jour]],"")</f>
        <v/>
      </c>
      <c r="I77" s="215" t="str">
        <f t="shared" si="4"/>
        <v/>
      </c>
      <c r="J77" s="216"/>
      <c r="K77" s="38"/>
      <c r="L77" s="38"/>
      <c r="M77" s="38"/>
    </row>
    <row r="78" spans="1:13">
      <c r="A78" s="3">
        <f t="shared" si="5"/>
        <v>1</v>
      </c>
      <c r="B78" s="88"/>
      <c r="C78" s="196"/>
      <c r="D78" s="195"/>
      <c r="E78" s="193"/>
      <c r="F78" s="193">
        <f t="shared" si="3"/>
        <v>0</v>
      </c>
      <c r="G78" s="193" t="str">
        <f>IF(IFERROR(IF(Str_TypeDonneesCpt5=Cpt_Index,Tab_Compteur_5[[#This Row],[Index]]-E77,Tab_Compteur_5[[#This Row],[Quantité]])/Tab_Compteur_5[[#This Row],[Delta Jour]],"")&lt;0,"",IFERROR(IF(Str_TypeDonneesCpt5=Cpt_Index,Tab_Compteur_5[[#This Row],[Index]]-E77,Tab_Compteur_5[[#This Row],[Quantité]])/Tab_Compteur_5[[#This Row],[Delta Jour]],""))</f>
        <v/>
      </c>
      <c r="H78" s="193" t="str">
        <f>IFERROR(Tab_Compteur_5[[#This Row],[Montant]]/Tab_Compteur_5[[#This Row],[Delta Jour]],"")</f>
        <v/>
      </c>
      <c r="I78" s="215" t="str">
        <f t="shared" si="4"/>
        <v/>
      </c>
      <c r="J78" s="216"/>
      <c r="K78" s="38"/>
      <c r="L78" s="38"/>
      <c r="M78" s="38"/>
    </row>
    <row r="79" spans="1:13">
      <c r="A79" s="3">
        <f t="shared" si="5"/>
        <v>1</v>
      </c>
      <c r="B79" s="88"/>
      <c r="C79" s="196"/>
      <c r="D79" s="195"/>
      <c r="E79" s="193"/>
      <c r="F79" s="193">
        <f t="shared" si="3"/>
        <v>0</v>
      </c>
      <c r="G79" s="193" t="str">
        <f>IF(IFERROR(IF(Str_TypeDonneesCpt5=Cpt_Index,Tab_Compteur_5[[#This Row],[Index]]-E78,Tab_Compteur_5[[#This Row],[Quantité]])/Tab_Compteur_5[[#This Row],[Delta Jour]],"")&lt;0,"",IFERROR(IF(Str_TypeDonneesCpt5=Cpt_Index,Tab_Compteur_5[[#This Row],[Index]]-E78,Tab_Compteur_5[[#This Row],[Quantité]])/Tab_Compteur_5[[#This Row],[Delta Jour]],""))</f>
        <v/>
      </c>
      <c r="H79" s="193" t="str">
        <f>IFERROR(Tab_Compteur_5[[#This Row],[Montant]]/Tab_Compteur_5[[#This Row],[Delta Jour]],"")</f>
        <v/>
      </c>
      <c r="I79" s="215" t="str">
        <f t="shared" si="4"/>
        <v/>
      </c>
      <c r="J79" s="216"/>
      <c r="K79" s="38"/>
      <c r="L79" s="38"/>
      <c r="M79" s="38"/>
    </row>
    <row r="80" spans="1:13">
      <c r="A80" s="3">
        <f t="shared" si="5"/>
        <v>1</v>
      </c>
      <c r="B80" s="88"/>
      <c r="C80" s="196"/>
      <c r="D80" s="195"/>
      <c r="E80" s="193"/>
      <c r="F80" s="193">
        <f t="shared" si="3"/>
        <v>0</v>
      </c>
      <c r="G80" s="193" t="str">
        <f>IF(IFERROR(IF(Str_TypeDonneesCpt5=Cpt_Index,Tab_Compteur_5[[#This Row],[Index]]-E79,Tab_Compteur_5[[#This Row],[Quantité]])/Tab_Compteur_5[[#This Row],[Delta Jour]],"")&lt;0,"",IFERROR(IF(Str_TypeDonneesCpt5=Cpt_Index,Tab_Compteur_5[[#This Row],[Index]]-E79,Tab_Compteur_5[[#This Row],[Quantité]])/Tab_Compteur_5[[#This Row],[Delta Jour]],""))</f>
        <v/>
      </c>
      <c r="H80" s="193" t="str">
        <f>IFERROR(Tab_Compteur_5[[#This Row],[Montant]]/Tab_Compteur_5[[#This Row],[Delta Jour]],"")</f>
        <v/>
      </c>
      <c r="I80" s="215" t="str">
        <f t="shared" si="4"/>
        <v/>
      </c>
      <c r="J80" s="216"/>
      <c r="K80" s="38"/>
      <c r="L80" s="38"/>
      <c r="M80" s="38"/>
    </row>
    <row r="81" spans="1:13">
      <c r="A81" s="3">
        <f t="shared" si="5"/>
        <v>1</v>
      </c>
      <c r="B81" s="88"/>
      <c r="C81" s="196"/>
      <c r="D81" s="195"/>
      <c r="E81" s="193"/>
      <c r="F81" s="193">
        <f t="shared" si="3"/>
        <v>0</v>
      </c>
      <c r="G81" s="193" t="str">
        <f>IF(IFERROR(IF(Str_TypeDonneesCpt5=Cpt_Index,Tab_Compteur_5[[#This Row],[Index]]-E80,Tab_Compteur_5[[#This Row],[Quantité]])/Tab_Compteur_5[[#This Row],[Delta Jour]],"")&lt;0,"",IFERROR(IF(Str_TypeDonneesCpt5=Cpt_Index,Tab_Compteur_5[[#This Row],[Index]]-E80,Tab_Compteur_5[[#This Row],[Quantité]])/Tab_Compteur_5[[#This Row],[Delta Jour]],""))</f>
        <v/>
      </c>
      <c r="H81" s="193" t="str">
        <f>IFERROR(Tab_Compteur_5[[#This Row],[Montant]]/Tab_Compteur_5[[#This Row],[Delta Jour]],"")</f>
        <v/>
      </c>
      <c r="I81" s="215" t="str">
        <f t="shared" si="4"/>
        <v/>
      </c>
      <c r="J81" s="216"/>
      <c r="K81" s="38"/>
      <c r="L81" s="38"/>
      <c r="M81" s="38"/>
    </row>
    <row r="82" spans="1:13">
      <c r="A82" s="3">
        <f t="shared" si="5"/>
        <v>1</v>
      </c>
      <c r="B82" s="88"/>
      <c r="C82" s="196"/>
      <c r="D82" s="195"/>
      <c r="E82" s="193"/>
      <c r="F82" s="193">
        <f t="shared" si="3"/>
        <v>0</v>
      </c>
      <c r="G82" s="193" t="str">
        <f>IF(IFERROR(IF(Str_TypeDonneesCpt5=Cpt_Index,Tab_Compteur_5[[#This Row],[Index]]-E81,Tab_Compteur_5[[#This Row],[Quantité]])/Tab_Compteur_5[[#This Row],[Delta Jour]],"")&lt;0,"",IFERROR(IF(Str_TypeDonneesCpt5=Cpt_Index,Tab_Compteur_5[[#This Row],[Index]]-E81,Tab_Compteur_5[[#This Row],[Quantité]])/Tab_Compteur_5[[#This Row],[Delta Jour]],""))</f>
        <v/>
      </c>
      <c r="H82" s="193" t="str">
        <f>IFERROR(Tab_Compteur_5[[#This Row],[Montant]]/Tab_Compteur_5[[#This Row],[Delta Jour]],"")</f>
        <v/>
      </c>
      <c r="I82" s="215" t="str">
        <f t="shared" si="4"/>
        <v/>
      </c>
      <c r="J82" s="216"/>
      <c r="K82" s="38"/>
      <c r="L82" s="38"/>
      <c r="M82" s="38"/>
    </row>
    <row r="83" spans="1:13">
      <c r="A83" s="3">
        <f t="shared" si="5"/>
        <v>1</v>
      </c>
      <c r="B83" s="88"/>
      <c r="C83" s="196"/>
      <c r="D83" s="195"/>
      <c r="E83" s="193"/>
      <c r="F83" s="193">
        <f t="shared" si="3"/>
        <v>0</v>
      </c>
      <c r="G83" s="193" t="str">
        <f>IF(IFERROR(IF(Str_TypeDonneesCpt5=Cpt_Index,Tab_Compteur_5[[#This Row],[Index]]-E82,Tab_Compteur_5[[#This Row],[Quantité]])/Tab_Compteur_5[[#This Row],[Delta Jour]],"")&lt;0,"",IFERROR(IF(Str_TypeDonneesCpt5=Cpt_Index,Tab_Compteur_5[[#This Row],[Index]]-E82,Tab_Compteur_5[[#This Row],[Quantité]])/Tab_Compteur_5[[#This Row],[Delta Jour]],""))</f>
        <v/>
      </c>
      <c r="H83" s="193" t="str">
        <f>IFERROR(Tab_Compteur_5[[#This Row],[Montant]]/Tab_Compteur_5[[#This Row],[Delta Jour]],"")</f>
        <v/>
      </c>
      <c r="I83" s="215" t="str">
        <f t="shared" si="4"/>
        <v/>
      </c>
      <c r="J83" s="216"/>
      <c r="K83" s="38"/>
      <c r="L83" s="38"/>
      <c r="M83" s="38"/>
    </row>
    <row r="84" spans="1:13">
      <c r="A84" s="3">
        <f t="shared" si="5"/>
        <v>1</v>
      </c>
      <c r="B84" s="88"/>
      <c r="C84" s="196"/>
      <c r="D84" s="195"/>
      <c r="E84" s="193"/>
      <c r="F84" s="193">
        <f t="shared" si="3"/>
        <v>0</v>
      </c>
      <c r="G84" s="193" t="str">
        <f>IF(IFERROR(IF(Str_TypeDonneesCpt5=Cpt_Index,Tab_Compteur_5[[#This Row],[Index]]-E83,Tab_Compteur_5[[#This Row],[Quantité]])/Tab_Compteur_5[[#This Row],[Delta Jour]],"")&lt;0,"",IFERROR(IF(Str_TypeDonneesCpt5=Cpt_Index,Tab_Compteur_5[[#This Row],[Index]]-E83,Tab_Compteur_5[[#This Row],[Quantité]])/Tab_Compteur_5[[#This Row],[Delta Jour]],""))</f>
        <v/>
      </c>
      <c r="H84" s="193" t="str">
        <f>IFERROR(Tab_Compteur_5[[#This Row],[Montant]]/Tab_Compteur_5[[#This Row],[Delta Jour]],"")</f>
        <v/>
      </c>
      <c r="I84" s="215" t="str">
        <f t="shared" si="4"/>
        <v/>
      </c>
      <c r="J84" s="216"/>
      <c r="K84" s="38"/>
      <c r="L84" s="38"/>
      <c r="M84" s="38"/>
    </row>
    <row r="85" spans="1:13">
      <c r="A85" s="3">
        <f t="shared" si="5"/>
        <v>1</v>
      </c>
      <c r="B85" s="88"/>
      <c r="C85" s="196"/>
      <c r="D85" s="195"/>
      <c r="E85" s="193"/>
      <c r="F85" s="193">
        <f t="shared" si="3"/>
        <v>0</v>
      </c>
      <c r="G85" s="193" t="str">
        <f>IF(IFERROR(IF(Str_TypeDonneesCpt5=Cpt_Index,Tab_Compteur_5[[#This Row],[Index]]-E84,Tab_Compteur_5[[#This Row],[Quantité]])/Tab_Compteur_5[[#This Row],[Delta Jour]],"")&lt;0,"",IFERROR(IF(Str_TypeDonneesCpt5=Cpt_Index,Tab_Compteur_5[[#This Row],[Index]]-E84,Tab_Compteur_5[[#This Row],[Quantité]])/Tab_Compteur_5[[#This Row],[Delta Jour]],""))</f>
        <v/>
      </c>
      <c r="H85" s="193" t="str">
        <f>IFERROR(Tab_Compteur_5[[#This Row],[Montant]]/Tab_Compteur_5[[#This Row],[Delta Jour]],"")</f>
        <v/>
      </c>
      <c r="I85" s="215" t="str">
        <f t="shared" si="4"/>
        <v/>
      </c>
      <c r="J85" s="216"/>
      <c r="K85" s="38"/>
      <c r="L85" s="38"/>
      <c r="M85" s="38"/>
    </row>
    <row r="86" spans="1:13">
      <c r="A86" s="3">
        <f t="shared" si="5"/>
        <v>1</v>
      </c>
      <c r="B86" s="88"/>
      <c r="C86" s="196"/>
      <c r="D86" s="195"/>
      <c r="E86" s="193"/>
      <c r="F86" s="193">
        <f t="shared" si="3"/>
        <v>0</v>
      </c>
      <c r="G86" s="193" t="str">
        <f>IF(IFERROR(IF(Str_TypeDonneesCpt5=Cpt_Index,Tab_Compteur_5[[#This Row],[Index]]-E85,Tab_Compteur_5[[#This Row],[Quantité]])/Tab_Compteur_5[[#This Row],[Delta Jour]],"")&lt;0,"",IFERROR(IF(Str_TypeDonneesCpt5=Cpt_Index,Tab_Compteur_5[[#This Row],[Index]]-E85,Tab_Compteur_5[[#This Row],[Quantité]])/Tab_Compteur_5[[#This Row],[Delta Jour]],""))</f>
        <v/>
      </c>
      <c r="H86" s="193" t="str">
        <f>IFERROR(Tab_Compteur_5[[#This Row],[Montant]]/Tab_Compteur_5[[#This Row],[Delta Jour]],"")</f>
        <v/>
      </c>
      <c r="I86" s="215" t="str">
        <f t="shared" si="4"/>
        <v/>
      </c>
      <c r="J86" s="216"/>
      <c r="K86" s="38"/>
      <c r="L86" s="38"/>
      <c r="M86" s="38"/>
    </row>
    <row r="87" spans="1:13">
      <c r="A87" s="3">
        <f t="shared" si="5"/>
        <v>1</v>
      </c>
      <c r="B87" s="88"/>
      <c r="C87" s="196"/>
      <c r="D87" s="195"/>
      <c r="E87" s="193"/>
      <c r="F87" s="193">
        <f t="shared" si="3"/>
        <v>0</v>
      </c>
      <c r="G87" s="193" t="str">
        <f>IF(IFERROR(IF(Str_TypeDonneesCpt5=Cpt_Index,Tab_Compteur_5[[#This Row],[Index]]-E86,Tab_Compteur_5[[#This Row],[Quantité]])/Tab_Compteur_5[[#This Row],[Delta Jour]],"")&lt;0,"",IFERROR(IF(Str_TypeDonneesCpt5=Cpt_Index,Tab_Compteur_5[[#This Row],[Index]]-E86,Tab_Compteur_5[[#This Row],[Quantité]])/Tab_Compteur_5[[#This Row],[Delta Jour]],""))</f>
        <v/>
      </c>
      <c r="H87" s="193" t="str">
        <f>IFERROR(Tab_Compteur_5[[#This Row],[Montant]]/Tab_Compteur_5[[#This Row],[Delta Jour]],"")</f>
        <v/>
      </c>
      <c r="I87" s="215" t="str">
        <f t="shared" si="4"/>
        <v/>
      </c>
      <c r="J87" s="216"/>
      <c r="K87" s="38"/>
      <c r="L87" s="38"/>
      <c r="M87" s="38"/>
    </row>
    <row r="88" spans="1:13">
      <c r="A88" s="3">
        <f t="shared" si="5"/>
        <v>1</v>
      </c>
      <c r="B88" s="88"/>
      <c r="C88" s="196"/>
      <c r="D88" s="195"/>
      <c r="E88" s="193"/>
      <c r="F88" s="193">
        <f t="shared" si="3"/>
        <v>0</v>
      </c>
      <c r="G88" s="193" t="str">
        <f>IF(IFERROR(IF(Str_TypeDonneesCpt5=Cpt_Index,Tab_Compteur_5[[#This Row],[Index]]-E87,Tab_Compteur_5[[#This Row],[Quantité]])/Tab_Compteur_5[[#This Row],[Delta Jour]],"")&lt;0,"",IFERROR(IF(Str_TypeDonneesCpt5=Cpt_Index,Tab_Compteur_5[[#This Row],[Index]]-E87,Tab_Compteur_5[[#This Row],[Quantité]])/Tab_Compteur_5[[#This Row],[Delta Jour]],""))</f>
        <v/>
      </c>
      <c r="H88" s="193" t="str">
        <f>IFERROR(Tab_Compteur_5[[#This Row],[Montant]]/Tab_Compteur_5[[#This Row],[Delta Jour]],"")</f>
        <v/>
      </c>
      <c r="I88" s="215" t="str">
        <f t="shared" si="4"/>
        <v/>
      </c>
      <c r="J88" s="216"/>
      <c r="K88" s="38"/>
      <c r="L88" s="38"/>
      <c r="M88" s="38"/>
    </row>
    <row r="89" spans="1:13">
      <c r="A89" s="3">
        <f t="shared" si="5"/>
        <v>1</v>
      </c>
      <c r="B89" s="88"/>
      <c r="C89" s="196"/>
      <c r="D89" s="195"/>
      <c r="E89" s="193"/>
      <c r="F89" s="193">
        <f t="shared" si="3"/>
        <v>0</v>
      </c>
      <c r="G89" s="193" t="str">
        <f>IF(IFERROR(IF(Str_TypeDonneesCpt5=Cpt_Index,Tab_Compteur_5[[#This Row],[Index]]-E88,Tab_Compteur_5[[#This Row],[Quantité]])/Tab_Compteur_5[[#This Row],[Delta Jour]],"")&lt;0,"",IFERROR(IF(Str_TypeDonneesCpt5=Cpt_Index,Tab_Compteur_5[[#This Row],[Index]]-E88,Tab_Compteur_5[[#This Row],[Quantité]])/Tab_Compteur_5[[#This Row],[Delta Jour]],""))</f>
        <v/>
      </c>
      <c r="H89" s="193" t="str">
        <f>IFERROR(Tab_Compteur_5[[#This Row],[Montant]]/Tab_Compteur_5[[#This Row],[Delta Jour]],"")</f>
        <v/>
      </c>
      <c r="I89" s="215" t="str">
        <f t="shared" si="4"/>
        <v/>
      </c>
      <c r="J89" s="216"/>
      <c r="K89" s="38"/>
      <c r="L89" s="38"/>
      <c r="M89" s="38"/>
    </row>
    <row r="90" spans="1:13">
      <c r="A90" s="3">
        <f t="shared" si="5"/>
        <v>1</v>
      </c>
      <c r="B90" s="88"/>
      <c r="C90" s="196"/>
      <c r="D90" s="195"/>
      <c r="E90" s="193"/>
      <c r="F90" s="193">
        <f t="shared" si="3"/>
        <v>0</v>
      </c>
      <c r="G90" s="193" t="str">
        <f>IF(IFERROR(IF(Str_TypeDonneesCpt5=Cpt_Index,Tab_Compteur_5[[#This Row],[Index]]-E89,Tab_Compteur_5[[#This Row],[Quantité]])/Tab_Compteur_5[[#This Row],[Delta Jour]],"")&lt;0,"",IFERROR(IF(Str_TypeDonneesCpt5=Cpt_Index,Tab_Compteur_5[[#This Row],[Index]]-E89,Tab_Compteur_5[[#This Row],[Quantité]])/Tab_Compteur_5[[#This Row],[Delta Jour]],""))</f>
        <v/>
      </c>
      <c r="H90" s="193" t="str">
        <f>IFERROR(Tab_Compteur_5[[#This Row],[Montant]]/Tab_Compteur_5[[#This Row],[Delta Jour]],"")</f>
        <v/>
      </c>
      <c r="I90" s="215" t="str">
        <f t="shared" si="4"/>
        <v/>
      </c>
      <c r="J90" s="216"/>
      <c r="K90" s="38"/>
      <c r="L90" s="38"/>
      <c r="M90" s="38"/>
    </row>
    <row r="91" spans="1:13">
      <c r="A91" s="3">
        <f t="shared" si="5"/>
        <v>1</v>
      </c>
      <c r="B91" s="88"/>
      <c r="C91" s="196"/>
      <c r="D91" s="195"/>
      <c r="E91" s="193"/>
      <c r="F91" s="193">
        <f t="shared" si="3"/>
        <v>0</v>
      </c>
      <c r="G91" s="193" t="str">
        <f>IF(IFERROR(IF(Str_TypeDonneesCpt5=Cpt_Index,Tab_Compteur_5[[#This Row],[Index]]-E90,Tab_Compteur_5[[#This Row],[Quantité]])/Tab_Compteur_5[[#This Row],[Delta Jour]],"")&lt;0,"",IFERROR(IF(Str_TypeDonneesCpt5=Cpt_Index,Tab_Compteur_5[[#This Row],[Index]]-E90,Tab_Compteur_5[[#This Row],[Quantité]])/Tab_Compteur_5[[#This Row],[Delta Jour]],""))</f>
        <v/>
      </c>
      <c r="H91" s="193" t="str">
        <f>IFERROR(Tab_Compteur_5[[#This Row],[Montant]]/Tab_Compteur_5[[#This Row],[Delta Jour]],"")</f>
        <v/>
      </c>
      <c r="I91" s="215" t="str">
        <f t="shared" si="4"/>
        <v/>
      </c>
      <c r="J91" s="216"/>
      <c r="K91" s="38"/>
      <c r="L91" s="38"/>
      <c r="M91" s="38"/>
    </row>
    <row r="92" spans="1:13">
      <c r="A92" s="3">
        <f t="shared" si="5"/>
        <v>1</v>
      </c>
      <c r="B92" s="88"/>
      <c r="C92" s="196"/>
      <c r="D92" s="195"/>
      <c r="E92" s="193"/>
      <c r="F92" s="193">
        <f t="shared" si="3"/>
        <v>0</v>
      </c>
      <c r="G92" s="193" t="str">
        <f>IF(IFERROR(IF(Str_TypeDonneesCpt5=Cpt_Index,Tab_Compteur_5[[#This Row],[Index]]-E91,Tab_Compteur_5[[#This Row],[Quantité]])/Tab_Compteur_5[[#This Row],[Delta Jour]],"")&lt;0,"",IFERROR(IF(Str_TypeDonneesCpt5=Cpt_Index,Tab_Compteur_5[[#This Row],[Index]]-E91,Tab_Compteur_5[[#This Row],[Quantité]])/Tab_Compteur_5[[#This Row],[Delta Jour]],""))</f>
        <v/>
      </c>
      <c r="H92" s="193" t="str">
        <f>IFERROR(Tab_Compteur_5[[#This Row],[Montant]]/Tab_Compteur_5[[#This Row],[Delta Jour]],"")</f>
        <v/>
      </c>
      <c r="I92" s="215" t="str">
        <f t="shared" si="4"/>
        <v/>
      </c>
      <c r="J92" s="216"/>
      <c r="K92" s="38"/>
      <c r="L92" s="38"/>
      <c r="M92" s="38"/>
    </row>
    <row r="93" spans="1:13">
      <c r="A93" s="3">
        <f t="shared" si="5"/>
        <v>1</v>
      </c>
      <c r="B93" s="88"/>
      <c r="C93" s="196"/>
      <c r="D93" s="195"/>
      <c r="E93" s="193"/>
      <c r="F93" s="193">
        <f t="shared" si="3"/>
        <v>0</v>
      </c>
      <c r="G93" s="193" t="str">
        <f>IF(IFERROR(IF(Str_TypeDonneesCpt5=Cpt_Index,Tab_Compteur_5[[#This Row],[Index]]-E92,Tab_Compteur_5[[#This Row],[Quantité]])/Tab_Compteur_5[[#This Row],[Delta Jour]],"")&lt;0,"",IFERROR(IF(Str_TypeDonneesCpt5=Cpt_Index,Tab_Compteur_5[[#This Row],[Index]]-E92,Tab_Compteur_5[[#This Row],[Quantité]])/Tab_Compteur_5[[#This Row],[Delta Jour]],""))</f>
        <v/>
      </c>
      <c r="H93" s="193" t="str">
        <f>IFERROR(Tab_Compteur_5[[#This Row],[Montant]]/Tab_Compteur_5[[#This Row],[Delta Jour]],"")</f>
        <v/>
      </c>
      <c r="I93" s="215" t="str">
        <f t="shared" si="4"/>
        <v/>
      </c>
      <c r="J93" s="216"/>
      <c r="K93" s="38"/>
      <c r="L93" s="38"/>
      <c r="M93" s="38"/>
    </row>
    <row r="94" spans="1:13">
      <c r="A94" s="3">
        <f t="shared" si="5"/>
        <v>1</v>
      </c>
      <c r="B94" s="88"/>
      <c r="C94" s="196"/>
      <c r="D94" s="195"/>
      <c r="E94" s="193"/>
      <c r="F94" s="193">
        <f t="shared" si="3"/>
        <v>0</v>
      </c>
      <c r="G94" s="193" t="str">
        <f>IF(IFERROR(IF(Str_TypeDonneesCpt5=Cpt_Index,Tab_Compteur_5[[#This Row],[Index]]-E93,Tab_Compteur_5[[#This Row],[Quantité]])/Tab_Compteur_5[[#This Row],[Delta Jour]],"")&lt;0,"",IFERROR(IF(Str_TypeDonneesCpt5=Cpt_Index,Tab_Compteur_5[[#This Row],[Index]]-E93,Tab_Compteur_5[[#This Row],[Quantité]])/Tab_Compteur_5[[#This Row],[Delta Jour]],""))</f>
        <v/>
      </c>
      <c r="H94" s="193" t="str">
        <f>IFERROR(Tab_Compteur_5[[#This Row],[Montant]]/Tab_Compteur_5[[#This Row],[Delta Jour]],"")</f>
        <v/>
      </c>
      <c r="I94" s="215" t="str">
        <f t="shared" si="4"/>
        <v/>
      </c>
      <c r="J94" s="216"/>
      <c r="K94" s="38"/>
      <c r="L94" s="38"/>
      <c r="M94" s="38"/>
    </row>
    <row r="95" spans="1:13">
      <c r="A95" s="3">
        <f t="shared" si="5"/>
        <v>1</v>
      </c>
      <c r="B95" s="88"/>
      <c r="C95" s="196"/>
      <c r="D95" s="195"/>
      <c r="E95" s="193"/>
      <c r="F95" s="193">
        <f t="shared" si="3"/>
        <v>0</v>
      </c>
      <c r="G95" s="193" t="str">
        <f>IF(IFERROR(IF(Str_TypeDonneesCpt5=Cpt_Index,Tab_Compteur_5[[#This Row],[Index]]-E94,Tab_Compteur_5[[#This Row],[Quantité]])/Tab_Compteur_5[[#This Row],[Delta Jour]],"")&lt;0,"",IFERROR(IF(Str_TypeDonneesCpt5=Cpt_Index,Tab_Compteur_5[[#This Row],[Index]]-E94,Tab_Compteur_5[[#This Row],[Quantité]])/Tab_Compteur_5[[#This Row],[Delta Jour]],""))</f>
        <v/>
      </c>
      <c r="H95" s="193" t="str">
        <f>IFERROR(Tab_Compteur_5[[#This Row],[Montant]]/Tab_Compteur_5[[#This Row],[Delta Jour]],"")</f>
        <v/>
      </c>
      <c r="I95" s="215" t="str">
        <f t="shared" si="4"/>
        <v/>
      </c>
      <c r="J95" s="216"/>
      <c r="K95" s="38"/>
      <c r="L95" s="38"/>
      <c r="M95" s="38"/>
    </row>
    <row r="96" spans="1:13">
      <c r="A96" s="3">
        <f t="shared" si="5"/>
        <v>1</v>
      </c>
      <c r="B96" s="88"/>
      <c r="C96" s="196"/>
      <c r="D96" s="195"/>
      <c r="E96" s="193"/>
      <c r="F96" s="193">
        <f t="shared" si="3"/>
        <v>0</v>
      </c>
      <c r="G96" s="193" t="str">
        <f>IF(IFERROR(IF(Str_TypeDonneesCpt5=Cpt_Index,Tab_Compteur_5[[#This Row],[Index]]-E95,Tab_Compteur_5[[#This Row],[Quantité]])/Tab_Compteur_5[[#This Row],[Delta Jour]],"")&lt;0,"",IFERROR(IF(Str_TypeDonneesCpt5=Cpt_Index,Tab_Compteur_5[[#This Row],[Index]]-E95,Tab_Compteur_5[[#This Row],[Quantité]])/Tab_Compteur_5[[#This Row],[Delta Jour]],""))</f>
        <v/>
      </c>
      <c r="H96" s="193" t="str">
        <f>IFERROR(Tab_Compteur_5[[#This Row],[Montant]]/Tab_Compteur_5[[#This Row],[Delta Jour]],"")</f>
        <v/>
      </c>
      <c r="I96" s="215" t="str">
        <f t="shared" si="4"/>
        <v/>
      </c>
      <c r="J96" s="216"/>
      <c r="K96" s="38"/>
      <c r="L96" s="38"/>
      <c r="M96" s="38"/>
    </row>
    <row r="97" spans="1:13">
      <c r="A97" s="3">
        <f t="shared" si="5"/>
        <v>1</v>
      </c>
      <c r="B97" s="88"/>
      <c r="C97" s="196"/>
      <c r="D97" s="195"/>
      <c r="E97" s="193"/>
      <c r="F97" s="193">
        <f t="shared" si="3"/>
        <v>0</v>
      </c>
      <c r="G97" s="193" t="str">
        <f>IF(IFERROR(IF(Str_TypeDonneesCpt5=Cpt_Index,Tab_Compteur_5[[#This Row],[Index]]-E96,Tab_Compteur_5[[#This Row],[Quantité]])/Tab_Compteur_5[[#This Row],[Delta Jour]],"")&lt;0,"",IFERROR(IF(Str_TypeDonneesCpt5=Cpt_Index,Tab_Compteur_5[[#This Row],[Index]]-E96,Tab_Compteur_5[[#This Row],[Quantité]])/Tab_Compteur_5[[#This Row],[Delta Jour]],""))</f>
        <v/>
      </c>
      <c r="H97" s="193" t="str">
        <f>IFERROR(Tab_Compteur_5[[#This Row],[Montant]]/Tab_Compteur_5[[#This Row],[Delta Jour]],"")</f>
        <v/>
      </c>
      <c r="I97" s="215" t="str">
        <f t="shared" si="4"/>
        <v/>
      </c>
      <c r="J97" s="216"/>
      <c r="K97" s="38"/>
      <c r="L97" s="38"/>
      <c r="M97" s="38"/>
    </row>
    <row r="98" spans="1:13">
      <c r="A98" s="3">
        <f t="shared" si="5"/>
        <v>1</v>
      </c>
      <c r="B98" s="88"/>
      <c r="C98" s="196"/>
      <c r="D98" s="195"/>
      <c r="E98" s="193"/>
      <c r="F98" s="193">
        <f t="shared" si="3"/>
        <v>0</v>
      </c>
      <c r="G98" s="193" t="str">
        <f>IF(IFERROR(IF(Str_TypeDonneesCpt5=Cpt_Index,Tab_Compteur_5[[#This Row],[Index]]-E97,Tab_Compteur_5[[#This Row],[Quantité]])/Tab_Compteur_5[[#This Row],[Delta Jour]],"")&lt;0,"",IFERROR(IF(Str_TypeDonneesCpt5=Cpt_Index,Tab_Compteur_5[[#This Row],[Index]]-E97,Tab_Compteur_5[[#This Row],[Quantité]])/Tab_Compteur_5[[#This Row],[Delta Jour]],""))</f>
        <v/>
      </c>
      <c r="H98" s="193" t="str">
        <f>IFERROR(Tab_Compteur_5[[#This Row],[Montant]]/Tab_Compteur_5[[#This Row],[Delta Jour]],"")</f>
        <v/>
      </c>
      <c r="I98" s="215" t="str">
        <f t="shared" si="4"/>
        <v/>
      </c>
      <c r="J98" s="216"/>
      <c r="K98" s="38"/>
      <c r="L98" s="38"/>
      <c r="M98" s="38"/>
    </row>
    <row r="99" spans="1:13">
      <c r="A99" s="3">
        <f t="shared" si="5"/>
        <v>1</v>
      </c>
      <c r="B99" s="88"/>
      <c r="C99" s="196"/>
      <c r="D99" s="195"/>
      <c r="E99" s="193"/>
      <c r="F99" s="193">
        <f t="shared" si="3"/>
        <v>0</v>
      </c>
      <c r="G99" s="193" t="str">
        <f>IF(IFERROR(IF(Str_TypeDonneesCpt5=Cpt_Index,Tab_Compteur_5[[#This Row],[Index]]-E98,Tab_Compteur_5[[#This Row],[Quantité]])/Tab_Compteur_5[[#This Row],[Delta Jour]],"")&lt;0,"",IFERROR(IF(Str_TypeDonneesCpt5=Cpt_Index,Tab_Compteur_5[[#This Row],[Index]]-E98,Tab_Compteur_5[[#This Row],[Quantité]])/Tab_Compteur_5[[#This Row],[Delta Jour]],""))</f>
        <v/>
      </c>
      <c r="H99" s="193" t="str">
        <f>IFERROR(Tab_Compteur_5[[#This Row],[Montant]]/Tab_Compteur_5[[#This Row],[Delta Jour]],"")</f>
        <v/>
      </c>
      <c r="I99" s="215" t="str">
        <f t="shared" si="4"/>
        <v/>
      </c>
      <c r="J99" s="216"/>
      <c r="K99" s="38"/>
      <c r="L99" s="38"/>
      <c r="M99" s="38"/>
    </row>
    <row r="100" spans="1:13">
      <c r="A100" s="3">
        <f t="shared" si="5"/>
        <v>1</v>
      </c>
      <c r="B100" s="88"/>
      <c r="C100" s="196"/>
      <c r="D100" s="195"/>
      <c r="E100" s="193"/>
      <c r="F100" s="193">
        <f t="shared" si="3"/>
        <v>0</v>
      </c>
      <c r="G100" s="193" t="str">
        <f>IF(IFERROR(IF(Str_TypeDonneesCpt5=Cpt_Index,Tab_Compteur_5[[#This Row],[Index]]-E99,Tab_Compteur_5[[#This Row],[Quantité]])/Tab_Compteur_5[[#This Row],[Delta Jour]],"")&lt;0,"",IFERROR(IF(Str_TypeDonneesCpt5=Cpt_Index,Tab_Compteur_5[[#This Row],[Index]]-E99,Tab_Compteur_5[[#This Row],[Quantité]])/Tab_Compteur_5[[#This Row],[Delta Jour]],""))</f>
        <v/>
      </c>
      <c r="H100" s="193" t="str">
        <f>IFERROR(Tab_Compteur_5[[#This Row],[Montant]]/Tab_Compteur_5[[#This Row],[Delta Jour]],"")</f>
        <v/>
      </c>
      <c r="I100" s="215" t="str">
        <f t="shared" si="4"/>
        <v/>
      </c>
      <c r="J100" s="216"/>
      <c r="K100" s="38"/>
      <c r="L100" s="38"/>
      <c r="M100" s="38"/>
    </row>
    <row r="101" spans="1:13">
      <c r="A101" s="3">
        <f t="shared" si="5"/>
        <v>1</v>
      </c>
      <c r="B101" s="88"/>
      <c r="C101" s="196"/>
      <c r="D101" s="195"/>
      <c r="E101" s="193"/>
      <c r="F101" s="193">
        <f t="shared" si="3"/>
        <v>0</v>
      </c>
      <c r="G101" s="193" t="str">
        <f>IF(IFERROR(IF(Str_TypeDonneesCpt5=Cpt_Index,Tab_Compteur_5[[#This Row],[Index]]-E100,Tab_Compteur_5[[#This Row],[Quantité]])/Tab_Compteur_5[[#This Row],[Delta Jour]],"")&lt;0,"",IFERROR(IF(Str_TypeDonneesCpt5=Cpt_Index,Tab_Compteur_5[[#This Row],[Index]]-E100,Tab_Compteur_5[[#This Row],[Quantité]])/Tab_Compteur_5[[#This Row],[Delta Jour]],""))</f>
        <v/>
      </c>
      <c r="H101" s="193" t="str">
        <f>IFERROR(Tab_Compteur_5[[#This Row],[Montant]]/Tab_Compteur_5[[#This Row],[Delta Jour]],"")</f>
        <v/>
      </c>
      <c r="I101" s="215" t="str">
        <f t="shared" si="4"/>
        <v/>
      </c>
      <c r="J101" s="216"/>
      <c r="K101" s="38"/>
      <c r="L101" s="38"/>
      <c r="M101" s="38"/>
    </row>
    <row r="102" spans="1:13">
      <c r="A102" s="3">
        <f t="shared" si="5"/>
        <v>1</v>
      </c>
      <c r="B102" s="88"/>
      <c r="C102" s="196"/>
      <c r="D102" s="195"/>
      <c r="E102" s="193"/>
      <c r="F102" s="193">
        <f t="shared" si="3"/>
        <v>0</v>
      </c>
      <c r="G102" s="193" t="str">
        <f>IF(IFERROR(IF(Str_TypeDonneesCpt5=Cpt_Index,Tab_Compteur_5[[#This Row],[Index]]-E101,Tab_Compteur_5[[#This Row],[Quantité]])/Tab_Compteur_5[[#This Row],[Delta Jour]],"")&lt;0,"",IFERROR(IF(Str_TypeDonneesCpt5=Cpt_Index,Tab_Compteur_5[[#This Row],[Index]]-E101,Tab_Compteur_5[[#This Row],[Quantité]])/Tab_Compteur_5[[#This Row],[Delta Jour]],""))</f>
        <v/>
      </c>
      <c r="H102" s="193" t="str">
        <f>IFERROR(Tab_Compteur_5[[#This Row],[Montant]]/Tab_Compteur_5[[#This Row],[Delta Jour]],"")</f>
        <v/>
      </c>
      <c r="I102" s="215" t="str">
        <f t="shared" si="4"/>
        <v/>
      </c>
      <c r="J102" s="216"/>
      <c r="K102" s="38"/>
      <c r="L102" s="38"/>
      <c r="M102" s="38"/>
    </row>
    <row r="103" spans="1:13">
      <c r="A103" s="3">
        <f t="shared" si="5"/>
        <v>1</v>
      </c>
      <c r="B103" s="88"/>
      <c r="C103" s="196"/>
      <c r="D103" s="195"/>
      <c r="E103" s="193"/>
      <c r="F103" s="193">
        <f t="shared" si="3"/>
        <v>0</v>
      </c>
      <c r="G103" s="193" t="str">
        <f>IF(IFERROR(IF(Str_TypeDonneesCpt5=Cpt_Index,Tab_Compteur_5[[#This Row],[Index]]-E102,Tab_Compteur_5[[#This Row],[Quantité]])/Tab_Compteur_5[[#This Row],[Delta Jour]],"")&lt;0,"",IFERROR(IF(Str_TypeDonneesCpt5=Cpt_Index,Tab_Compteur_5[[#This Row],[Index]]-E102,Tab_Compteur_5[[#This Row],[Quantité]])/Tab_Compteur_5[[#This Row],[Delta Jour]],""))</f>
        <v/>
      </c>
      <c r="H103" s="193" t="str">
        <f>IFERROR(Tab_Compteur_5[[#This Row],[Montant]]/Tab_Compteur_5[[#This Row],[Delta Jour]],"")</f>
        <v/>
      </c>
      <c r="I103" s="215" t="str">
        <f t="shared" si="4"/>
        <v/>
      </c>
      <c r="J103" s="216"/>
      <c r="K103" s="38"/>
      <c r="L103" s="38"/>
      <c r="M103" s="38"/>
    </row>
    <row r="104" spans="1:13">
      <c r="A104" s="3">
        <f t="shared" si="5"/>
        <v>1</v>
      </c>
      <c r="B104" s="88"/>
      <c r="C104" s="196"/>
      <c r="D104" s="195"/>
      <c r="E104" s="193"/>
      <c r="F104" s="193">
        <f t="shared" si="3"/>
        <v>0</v>
      </c>
      <c r="G104" s="193" t="str">
        <f>IF(IFERROR(IF(Str_TypeDonneesCpt5=Cpt_Index,Tab_Compteur_5[[#This Row],[Index]]-E103,Tab_Compteur_5[[#This Row],[Quantité]])/Tab_Compteur_5[[#This Row],[Delta Jour]],"")&lt;0,"",IFERROR(IF(Str_TypeDonneesCpt5=Cpt_Index,Tab_Compteur_5[[#This Row],[Index]]-E103,Tab_Compteur_5[[#This Row],[Quantité]])/Tab_Compteur_5[[#This Row],[Delta Jour]],""))</f>
        <v/>
      </c>
      <c r="H104" s="193" t="str">
        <f>IFERROR(Tab_Compteur_5[[#This Row],[Montant]]/Tab_Compteur_5[[#This Row],[Delta Jour]],"")</f>
        <v/>
      </c>
      <c r="I104" s="215" t="str">
        <f t="shared" si="4"/>
        <v/>
      </c>
      <c r="J104" s="216"/>
      <c r="K104" s="38"/>
      <c r="L104" s="38"/>
      <c r="M104" s="38"/>
    </row>
    <row r="105" spans="1:13">
      <c r="A105" s="3">
        <f t="shared" si="5"/>
        <v>1</v>
      </c>
      <c r="B105" s="88"/>
      <c r="C105" s="196"/>
      <c r="D105" s="195"/>
      <c r="E105" s="193"/>
      <c r="F105" s="193">
        <f t="shared" si="3"/>
        <v>0</v>
      </c>
      <c r="G105" s="193" t="str">
        <f>IF(IFERROR(IF(Str_TypeDonneesCpt5=Cpt_Index,Tab_Compteur_5[[#This Row],[Index]]-E104,Tab_Compteur_5[[#This Row],[Quantité]])/Tab_Compteur_5[[#This Row],[Delta Jour]],"")&lt;0,"",IFERROR(IF(Str_TypeDonneesCpt5=Cpt_Index,Tab_Compteur_5[[#This Row],[Index]]-E104,Tab_Compteur_5[[#This Row],[Quantité]])/Tab_Compteur_5[[#This Row],[Delta Jour]],""))</f>
        <v/>
      </c>
      <c r="H105" s="193" t="str">
        <f>IFERROR(Tab_Compteur_5[[#This Row],[Montant]]/Tab_Compteur_5[[#This Row],[Delta Jour]],"")</f>
        <v/>
      </c>
      <c r="I105" s="215" t="str">
        <f t="shared" si="4"/>
        <v/>
      </c>
      <c r="J105" s="216"/>
      <c r="K105" s="38"/>
      <c r="L105" s="38"/>
      <c r="M105" s="38"/>
    </row>
    <row r="106" spans="1:13">
      <c r="A106" s="3">
        <f t="shared" si="5"/>
        <v>1</v>
      </c>
      <c r="B106" s="88"/>
      <c r="C106" s="196"/>
      <c r="D106" s="195"/>
      <c r="E106" s="193"/>
      <c r="F106" s="193">
        <f t="shared" si="3"/>
        <v>0</v>
      </c>
      <c r="G106" s="193" t="str">
        <f>IF(IFERROR(IF(Str_TypeDonneesCpt5=Cpt_Index,Tab_Compteur_5[[#This Row],[Index]]-E105,Tab_Compteur_5[[#This Row],[Quantité]])/Tab_Compteur_5[[#This Row],[Delta Jour]],"")&lt;0,"",IFERROR(IF(Str_TypeDonneesCpt5=Cpt_Index,Tab_Compteur_5[[#This Row],[Index]]-E105,Tab_Compteur_5[[#This Row],[Quantité]])/Tab_Compteur_5[[#This Row],[Delta Jour]],""))</f>
        <v/>
      </c>
      <c r="H106" s="193" t="str">
        <f>IFERROR(Tab_Compteur_5[[#This Row],[Montant]]/Tab_Compteur_5[[#This Row],[Delta Jour]],"")</f>
        <v/>
      </c>
      <c r="I106" s="215" t="str">
        <f t="shared" si="4"/>
        <v/>
      </c>
      <c r="J106" s="216"/>
      <c r="K106" s="38"/>
      <c r="L106" s="38"/>
      <c r="M106" s="38"/>
    </row>
    <row r="107" spans="1:13">
      <c r="A107" s="3">
        <f t="shared" si="5"/>
        <v>1</v>
      </c>
      <c r="B107" s="88"/>
      <c r="C107" s="196"/>
      <c r="D107" s="195"/>
      <c r="E107" s="193"/>
      <c r="F107" s="193">
        <f t="shared" si="3"/>
        <v>0</v>
      </c>
      <c r="G107" s="193" t="str">
        <f>IF(IFERROR(IF(Str_TypeDonneesCpt5=Cpt_Index,Tab_Compteur_5[[#This Row],[Index]]-E106,Tab_Compteur_5[[#This Row],[Quantité]])/Tab_Compteur_5[[#This Row],[Delta Jour]],"")&lt;0,"",IFERROR(IF(Str_TypeDonneesCpt5=Cpt_Index,Tab_Compteur_5[[#This Row],[Index]]-E106,Tab_Compteur_5[[#This Row],[Quantité]])/Tab_Compteur_5[[#This Row],[Delta Jour]],""))</f>
        <v/>
      </c>
      <c r="H107" s="193" t="str">
        <f>IFERROR(Tab_Compteur_5[[#This Row],[Montant]]/Tab_Compteur_5[[#This Row],[Delta Jour]],"")</f>
        <v/>
      </c>
      <c r="I107" s="215" t="str">
        <f t="shared" si="4"/>
        <v/>
      </c>
      <c r="J107" s="216"/>
      <c r="K107" s="38"/>
      <c r="L107" s="38"/>
      <c r="M107" s="38"/>
    </row>
    <row r="108" spans="1:13">
      <c r="A108" s="3">
        <f t="shared" si="5"/>
        <v>1</v>
      </c>
      <c r="B108" s="88"/>
      <c r="C108" s="196"/>
      <c r="D108" s="195"/>
      <c r="E108" s="193"/>
      <c r="F108" s="193">
        <f t="shared" si="3"/>
        <v>0</v>
      </c>
      <c r="G108" s="193" t="str">
        <f>IF(IFERROR(IF(Str_TypeDonneesCpt5=Cpt_Index,Tab_Compteur_5[[#This Row],[Index]]-E107,Tab_Compteur_5[[#This Row],[Quantité]])/Tab_Compteur_5[[#This Row],[Delta Jour]],"")&lt;0,"",IFERROR(IF(Str_TypeDonneesCpt5=Cpt_Index,Tab_Compteur_5[[#This Row],[Index]]-E107,Tab_Compteur_5[[#This Row],[Quantité]])/Tab_Compteur_5[[#This Row],[Delta Jour]],""))</f>
        <v/>
      </c>
      <c r="H108" s="193" t="str">
        <f>IFERROR(Tab_Compteur_5[[#This Row],[Montant]]/Tab_Compteur_5[[#This Row],[Delta Jour]],"")</f>
        <v/>
      </c>
      <c r="I108" s="215" t="str">
        <f t="shared" si="4"/>
        <v/>
      </c>
      <c r="J108" s="216"/>
      <c r="K108" s="38"/>
      <c r="L108" s="38"/>
      <c r="M108" s="38"/>
    </row>
    <row r="109" spans="1:13">
      <c r="A109" s="3">
        <f t="shared" si="5"/>
        <v>1</v>
      </c>
      <c r="B109" s="88"/>
      <c r="C109" s="196"/>
      <c r="D109" s="195"/>
      <c r="E109" s="193"/>
      <c r="F109" s="193">
        <f t="shared" si="3"/>
        <v>0</v>
      </c>
      <c r="G109" s="193" t="str">
        <f>IF(IFERROR(IF(Str_TypeDonneesCpt5=Cpt_Index,Tab_Compteur_5[[#This Row],[Index]]-E108,Tab_Compteur_5[[#This Row],[Quantité]])/Tab_Compteur_5[[#This Row],[Delta Jour]],"")&lt;0,"",IFERROR(IF(Str_TypeDonneesCpt5=Cpt_Index,Tab_Compteur_5[[#This Row],[Index]]-E108,Tab_Compteur_5[[#This Row],[Quantité]])/Tab_Compteur_5[[#This Row],[Delta Jour]],""))</f>
        <v/>
      </c>
      <c r="H109" s="193" t="str">
        <f>IFERROR(Tab_Compteur_5[[#This Row],[Montant]]/Tab_Compteur_5[[#This Row],[Delta Jour]],"")</f>
        <v/>
      </c>
      <c r="I109" s="215" t="str">
        <f t="shared" si="4"/>
        <v/>
      </c>
      <c r="J109" s="216"/>
      <c r="K109" s="38"/>
      <c r="L109" s="38"/>
      <c r="M109" s="38"/>
    </row>
    <row r="110" spans="1:13">
      <c r="A110" s="3">
        <f t="shared" si="5"/>
        <v>1</v>
      </c>
      <c r="B110" s="88"/>
      <c r="C110" s="196"/>
      <c r="D110" s="195"/>
      <c r="E110" s="193"/>
      <c r="F110" s="193">
        <f t="shared" si="3"/>
        <v>0</v>
      </c>
      <c r="G110" s="193" t="str">
        <f>IF(IFERROR(IF(Str_TypeDonneesCpt5=Cpt_Index,Tab_Compteur_5[[#This Row],[Index]]-E109,Tab_Compteur_5[[#This Row],[Quantité]])/Tab_Compteur_5[[#This Row],[Delta Jour]],"")&lt;0,"",IFERROR(IF(Str_TypeDonneesCpt5=Cpt_Index,Tab_Compteur_5[[#This Row],[Index]]-E109,Tab_Compteur_5[[#This Row],[Quantité]])/Tab_Compteur_5[[#This Row],[Delta Jour]],""))</f>
        <v/>
      </c>
      <c r="H110" s="193" t="str">
        <f>IFERROR(Tab_Compteur_5[[#This Row],[Montant]]/Tab_Compteur_5[[#This Row],[Delta Jour]],"")</f>
        <v/>
      </c>
      <c r="I110" s="215" t="str">
        <f t="shared" si="4"/>
        <v/>
      </c>
      <c r="J110" s="216"/>
      <c r="K110" s="38"/>
      <c r="L110" s="38"/>
      <c r="M110" s="38"/>
    </row>
    <row r="111" spans="1:13">
      <c r="A111" s="3">
        <f t="shared" si="5"/>
        <v>1</v>
      </c>
      <c r="B111" s="88"/>
      <c r="C111" s="196"/>
      <c r="D111" s="195"/>
      <c r="E111" s="193"/>
      <c r="F111" s="193">
        <f t="shared" si="3"/>
        <v>0</v>
      </c>
      <c r="G111" s="193" t="str">
        <f>IF(IFERROR(IF(Str_TypeDonneesCpt5=Cpt_Index,Tab_Compteur_5[[#This Row],[Index]]-E110,Tab_Compteur_5[[#This Row],[Quantité]])/Tab_Compteur_5[[#This Row],[Delta Jour]],"")&lt;0,"",IFERROR(IF(Str_TypeDonneesCpt5=Cpt_Index,Tab_Compteur_5[[#This Row],[Index]]-E110,Tab_Compteur_5[[#This Row],[Quantité]])/Tab_Compteur_5[[#This Row],[Delta Jour]],""))</f>
        <v/>
      </c>
      <c r="H111" s="193" t="str">
        <f>IFERROR(Tab_Compteur_5[[#This Row],[Montant]]/Tab_Compteur_5[[#This Row],[Delta Jour]],"")</f>
        <v/>
      </c>
      <c r="I111" s="215" t="str">
        <f t="shared" si="4"/>
        <v/>
      </c>
      <c r="J111" s="216"/>
      <c r="K111" s="38"/>
      <c r="L111" s="38"/>
      <c r="M111" s="38"/>
    </row>
    <row r="112" spans="1:13">
      <c r="A112" s="3">
        <f t="shared" si="5"/>
        <v>1</v>
      </c>
      <c r="B112" s="88"/>
      <c r="C112" s="196"/>
      <c r="D112" s="195"/>
      <c r="E112" s="193"/>
      <c r="F112" s="193">
        <f t="shared" si="3"/>
        <v>0</v>
      </c>
      <c r="G112" s="193" t="str">
        <f>IF(IFERROR(IF(Str_TypeDonneesCpt5=Cpt_Index,Tab_Compteur_5[[#This Row],[Index]]-E111,Tab_Compteur_5[[#This Row],[Quantité]])/Tab_Compteur_5[[#This Row],[Delta Jour]],"")&lt;0,"",IFERROR(IF(Str_TypeDonneesCpt5=Cpt_Index,Tab_Compteur_5[[#This Row],[Index]]-E111,Tab_Compteur_5[[#This Row],[Quantité]])/Tab_Compteur_5[[#This Row],[Delta Jour]],""))</f>
        <v/>
      </c>
      <c r="H112" s="193" t="str">
        <f>IFERROR(Tab_Compteur_5[[#This Row],[Montant]]/Tab_Compteur_5[[#This Row],[Delta Jour]],"")</f>
        <v/>
      </c>
      <c r="I112" s="215" t="str">
        <f t="shared" si="4"/>
        <v/>
      </c>
      <c r="J112" s="216"/>
      <c r="K112" s="38"/>
      <c r="L112" s="38"/>
      <c r="M112" s="38"/>
    </row>
    <row r="113" spans="1:13">
      <c r="A113" s="3">
        <f t="shared" si="5"/>
        <v>1</v>
      </c>
      <c r="B113" s="88"/>
      <c r="C113" s="196"/>
      <c r="D113" s="195"/>
      <c r="E113" s="193"/>
      <c r="F113" s="193">
        <f t="shared" si="3"/>
        <v>0</v>
      </c>
      <c r="G113" s="193" t="str">
        <f>IF(IFERROR(IF(Str_TypeDonneesCpt5=Cpt_Index,Tab_Compteur_5[[#This Row],[Index]]-E112,Tab_Compteur_5[[#This Row],[Quantité]])/Tab_Compteur_5[[#This Row],[Delta Jour]],"")&lt;0,"",IFERROR(IF(Str_TypeDonneesCpt5=Cpt_Index,Tab_Compteur_5[[#This Row],[Index]]-E112,Tab_Compteur_5[[#This Row],[Quantité]])/Tab_Compteur_5[[#This Row],[Delta Jour]],""))</f>
        <v/>
      </c>
      <c r="H113" s="193" t="str">
        <f>IFERROR(Tab_Compteur_5[[#This Row],[Montant]]/Tab_Compteur_5[[#This Row],[Delta Jour]],"")</f>
        <v/>
      </c>
      <c r="I113" s="215" t="str">
        <f t="shared" si="4"/>
        <v/>
      </c>
      <c r="J113" s="216"/>
      <c r="K113" s="38"/>
      <c r="L113" s="38"/>
      <c r="M113" s="38"/>
    </row>
    <row r="114" spans="1:13">
      <c r="A114" s="3">
        <f t="shared" si="5"/>
        <v>1</v>
      </c>
      <c r="B114" s="88"/>
      <c r="C114" s="196"/>
      <c r="D114" s="195"/>
      <c r="E114" s="193"/>
      <c r="F114" s="193">
        <f t="shared" si="3"/>
        <v>0</v>
      </c>
      <c r="G114" s="193" t="str">
        <f>IF(IFERROR(IF(Str_TypeDonneesCpt5=Cpt_Index,Tab_Compteur_5[[#This Row],[Index]]-E113,Tab_Compteur_5[[#This Row],[Quantité]])/Tab_Compteur_5[[#This Row],[Delta Jour]],"")&lt;0,"",IFERROR(IF(Str_TypeDonneesCpt5=Cpt_Index,Tab_Compteur_5[[#This Row],[Index]]-E113,Tab_Compteur_5[[#This Row],[Quantité]])/Tab_Compteur_5[[#This Row],[Delta Jour]],""))</f>
        <v/>
      </c>
      <c r="H114" s="193" t="str">
        <f>IFERROR(Tab_Compteur_5[[#This Row],[Montant]]/Tab_Compteur_5[[#This Row],[Delta Jour]],"")</f>
        <v/>
      </c>
      <c r="I114" s="215" t="str">
        <f t="shared" si="4"/>
        <v/>
      </c>
      <c r="J114" s="216"/>
      <c r="K114" s="38"/>
      <c r="L114" s="38"/>
      <c r="M114" s="38"/>
    </row>
    <row r="115" spans="1:13">
      <c r="A115" s="3">
        <f t="shared" si="5"/>
        <v>1</v>
      </c>
      <c r="B115" s="88"/>
      <c r="C115" s="196"/>
      <c r="D115" s="195"/>
      <c r="E115" s="193"/>
      <c r="F115" s="193">
        <f t="shared" si="3"/>
        <v>0</v>
      </c>
      <c r="G115" s="193" t="str">
        <f>IF(IFERROR(IF(Str_TypeDonneesCpt5=Cpt_Index,Tab_Compteur_5[[#This Row],[Index]]-E114,Tab_Compteur_5[[#This Row],[Quantité]])/Tab_Compteur_5[[#This Row],[Delta Jour]],"")&lt;0,"",IFERROR(IF(Str_TypeDonneesCpt5=Cpt_Index,Tab_Compteur_5[[#This Row],[Index]]-E114,Tab_Compteur_5[[#This Row],[Quantité]])/Tab_Compteur_5[[#This Row],[Delta Jour]],""))</f>
        <v/>
      </c>
      <c r="H115" s="193" t="str">
        <f>IFERROR(Tab_Compteur_5[[#This Row],[Montant]]/Tab_Compteur_5[[#This Row],[Delta Jour]],"")</f>
        <v/>
      </c>
      <c r="I115" s="215" t="str">
        <f t="shared" si="4"/>
        <v/>
      </c>
      <c r="J115" s="216"/>
      <c r="K115" s="38"/>
      <c r="L115" s="38"/>
      <c r="M115" s="38"/>
    </row>
    <row r="116" spans="1:13">
      <c r="A116" s="3">
        <f t="shared" si="5"/>
        <v>1</v>
      </c>
      <c r="B116" s="88"/>
      <c r="C116" s="196"/>
      <c r="D116" s="195"/>
      <c r="E116" s="193"/>
      <c r="F116" s="193">
        <f t="shared" si="3"/>
        <v>0</v>
      </c>
      <c r="G116" s="193" t="str">
        <f>IF(IFERROR(IF(Str_TypeDonneesCpt5=Cpt_Index,Tab_Compteur_5[[#This Row],[Index]]-E115,Tab_Compteur_5[[#This Row],[Quantité]])/Tab_Compteur_5[[#This Row],[Delta Jour]],"")&lt;0,"",IFERROR(IF(Str_TypeDonneesCpt5=Cpt_Index,Tab_Compteur_5[[#This Row],[Index]]-E115,Tab_Compteur_5[[#This Row],[Quantité]])/Tab_Compteur_5[[#This Row],[Delta Jour]],""))</f>
        <v/>
      </c>
      <c r="H116" s="193" t="str">
        <f>IFERROR(Tab_Compteur_5[[#This Row],[Montant]]/Tab_Compteur_5[[#This Row],[Delta Jour]],"")</f>
        <v/>
      </c>
      <c r="I116" s="215" t="str">
        <f t="shared" si="4"/>
        <v/>
      </c>
      <c r="J116" s="216"/>
      <c r="K116" s="38"/>
      <c r="L116" s="38"/>
      <c r="M116" s="38"/>
    </row>
    <row r="117" spans="1:13">
      <c r="A117" s="3">
        <f t="shared" si="5"/>
        <v>1</v>
      </c>
      <c r="B117" s="88"/>
      <c r="C117" s="196"/>
      <c r="D117" s="195"/>
      <c r="E117" s="193"/>
      <c r="F117" s="193">
        <f t="shared" si="3"/>
        <v>0</v>
      </c>
      <c r="G117" s="193" t="str">
        <f>IF(IFERROR(IF(Str_TypeDonneesCpt5=Cpt_Index,Tab_Compteur_5[[#This Row],[Index]]-E116,Tab_Compteur_5[[#This Row],[Quantité]])/Tab_Compteur_5[[#This Row],[Delta Jour]],"")&lt;0,"",IFERROR(IF(Str_TypeDonneesCpt5=Cpt_Index,Tab_Compteur_5[[#This Row],[Index]]-E116,Tab_Compteur_5[[#This Row],[Quantité]])/Tab_Compteur_5[[#This Row],[Delta Jour]],""))</f>
        <v/>
      </c>
      <c r="H117" s="193" t="str">
        <f>IFERROR(Tab_Compteur_5[[#This Row],[Montant]]/Tab_Compteur_5[[#This Row],[Delta Jour]],"")</f>
        <v/>
      </c>
      <c r="I117" s="215" t="str">
        <f t="shared" si="4"/>
        <v/>
      </c>
      <c r="J117" s="216"/>
      <c r="K117" s="38"/>
      <c r="L117" s="38"/>
      <c r="M117" s="38"/>
    </row>
    <row r="118" spans="1:13">
      <c r="A118" s="3">
        <f t="shared" si="5"/>
        <v>1</v>
      </c>
      <c r="B118" s="88"/>
      <c r="C118" s="196"/>
      <c r="D118" s="195"/>
      <c r="E118" s="193"/>
      <c r="F118" s="193">
        <f t="shared" si="3"/>
        <v>0</v>
      </c>
      <c r="G118" s="193" t="str">
        <f>IF(IFERROR(IF(Str_TypeDonneesCpt5=Cpt_Index,Tab_Compteur_5[[#This Row],[Index]]-E117,Tab_Compteur_5[[#This Row],[Quantité]])/Tab_Compteur_5[[#This Row],[Delta Jour]],"")&lt;0,"",IFERROR(IF(Str_TypeDonneesCpt5=Cpt_Index,Tab_Compteur_5[[#This Row],[Index]]-E117,Tab_Compteur_5[[#This Row],[Quantité]])/Tab_Compteur_5[[#This Row],[Delta Jour]],""))</f>
        <v/>
      </c>
      <c r="H118" s="193" t="str">
        <f>IFERROR(Tab_Compteur_5[[#This Row],[Montant]]/Tab_Compteur_5[[#This Row],[Delta Jour]],"")</f>
        <v/>
      </c>
      <c r="I118" s="215" t="str">
        <f t="shared" si="4"/>
        <v/>
      </c>
      <c r="J118" s="216"/>
      <c r="K118" s="38"/>
      <c r="L118" s="38"/>
      <c r="M118" s="38"/>
    </row>
    <row r="119" spans="1:13">
      <c r="A119" s="3">
        <f t="shared" si="5"/>
        <v>1</v>
      </c>
      <c r="B119" s="88"/>
      <c r="C119" s="196"/>
      <c r="D119" s="195"/>
      <c r="E119" s="193"/>
      <c r="F119" s="193">
        <f t="shared" si="3"/>
        <v>0</v>
      </c>
      <c r="G119" s="193" t="str">
        <f>IF(IFERROR(IF(Str_TypeDonneesCpt5=Cpt_Index,Tab_Compteur_5[[#This Row],[Index]]-E118,Tab_Compteur_5[[#This Row],[Quantité]])/Tab_Compteur_5[[#This Row],[Delta Jour]],"")&lt;0,"",IFERROR(IF(Str_TypeDonneesCpt5=Cpt_Index,Tab_Compteur_5[[#This Row],[Index]]-E118,Tab_Compteur_5[[#This Row],[Quantité]])/Tab_Compteur_5[[#This Row],[Delta Jour]],""))</f>
        <v/>
      </c>
      <c r="H119" s="193" t="str">
        <f>IFERROR(Tab_Compteur_5[[#This Row],[Montant]]/Tab_Compteur_5[[#This Row],[Delta Jour]],"")</f>
        <v/>
      </c>
      <c r="I119" s="215" t="str">
        <f t="shared" si="4"/>
        <v/>
      </c>
      <c r="J119" s="216"/>
      <c r="K119" s="38"/>
      <c r="L119" s="38"/>
      <c r="M119" s="38"/>
    </row>
    <row r="120" spans="1:13">
      <c r="A120" s="3">
        <f t="shared" si="5"/>
        <v>1</v>
      </c>
      <c r="B120" s="88"/>
      <c r="C120" s="196"/>
      <c r="D120" s="195"/>
      <c r="E120" s="193"/>
      <c r="F120" s="193">
        <f t="shared" si="3"/>
        <v>0</v>
      </c>
      <c r="G120" s="193" t="str">
        <f>IF(IFERROR(IF(Str_TypeDonneesCpt5=Cpt_Index,Tab_Compteur_5[[#This Row],[Index]]-E119,Tab_Compteur_5[[#This Row],[Quantité]])/Tab_Compteur_5[[#This Row],[Delta Jour]],"")&lt;0,"",IFERROR(IF(Str_TypeDonneesCpt5=Cpt_Index,Tab_Compteur_5[[#This Row],[Index]]-E119,Tab_Compteur_5[[#This Row],[Quantité]])/Tab_Compteur_5[[#This Row],[Delta Jour]],""))</f>
        <v/>
      </c>
      <c r="H120" s="193" t="str">
        <f>IFERROR(Tab_Compteur_5[[#This Row],[Montant]]/Tab_Compteur_5[[#This Row],[Delta Jour]],"")</f>
        <v/>
      </c>
      <c r="I120" s="215" t="str">
        <f t="shared" si="4"/>
        <v/>
      </c>
      <c r="J120" s="216"/>
      <c r="K120" s="38"/>
      <c r="L120" s="38"/>
      <c r="M120" s="38"/>
    </row>
    <row r="121" spans="1:13">
      <c r="A121" s="3">
        <f t="shared" si="5"/>
        <v>1</v>
      </c>
      <c r="B121" s="88"/>
      <c r="C121" s="196"/>
      <c r="D121" s="195"/>
      <c r="E121" s="193"/>
      <c r="F121" s="193">
        <f t="shared" si="3"/>
        <v>0</v>
      </c>
      <c r="G121" s="193" t="str">
        <f>IF(IFERROR(IF(Str_TypeDonneesCpt5=Cpt_Index,Tab_Compteur_5[[#This Row],[Index]]-E120,Tab_Compteur_5[[#This Row],[Quantité]])/Tab_Compteur_5[[#This Row],[Delta Jour]],"")&lt;0,"",IFERROR(IF(Str_TypeDonneesCpt5=Cpt_Index,Tab_Compteur_5[[#This Row],[Index]]-E120,Tab_Compteur_5[[#This Row],[Quantité]])/Tab_Compteur_5[[#This Row],[Delta Jour]],""))</f>
        <v/>
      </c>
      <c r="H121" s="193" t="str">
        <f>IFERROR(Tab_Compteur_5[[#This Row],[Montant]]/Tab_Compteur_5[[#This Row],[Delta Jour]],"")</f>
        <v/>
      </c>
      <c r="I121" s="215" t="str">
        <f t="shared" si="4"/>
        <v/>
      </c>
      <c r="J121" s="216"/>
      <c r="K121" s="38"/>
      <c r="L121" s="38"/>
      <c r="M121" s="38"/>
    </row>
    <row r="122" spans="1:13">
      <c r="A122" s="3">
        <f t="shared" si="5"/>
        <v>1</v>
      </c>
      <c r="B122" s="88"/>
      <c r="C122" s="196"/>
      <c r="D122" s="195"/>
      <c r="E122" s="193"/>
      <c r="F122" s="193">
        <f t="shared" si="3"/>
        <v>0</v>
      </c>
      <c r="G122" s="193" t="str">
        <f>IF(IFERROR(IF(Str_TypeDonneesCpt5=Cpt_Index,Tab_Compteur_5[[#This Row],[Index]]-E121,Tab_Compteur_5[[#This Row],[Quantité]])/Tab_Compteur_5[[#This Row],[Delta Jour]],"")&lt;0,"",IFERROR(IF(Str_TypeDonneesCpt5=Cpt_Index,Tab_Compteur_5[[#This Row],[Index]]-E121,Tab_Compteur_5[[#This Row],[Quantité]])/Tab_Compteur_5[[#This Row],[Delta Jour]],""))</f>
        <v/>
      </c>
      <c r="H122" s="193" t="str">
        <f>IFERROR(Tab_Compteur_5[[#This Row],[Montant]]/Tab_Compteur_5[[#This Row],[Delta Jour]],"")</f>
        <v/>
      </c>
      <c r="I122" s="215" t="str">
        <f t="shared" si="4"/>
        <v/>
      </c>
      <c r="J122" s="216"/>
      <c r="K122" s="38"/>
      <c r="L122" s="38"/>
      <c r="M122" s="38"/>
    </row>
    <row r="123" spans="1:13">
      <c r="A123" s="3">
        <f t="shared" si="5"/>
        <v>1</v>
      </c>
      <c r="B123" s="88"/>
      <c r="C123" s="196"/>
      <c r="D123" s="195"/>
      <c r="E123" s="193"/>
      <c r="F123" s="193">
        <f t="shared" si="3"/>
        <v>0</v>
      </c>
      <c r="G123" s="193" t="str">
        <f>IF(IFERROR(IF(Str_TypeDonneesCpt5=Cpt_Index,Tab_Compteur_5[[#This Row],[Index]]-E122,Tab_Compteur_5[[#This Row],[Quantité]])/Tab_Compteur_5[[#This Row],[Delta Jour]],"")&lt;0,"",IFERROR(IF(Str_TypeDonneesCpt5=Cpt_Index,Tab_Compteur_5[[#This Row],[Index]]-E122,Tab_Compteur_5[[#This Row],[Quantité]])/Tab_Compteur_5[[#This Row],[Delta Jour]],""))</f>
        <v/>
      </c>
      <c r="H123" s="193" t="str">
        <f>IFERROR(Tab_Compteur_5[[#This Row],[Montant]]/Tab_Compteur_5[[#This Row],[Delta Jour]],"")</f>
        <v/>
      </c>
      <c r="I123" s="215" t="str">
        <f t="shared" si="4"/>
        <v/>
      </c>
      <c r="J123" s="216"/>
      <c r="K123" s="38"/>
      <c r="L123" s="38"/>
      <c r="M123" s="38"/>
    </row>
    <row r="124" spans="1:13">
      <c r="A124" s="3">
        <f t="shared" si="5"/>
        <v>1</v>
      </c>
      <c r="B124" s="88"/>
      <c r="C124" s="196"/>
      <c r="D124" s="195"/>
      <c r="E124" s="193"/>
      <c r="F124" s="193">
        <f t="shared" si="3"/>
        <v>0</v>
      </c>
      <c r="G124" s="193" t="str">
        <f>IF(IFERROR(IF(Str_TypeDonneesCpt5=Cpt_Index,Tab_Compteur_5[[#This Row],[Index]]-E123,Tab_Compteur_5[[#This Row],[Quantité]])/Tab_Compteur_5[[#This Row],[Delta Jour]],"")&lt;0,"",IFERROR(IF(Str_TypeDonneesCpt5=Cpt_Index,Tab_Compteur_5[[#This Row],[Index]]-E123,Tab_Compteur_5[[#This Row],[Quantité]])/Tab_Compteur_5[[#This Row],[Delta Jour]],""))</f>
        <v/>
      </c>
      <c r="H124" s="193" t="str">
        <f>IFERROR(Tab_Compteur_5[[#This Row],[Montant]]/Tab_Compteur_5[[#This Row],[Delta Jour]],"")</f>
        <v/>
      </c>
      <c r="I124" s="215" t="str">
        <f t="shared" si="4"/>
        <v/>
      </c>
      <c r="J124" s="216"/>
      <c r="K124" s="38"/>
      <c r="L124" s="38"/>
      <c r="M124" s="38"/>
    </row>
    <row r="125" spans="1:13">
      <c r="A125" s="3">
        <f t="shared" si="5"/>
        <v>1</v>
      </c>
      <c r="B125" s="88"/>
      <c r="C125" s="196"/>
      <c r="D125" s="195"/>
      <c r="E125" s="193"/>
      <c r="F125" s="193">
        <f t="shared" si="3"/>
        <v>0</v>
      </c>
      <c r="G125" s="193" t="str">
        <f>IF(IFERROR(IF(Str_TypeDonneesCpt5=Cpt_Index,Tab_Compteur_5[[#This Row],[Index]]-E124,Tab_Compteur_5[[#This Row],[Quantité]])/Tab_Compteur_5[[#This Row],[Delta Jour]],"")&lt;0,"",IFERROR(IF(Str_TypeDonneesCpt5=Cpt_Index,Tab_Compteur_5[[#This Row],[Index]]-E124,Tab_Compteur_5[[#This Row],[Quantité]])/Tab_Compteur_5[[#This Row],[Delta Jour]],""))</f>
        <v/>
      </c>
      <c r="H125" s="193" t="str">
        <f>IFERROR(Tab_Compteur_5[[#This Row],[Montant]]/Tab_Compteur_5[[#This Row],[Delta Jour]],"")</f>
        <v/>
      </c>
      <c r="I125" s="215" t="str">
        <f t="shared" si="4"/>
        <v/>
      </c>
      <c r="J125" s="216"/>
      <c r="K125" s="38"/>
      <c r="L125" s="38"/>
      <c r="M125" s="38"/>
    </row>
    <row r="126" spans="1:13">
      <c r="A126" s="3">
        <f t="shared" si="5"/>
        <v>1</v>
      </c>
      <c r="B126" s="88"/>
      <c r="C126" s="196"/>
      <c r="D126" s="195"/>
      <c r="E126" s="193"/>
      <c r="F126" s="193">
        <f t="shared" si="3"/>
        <v>0</v>
      </c>
      <c r="G126" s="193" t="str">
        <f>IF(IFERROR(IF(Str_TypeDonneesCpt5=Cpt_Index,Tab_Compteur_5[[#This Row],[Index]]-E125,Tab_Compteur_5[[#This Row],[Quantité]])/Tab_Compteur_5[[#This Row],[Delta Jour]],"")&lt;0,"",IFERROR(IF(Str_TypeDonneesCpt5=Cpt_Index,Tab_Compteur_5[[#This Row],[Index]]-E125,Tab_Compteur_5[[#This Row],[Quantité]])/Tab_Compteur_5[[#This Row],[Delta Jour]],""))</f>
        <v/>
      </c>
      <c r="H126" s="193" t="str">
        <f>IFERROR(Tab_Compteur_5[[#This Row],[Montant]]/Tab_Compteur_5[[#This Row],[Delta Jour]],"")</f>
        <v/>
      </c>
      <c r="I126" s="215" t="str">
        <f t="shared" si="4"/>
        <v/>
      </c>
      <c r="J126" s="216"/>
      <c r="K126" s="38"/>
      <c r="L126" s="38"/>
      <c r="M126" s="38"/>
    </row>
    <row r="127" spans="1:13">
      <c r="A127" s="3">
        <f t="shared" si="5"/>
        <v>1</v>
      </c>
      <c r="B127" s="88"/>
      <c r="C127" s="196"/>
      <c r="D127" s="195"/>
      <c r="E127" s="193"/>
      <c r="F127" s="193">
        <f t="shared" si="3"/>
        <v>0</v>
      </c>
      <c r="G127" s="193" t="str">
        <f>IF(IFERROR(IF(Str_TypeDonneesCpt5=Cpt_Index,Tab_Compteur_5[[#This Row],[Index]]-E126,Tab_Compteur_5[[#This Row],[Quantité]])/Tab_Compteur_5[[#This Row],[Delta Jour]],"")&lt;0,"",IFERROR(IF(Str_TypeDonneesCpt5=Cpt_Index,Tab_Compteur_5[[#This Row],[Index]]-E126,Tab_Compteur_5[[#This Row],[Quantité]])/Tab_Compteur_5[[#This Row],[Delta Jour]],""))</f>
        <v/>
      </c>
      <c r="H127" s="193" t="str">
        <f>IFERROR(Tab_Compteur_5[[#This Row],[Montant]]/Tab_Compteur_5[[#This Row],[Delta Jour]],"")</f>
        <v/>
      </c>
      <c r="I127" s="215" t="str">
        <f t="shared" si="4"/>
        <v/>
      </c>
      <c r="J127" s="216"/>
      <c r="K127" s="38"/>
      <c r="L127" s="38"/>
      <c r="M127" s="38"/>
    </row>
    <row r="128" spans="1:13">
      <c r="A128" s="3">
        <f t="shared" si="5"/>
        <v>1</v>
      </c>
      <c r="B128" s="88"/>
      <c r="C128" s="196"/>
      <c r="D128" s="195"/>
      <c r="E128" s="193"/>
      <c r="F128" s="193">
        <f t="shared" si="3"/>
        <v>0</v>
      </c>
      <c r="G128" s="193" t="str">
        <f>IF(IFERROR(IF(Str_TypeDonneesCpt5=Cpt_Index,Tab_Compteur_5[[#This Row],[Index]]-E127,Tab_Compteur_5[[#This Row],[Quantité]])/Tab_Compteur_5[[#This Row],[Delta Jour]],"")&lt;0,"",IFERROR(IF(Str_TypeDonneesCpt5=Cpt_Index,Tab_Compteur_5[[#This Row],[Index]]-E127,Tab_Compteur_5[[#This Row],[Quantité]])/Tab_Compteur_5[[#This Row],[Delta Jour]],""))</f>
        <v/>
      </c>
      <c r="H128" s="193" t="str">
        <f>IFERROR(Tab_Compteur_5[[#This Row],[Montant]]/Tab_Compteur_5[[#This Row],[Delta Jour]],"")</f>
        <v/>
      </c>
      <c r="I128" s="215" t="str">
        <f t="shared" si="4"/>
        <v/>
      </c>
      <c r="J128" s="216"/>
      <c r="K128" s="38"/>
      <c r="L128" s="38"/>
      <c r="M128" s="38"/>
    </row>
    <row r="129" spans="1:13">
      <c r="A129" s="3">
        <f t="shared" si="5"/>
        <v>1</v>
      </c>
      <c r="B129" s="88"/>
      <c r="C129" s="196"/>
      <c r="D129" s="195"/>
      <c r="E129" s="193"/>
      <c r="F129" s="193">
        <f t="shared" si="3"/>
        <v>0</v>
      </c>
      <c r="G129" s="193" t="str">
        <f>IF(IFERROR(IF(Str_TypeDonneesCpt5=Cpt_Index,Tab_Compteur_5[[#This Row],[Index]]-E128,Tab_Compteur_5[[#This Row],[Quantité]])/Tab_Compteur_5[[#This Row],[Delta Jour]],"")&lt;0,"",IFERROR(IF(Str_TypeDonneesCpt5=Cpt_Index,Tab_Compteur_5[[#This Row],[Index]]-E128,Tab_Compteur_5[[#This Row],[Quantité]])/Tab_Compteur_5[[#This Row],[Delta Jour]],""))</f>
        <v/>
      </c>
      <c r="H129" s="193" t="str">
        <f>IFERROR(Tab_Compteur_5[[#This Row],[Montant]]/Tab_Compteur_5[[#This Row],[Delta Jour]],"")</f>
        <v/>
      </c>
      <c r="I129" s="215" t="str">
        <f t="shared" si="4"/>
        <v/>
      </c>
      <c r="J129" s="216"/>
      <c r="K129" s="38"/>
      <c r="L129" s="38"/>
      <c r="M129" s="38"/>
    </row>
    <row r="130" spans="1:13">
      <c r="A130" s="3">
        <f t="shared" si="5"/>
        <v>1</v>
      </c>
      <c r="B130" s="88"/>
      <c r="C130" s="196"/>
      <c r="D130" s="195"/>
      <c r="E130" s="193"/>
      <c r="F130" s="193">
        <f t="shared" si="3"/>
        <v>0</v>
      </c>
      <c r="G130" s="193" t="str">
        <f>IF(IFERROR(IF(Str_TypeDonneesCpt5=Cpt_Index,Tab_Compteur_5[[#This Row],[Index]]-E129,Tab_Compteur_5[[#This Row],[Quantité]])/Tab_Compteur_5[[#This Row],[Delta Jour]],"")&lt;0,"",IFERROR(IF(Str_TypeDonneesCpt5=Cpt_Index,Tab_Compteur_5[[#This Row],[Index]]-E129,Tab_Compteur_5[[#This Row],[Quantité]])/Tab_Compteur_5[[#This Row],[Delta Jour]],""))</f>
        <v/>
      </c>
      <c r="H130" s="193" t="str">
        <f>IFERROR(Tab_Compteur_5[[#This Row],[Montant]]/Tab_Compteur_5[[#This Row],[Delta Jour]],"")</f>
        <v/>
      </c>
      <c r="I130" s="215" t="str">
        <f t="shared" si="4"/>
        <v/>
      </c>
      <c r="J130" s="216"/>
      <c r="K130" s="38"/>
      <c r="L130" s="38"/>
      <c r="M130" s="38"/>
    </row>
    <row r="131" spans="1:13">
      <c r="A131" s="3">
        <f t="shared" si="5"/>
        <v>1</v>
      </c>
      <c r="B131" s="88"/>
      <c r="C131" s="196"/>
      <c r="D131" s="195"/>
      <c r="E131" s="193"/>
      <c r="F131" s="193">
        <f t="shared" ref="F131:F194" si="6">IFERROR(B131-A131+1,"")</f>
        <v>0</v>
      </c>
      <c r="G131" s="193" t="str">
        <f>IF(IFERROR(IF(Str_TypeDonneesCpt5=Cpt_Index,Tab_Compteur_5[[#This Row],[Index]]-E130,Tab_Compteur_5[[#This Row],[Quantité]])/Tab_Compteur_5[[#This Row],[Delta Jour]],"")&lt;0,"",IFERROR(IF(Str_TypeDonneesCpt5=Cpt_Index,Tab_Compteur_5[[#This Row],[Index]]-E130,Tab_Compteur_5[[#This Row],[Quantité]])/Tab_Compteur_5[[#This Row],[Delta Jour]],""))</f>
        <v/>
      </c>
      <c r="H131" s="193" t="str">
        <f>IFERROR(Tab_Compteur_5[[#This Row],[Montant]]/Tab_Compteur_5[[#This Row],[Delta Jour]],"")</f>
        <v/>
      </c>
      <c r="I131" s="215" t="str">
        <f t="shared" ref="I131:I194" si="7">G131</f>
        <v/>
      </c>
      <c r="J131" s="216"/>
      <c r="K131" s="38"/>
      <c r="L131" s="38"/>
      <c r="M131" s="38"/>
    </row>
    <row r="132" spans="1:13">
      <c r="A132" s="3">
        <f t="shared" si="5"/>
        <v>1</v>
      </c>
      <c r="B132" s="88"/>
      <c r="C132" s="196"/>
      <c r="D132" s="195"/>
      <c r="E132" s="193"/>
      <c r="F132" s="193">
        <f t="shared" si="6"/>
        <v>0</v>
      </c>
      <c r="G132" s="193" t="str">
        <f>IF(IFERROR(IF(Str_TypeDonneesCpt5=Cpt_Index,Tab_Compteur_5[[#This Row],[Index]]-E131,Tab_Compteur_5[[#This Row],[Quantité]])/Tab_Compteur_5[[#This Row],[Delta Jour]],"")&lt;0,"",IFERROR(IF(Str_TypeDonneesCpt5=Cpt_Index,Tab_Compteur_5[[#This Row],[Index]]-E131,Tab_Compteur_5[[#This Row],[Quantité]])/Tab_Compteur_5[[#This Row],[Delta Jour]],""))</f>
        <v/>
      </c>
      <c r="H132" s="193" t="str">
        <f>IFERROR(Tab_Compteur_5[[#This Row],[Montant]]/Tab_Compteur_5[[#This Row],[Delta Jour]],"")</f>
        <v/>
      </c>
      <c r="I132" s="215" t="str">
        <f t="shared" si="7"/>
        <v/>
      </c>
      <c r="J132" s="216"/>
      <c r="K132" s="38"/>
      <c r="L132" s="38"/>
      <c r="M132" s="38"/>
    </row>
    <row r="133" spans="1:13">
      <c r="A133" s="3">
        <f t="shared" si="5"/>
        <v>1</v>
      </c>
      <c r="B133" s="88"/>
      <c r="C133" s="196"/>
      <c r="D133" s="195"/>
      <c r="E133" s="193"/>
      <c r="F133" s="193">
        <f t="shared" si="6"/>
        <v>0</v>
      </c>
      <c r="G133" s="193" t="str">
        <f>IF(IFERROR(IF(Str_TypeDonneesCpt5=Cpt_Index,Tab_Compteur_5[[#This Row],[Index]]-E132,Tab_Compteur_5[[#This Row],[Quantité]])/Tab_Compteur_5[[#This Row],[Delta Jour]],"")&lt;0,"",IFERROR(IF(Str_TypeDonneesCpt5=Cpt_Index,Tab_Compteur_5[[#This Row],[Index]]-E132,Tab_Compteur_5[[#This Row],[Quantité]])/Tab_Compteur_5[[#This Row],[Delta Jour]],""))</f>
        <v/>
      </c>
      <c r="H133" s="193" t="str">
        <f>IFERROR(Tab_Compteur_5[[#This Row],[Montant]]/Tab_Compteur_5[[#This Row],[Delta Jour]],"")</f>
        <v/>
      </c>
      <c r="I133" s="215" t="str">
        <f t="shared" si="7"/>
        <v/>
      </c>
      <c r="J133" s="216"/>
      <c r="K133" s="38"/>
      <c r="L133" s="38"/>
      <c r="M133" s="38"/>
    </row>
    <row r="134" spans="1:13">
      <c r="A134" s="3">
        <f t="shared" ref="A134:A197" si="8">IFERROR(B133+1,0)</f>
        <v>1</v>
      </c>
      <c r="B134" s="88"/>
      <c r="C134" s="196"/>
      <c r="D134" s="195"/>
      <c r="E134" s="193"/>
      <c r="F134" s="193">
        <f t="shared" si="6"/>
        <v>0</v>
      </c>
      <c r="G134" s="193" t="str">
        <f>IF(IFERROR(IF(Str_TypeDonneesCpt5=Cpt_Index,Tab_Compteur_5[[#This Row],[Index]]-E133,Tab_Compteur_5[[#This Row],[Quantité]])/Tab_Compteur_5[[#This Row],[Delta Jour]],"")&lt;0,"",IFERROR(IF(Str_TypeDonneesCpt5=Cpt_Index,Tab_Compteur_5[[#This Row],[Index]]-E133,Tab_Compteur_5[[#This Row],[Quantité]])/Tab_Compteur_5[[#This Row],[Delta Jour]],""))</f>
        <v/>
      </c>
      <c r="H134" s="193" t="str">
        <f>IFERROR(Tab_Compteur_5[[#This Row],[Montant]]/Tab_Compteur_5[[#This Row],[Delta Jour]],"")</f>
        <v/>
      </c>
      <c r="I134" s="215" t="str">
        <f t="shared" si="7"/>
        <v/>
      </c>
      <c r="J134" s="216"/>
      <c r="K134" s="38"/>
      <c r="L134" s="38"/>
      <c r="M134" s="38"/>
    </row>
    <row r="135" spans="1:13">
      <c r="A135" s="3">
        <f t="shared" si="8"/>
        <v>1</v>
      </c>
      <c r="B135" s="88"/>
      <c r="C135" s="196"/>
      <c r="D135" s="195"/>
      <c r="E135" s="193"/>
      <c r="F135" s="193">
        <f t="shared" si="6"/>
        <v>0</v>
      </c>
      <c r="G135" s="193" t="str">
        <f>IF(IFERROR(IF(Str_TypeDonneesCpt5=Cpt_Index,Tab_Compteur_5[[#This Row],[Index]]-E134,Tab_Compteur_5[[#This Row],[Quantité]])/Tab_Compteur_5[[#This Row],[Delta Jour]],"")&lt;0,"",IFERROR(IF(Str_TypeDonneesCpt5=Cpt_Index,Tab_Compteur_5[[#This Row],[Index]]-E134,Tab_Compteur_5[[#This Row],[Quantité]])/Tab_Compteur_5[[#This Row],[Delta Jour]],""))</f>
        <v/>
      </c>
      <c r="H135" s="193" t="str">
        <f>IFERROR(Tab_Compteur_5[[#This Row],[Montant]]/Tab_Compteur_5[[#This Row],[Delta Jour]],"")</f>
        <v/>
      </c>
      <c r="I135" s="215" t="str">
        <f t="shared" si="7"/>
        <v/>
      </c>
      <c r="J135" s="216"/>
      <c r="K135" s="38"/>
      <c r="L135" s="38"/>
      <c r="M135" s="38"/>
    </row>
    <row r="136" spans="1:13">
      <c r="A136" s="3">
        <f t="shared" si="8"/>
        <v>1</v>
      </c>
      <c r="B136" s="88"/>
      <c r="C136" s="196"/>
      <c r="D136" s="195"/>
      <c r="E136" s="193"/>
      <c r="F136" s="193">
        <f t="shared" si="6"/>
        <v>0</v>
      </c>
      <c r="G136" s="193" t="str">
        <f>IF(IFERROR(IF(Str_TypeDonneesCpt5=Cpt_Index,Tab_Compteur_5[[#This Row],[Index]]-E135,Tab_Compteur_5[[#This Row],[Quantité]])/Tab_Compteur_5[[#This Row],[Delta Jour]],"")&lt;0,"",IFERROR(IF(Str_TypeDonneesCpt5=Cpt_Index,Tab_Compteur_5[[#This Row],[Index]]-E135,Tab_Compteur_5[[#This Row],[Quantité]])/Tab_Compteur_5[[#This Row],[Delta Jour]],""))</f>
        <v/>
      </c>
      <c r="H136" s="193" t="str">
        <f>IFERROR(Tab_Compteur_5[[#This Row],[Montant]]/Tab_Compteur_5[[#This Row],[Delta Jour]],"")</f>
        <v/>
      </c>
      <c r="I136" s="215" t="str">
        <f t="shared" si="7"/>
        <v/>
      </c>
      <c r="J136" s="216"/>
      <c r="K136" s="38"/>
      <c r="L136" s="38"/>
      <c r="M136" s="38"/>
    </row>
    <row r="137" spans="1:13">
      <c r="A137" s="3">
        <f t="shared" si="8"/>
        <v>1</v>
      </c>
      <c r="B137" s="88"/>
      <c r="C137" s="196"/>
      <c r="D137" s="195"/>
      <c r="E137" s="193"/>
      <c r="F137" s="193">
        <f t="shared" si="6"/>
        <v>0</v>
      </c>
      <c r="G137" s="193" t="str">
        <f>IF(IFERROR(IF(Str_TypeDonneesCpt5=Cpt_Index,Tab_Compteur_5[[#This Row],[Index]]-E136,Tab_Compteur_5[[#This Row],[Quantité]])/Tab_Compteur_5[[#This Row],[Delta Jour]],"")&lt;0,"",IFERROR(IF(Str_TypeDonneesCpt5=Cpt_Index,Tab_Compteur_5[[#This Row],[Index]]-E136,Tab_Compteur_5[[#This Row],[Quantité]])/Tab_Compteur_5[[#This Row],[Delta Jour]],""))</f>
        <v/>
      </c>
      <c r="H137" s="193" t="str">
        <f>IFERROR(Tab_Compteur_5[[#This Row],[Montant]]/Tab_Compteur_5[[#This Row],[Delta Jour]],"")</f>
        <v/>
      </c>
      <c r="I137" s="215" t="str">
        <f t="shared" si="7"/>
        <v/>
      </c>
      <c r="J137" s="216"/>
      <c r="K137" s="38"/>
      <c r="L137" s="38"/>
      <c r="M137" s="38"/>
    </row>
    <row r="138" spans="1:13">
      <c r="A138" s="3">
        <f t="shared" si="8"/>
        <v>1</v>
      </c>
      <c r="B138" s="88"/>
      <c r="C138" s="196"/>
      <c r="D138" s="195"/>
      <c r="E138" s="193"/>
      <c r="F138" s="193">
        <f t="shared" si="6"/>
        <v>0</v>
      </c>
      <c r="G138" s="193" t="str">
        <f>IF(IFERROR(IF(Str_TypeDonneesCpt5=Cpt_Index,Tab_Compteur_5[[#This Row],[Index]]-E137,Tab_Compteur_5[[#This Row],[Quantité]])/Tab_Compteur_5[[#This Row],[Delta Jour]],"")&lt;0,"",IFERROR(IF(Str_TypeDonneesCpt5=Cpt_Index,Tab_Compteur_5[[#This Row],[Index]]-E137,Tab_Compteur_5[[#This Row],[Quantité]])/Tab_Compteur_5[[#This Row],[Delta Jour]],""))</f>
        <v/>
      </c>
      <c r="H138" s="193" t="str">
        <f>IFERROR(Tab_Compteur_5[[#This Row],[Montant]]/Tab_Compteur_5[[#This Row],[Delta Jour]],"")</f>
        <v/>
      </c>
      <c r="I138" s="215" t="str">
        <f t="shared" si="7"/>
        <v/>
      </c>
      <c r="J138" s="216"/>
      <c r="K138" s="38"/>
      <c r="L138" s="38"/>
      <c r="M138" s="38"/>
    </row>
    <row r="139" spans="1:13">
      <c r="A139" s="3">
        <f t="shared" si="8"/>
        <v>1</v>
      </c>
      <c r="B139" s="88"/>
      <c r="C139" s="196"/>
      <c r="D139" s="195"/>
      <c r="E139" s="193"/>
      <c r="F139" s="193">
        <f t="shared" si="6"/>
        <v>0</v>
      </c>
      <c r="G139" s="193" t="str">
        <f>IF(IFERROR(IF(Str_TypeDonneesCpt5=Cpt_Index,Tab_Compteur_5[[#This Row],[Index]]-E138,Tab_Compteur_5[[#This Row],[Quantité]])/Tab_Compteur_5[[#This Row],[Delta Jour]],"")&lt;0,"",IFERROR(IF(Str_TypeDonneesCpt5=Cpt_Index,Tab_Compteur_5[[#This Row],[Index]]-E138,Tab_Compteur_5[[#This Row],[Quantité]])/Tab_Compteur_5[[#This Row],[Delta Jour]],""))</f>
        <v/>
      </c>
      <c r="H139" s="193" t="str">
        <f>IFERROR(Tab_Compteur_5[[#This Row],[Montant]]/Tab_Compteur_5[[#This Row],[Delta Jour]],"")</f>
        <v/>
      </c>
      <c r="I139" s="215" t="str">
        <f t="shared" si="7"/>
        <v/>
      </c>
      <c r="J139" s="216"/>
      <c r="K139" s="38"/>
      <c r="L139" s="38"/>
      <c r="M139" s="38"/>
    </row>
    <row r="140" spans="1:13">
      <c r="A140" s="3">
        <f t="shared" si="8"/>
        <v>1</v>
      </c>
      <c r="B140" s="88"/>
      <c r="C140" s="196"/>
      <c r="D140" s="195"/>
      <c r="E140" s="193"/>
      <c r="F140" s="193">
        <f t="shared" si="6"/>
        <v>0</v>
      </c>
      <c r="G140" s="193" t="str">
        <f>IF(IFERROR(IF(Str_TypeDonneesCpt5=Cpt_Index,Tab_Compteur_5[[#This Row],[Index]]-E139,Tab_Compteur_5[[#This Row],[Quantité]])/Tab_Compteur_5[[#This Row],[Delta Jour]],"")&lt;0,"",IFERROR(IF(Str_TypeDonneesCpt5=Cpt_Index,Tab_Compteur_5[[#This Row],[Index]]-E139,Tab_Compteur_5[[#This Row],[Quantité]])/Tab_Compteur_5[[#This Row],[Delta Jour]],""))</f>
        <v/>
      </c>
      <c r="H140" s="193" t="str">
        <f>IFERROR(Tab_Compteur_5[[#This Row],[Montant]]/Tab_Compteur_5[[#This Row],[Delta Jour]],"")</f>
        <v/>
      </c>
      <c r="I140" s="215" t="str">
        <f t="shared" si="7"/>
        <v/>
      </c>
      <c r="J140" s="216"/>
      <c r="K140" s="38"/>
      <c r="L140" s="38"/>
      <c r="M140" s="38"/>
    </row>
    <row r="141" spans="1:13">
      <c r="A141" s="3">
        <f t="shared" si="8"/>
        <v>1</v>
      </c>
      <c r="B141" s="88"/>
      <c r="C141" s="196"/>
      <c r="D141" s="195"/>
      <c r="E141" s="193"/>
      <c r="F141" s="193">
        <f t="shared" si="6"/>
        <v>0</v>
      </c>
      <c r="G141" s="193" t="str">
        <f>IF(IFERROR(IF(Str_TypeDonneesCpt5=Cpt_Index,Tab_Compteur_5[[#This Row],[Index]]-E140,Tab_Compteur_5[[#This Row],[Quantité]])/Tab_Compteur_5[[#This Row],[Delta Jour]],"")&lt;0,"",IFERROR(IF(Str_TypeDonneesCpt5=Cpt_Index,Tab_Compteur_5[[#This Row],[Index]]-E140,Tab_Compteur_5[[#This Row],[Quantité]])/Tab_Compteur_5[[#This Row],[Delta Jour]],""))</f>
        <v/>
      </c>
      <c r="H141" s="193" t="str">
        <f>IFERROR(Tab_Compteur_5[[#This Row],[Montant]]/Tab_Compteur_5[[#This Row],[Delta Jour]],"")</f>
        <v/>
      </c>
      <c r="I141" s="215" t="str">
        <f t="shared" si="7"/>
        <v/>
      </c>
      <c r="J141" s="216"/>
      <c r="K141" s="38"/>
      <c r="L141" s="38"/>
      <c r="M141" s="38"/>
    </row>
    <row r="142" spans="1:13">
      <c r="A142" s="3">
        <f t="shared" si="8"/>
        <v>1</v>
      </c>
      <c r="B142" s="88"/>
      <c r="C142" s="196"/>
      <c r="D142" s="195"/>
      <c r="E142" s="193"/>
      <c r="F142" s="193">
        <f t="shared" si="6"/>
        <v>0</v>
      </c>
      <c r="G142" s="193" t="str">
        <f>IF(IFERROR(IF(Str_TypeDonneesCpt5=Cpt_Index,Tab_Compteur_5[[#This Row],[Index]]-E141,Tab_Compteur_5[[#This Row],[Quantité]])/Tab_Compteur_5[[#This Row],[Delta Jour]],"")&lt;0,"",IFERROR(IF(Str_TypeDonneesCpt5=Cpt_Index,Tab_Compteur_5[[#This Row],[Index]]-E141,Tab_Compteur_5[[#This Row],[Quantité]])/Tab_Compteur_5[[#This Row],[Delta Jour]],""))</f>
        <v/>
      </c>
      <c r="H142" s="193" t="str">
        <f>IFERROR(Tab_Compteur_5[[#This Row],[Montant]]/Tab_Compteur_5[[#This Row],[Delta Jour]],"")</f>
        <v/>
      </c>
      <c r="I142" s="215" t="str">
        <f t="shared" si="7"/>
        <v/>
      </c>
      <c r="J142" s="216"/>
      <c r="K142" s="38"/>
      <c r="L142" s="38"/>
      <c r="M142" s="38"/>
    </row>
    <row r="143" spans="1:13">
      <c r="A143" s="3">
        <f t="shared" si="8"/>
        <v>1</v>
      </c>
      <c r="B143" s="88"/>
      <c r="C143" s="196"/>
      <c r="D143" s="195"/>
      <c r="E143" s="193"/>
      <c r="F143" s="193">
        <f t="shared" si="6"/>
        <v>0</v>
      </c>
      <c r="G143" s="193" t="str">
        <f>IF(IFERROR(IF(Str_TypeDonneesCpt5=Cpt_Index,Tab_Compteur_5[[#This Row],[Index]]-E142,Tab_Compteur_5[[#This Row],[Quantité]])/Tab_Compteur_5[[#This Row],[Delta Jour]],"")&lt;0,"",IFERROR(IF(Str_TypeDonneesCpt5=Cpt_Index,Tab_Compteur_5[[#This Row],[Index]]-E142,Tab_Compteur_5[[#This Row],[Quantité]])/Tab_Compteur_5[[#This Row],[Delta Jour]],""))</f>
        <v/>
      </c>
      <c r="H143" s="193" t="str">
        <f>IFERROR(Tab_Compteur_5[[#This Row],[Montant]]/Tab_Compteur_5[[#This Row],[Delta Jour]],"")</f>
        <v/>
      </c>
      <c r="I143" s="215" t="str">
        <f t="shared" si="7"/>
        <v/>
      </c>
      <c r="J143" s="216"/>
      <c r="K143" s="38"/>
      <c r="L143" s="38"/>
      <c r="M143" s="38"/>
    </row>
    <row r="144" spans="1:13">
      <c r="A144" s="3">
        <f t="shared" si="8"/>
        <v>1</v>
      </c>
      <c r="B144" s="88"/>
      <c r="C144" s="196"/>
      <c r="D144" s="195"/>
      <c r="E144" s="193"/>
      <c r="F144" s="193">
        <f t="shared" si="6"/>
        <v>0</v>
      </c>
      <c r="G144" s="193" t="str">
        <f>IF(IFERROR(IF(Str_TypeDonneesCpt5=Cpt_Index,Tab_Compteur_5[[#This Row],[Index]]-E143,Tab_Compteur_5[[#This Row],[Quantité]])/Tab_Compteur_5[[#This Row],[Delta Jour]],"")&lt;0,"",IFERROR(IF(Str_TypeDonneesCpt5=Cpt_Index,Tab_Compteur_5[[#This Row],[Index]]-E143,Tab_Compteur_5[[#This Row],[Quantité]])/Tab_Compteur_5[[#This Row],[Delta Jour]],""))</f>
        <v/>
      </c>
      <c r="H144" s="193" t="str">
        <f>IFERROR(Tab_Compteur_5[[#This Row],[Montant]]/Tab_Compteur_5[[#This Row],[Delta Jour]],"")</f>
        <v/>
      </c>
      <c r="I144" s="215" t="str">
        <f t="shared" si="7"/>
        <v/>
      </c>
      <c r="J144" s="216"/>
      <c r="K144" s="38"/>
      <c r="L144" s="38"/>
      <c r="M144" s="38"/>
    </row>
    <row r="145" spans="1:13">
      <c r="A145" s="3">
        <f t="shared" si="8"/>
        <v>1</v>
      </c>
      <c r="B145" s="88"/>
      <c r="C145" s="196"/>
      <c r="D145" s="195"/>
      <c r="E145" s="193"/>
      <c r="F145" s="193">
        <f t="shared" si="6"/>
        <v>0</v>
      </c>
      <c r="G145" s="193" t="str">
        <f>IF(IFERROR(IF(Str_TypeDonneesCpt5=Cpt_Index,Tab_Compteur_5[[#This Row],[Index]]-E144,Tab_Compteur_5[[#This Row],[Quantité]])/Tab_Compteur_5[[#This Row],[Delta Jour]],"")&lt;0,"",IFERROR(IF(Str_TypeDonneesCpt5=Cpt_Index,Tab_Compteur_5[[#This Row],[Index]]-E144,Tab_Compteur_5[[#This Row],[Quantité]])/Tab_Compteur_5[[#This Row],[Delta Jour]],""))</f>
        <v/>
      </c>
      <c r="H145" s="193" t="str">
        <f>IFERROR(Tab_Compteur_5[[#This Row],[Montant]]/Tab_Compteur_5[[#This Row],[Delta Jour]],"")</f>
        <v/>
      </c>
      <c r="I145" s="215" t="str">
        <f t="shared" si="7"/>
        <v/>
      </c>
      <c r="J145" s="216"/>
      <c r="K145" s="38"/>
      <c r="L145" s="38"/>
      <c r="M145" s="38"/>
    </row>
    <row r="146" spans="1:13">
      <c r="A146" s="3">
        <f t="shared" si="8"/>
        <v>1</v>
      </c>
      <c r="B146" s="88"/>
      <c r="C146" s="196"/>
      <c r="D146" s="195"/>
      <c r="E146" s="193"/>
      <c r="F146" s="193">
        <f t="shared" si="6"/>
        <v>0</v>
      </c>
      <c r="G146" s="193" t="str">
        <f>IF(IFERROR(IF(Str_TypeDonneesCpt5=Cpt_Index,Tab_Compteur_5[[#This Row],[Index]]-E145,Tab_Compteur_5[[#This Row],[Quantité]])/Tab_Compteur_5[[#This Row],[Delta Jour]],"")&lt;0,"",IFERROR(IF(Str_TypeDonneesCpt5=Cpt_Index,Tab_Compteur_5[[#This Row],[Index]]-E145,Tab_Compteur_5[[#This Row],[Quantité]])/Tab_Compteur_5[[#This Row],[Delta Jour]],""))</f>
        <v/>
      </c>
      <c r="H146" s="193" t="str">
        <f>IFERROR(Tab_Compteur_5[[#This Row],[Montant]]/Tab_Compteur_5[[#This Row],[Delta Jour]],"")</f>
        <v/>
      </c>
      <c r="I146" s="215" t="str">
        <f t="shared" si="7"/>
        <v/>
      </c>
      <c r="J146" s="216"/>
      <c r="K146" s="38"/>
      <c r="L146" s="38"/>
      <c r="M146" s="38"/>
    </row>
    <row r="147" spans="1:13">
      <c r="A147" s="3">
        <f t="shared" si="8"/>
        <v>1</v>
      </c>
      <c r="B147" s="88"/>
      <c r="C147" s="196"/>
      <c r="D147" s="195"/>
      <c r="E147" s="193"/>
      <c r="F147" s="193">
        <f t="shared" si="6"/>
        <v>0</v>
      </c>
      <c r="G147" s="193" t="str">
        <f>IF(IFERROR(IF(Str_TypeDonneesCpt5=Cpt_Index,Tab_Compteur_5[[#This Row],[Index]]-E146,Tab_Compteur_5[[#This Row],[Quantité]])/Tab_Compteur_5[[#This Row],[Delta Jour]],"")&lt;0,"",IFERROR(IF(Str_TypeDonneesCpt5=Cpt_Index,Tab_Compteur_5[[#This Row],[Index]]-E146,Tab_Compteur_5[[#This Row],[Quantité]])/Tab_Compteur_5[[#This Row],[Delta Jour]],""))</f>
        <v/>
      </c>
      <c r="H147" s="193" t="str">
        <f>IFERROR(Tab_Compteur_5[[#This Row],[Montant]]/Tab_Compteur_5[[#This Row],[Delta Jour]],"")</f>
        <v/>
      </c>
      <c r="I147" s="215" t="str">
        <f t="shared" si="7"/>
        <v/>
      </c>
      <c r="J147" s="216"/>
      <c r="K147" s="38"/>
      <c r="L147" s="38"/>
      <c r="M147" s="38"/>
    </row>
    <row r="148" spans="1:13">
      <c r="A148" s="3">
        <f t="shared" si="8"/>
        <v>1</v>
      </c>
      <c r="B148" s="88"/>
      <c r="C148" s="196"/>
      <c r="D148" s="195"/>
      <c r="E148" s="193"/>
      <c r="F148" s="193">
        <f t="shared" si="6"/>
        <v>0</v>
      </c>
      <c r="G148" s="193" t="str">
        <f>IF(IFERROR(IF(Str_TypeDonneesCpt5=Cpt_Index,Tab_Compteur_5[[#This Row],[Index]]-E147,Tab_Compteur_5[[#This Row],[Quantité]])/Tab_Compteur_5[[#This Row],[Delta Jour]],"")&lt;0,"",IFERROR(IF(Str_TypeDonneesCpt5=Cpt_Index,Tab_Compteur_5[[#This Row],[Index]]-E147,Tab_Compteur_5[[#This Row],[Quantité]])/Tab_Compteur_5[[#This Row],[Delta Jour]],""))</f>
        <v/>
      </c>
      <c r="H148" s="193" t="str">
        <f>IFERROR(Tab_Compteur_5[[#This Row],[Montant]]/Tab_Compteur_5[[#This Row],[Delta Jour]],"")</f>
        <v/>
      </c>
      <c r="I148" s="215" t="str">
        <f t="shared" si="7"/>
        <v/>
      </c>
      <c r="J148" s="216"/>
      <c r="K148" s="38"/>
      <c r="L148" s="38"/>
      <c r="M148" s="38"/>
    </row>
    <row r="149" spans="1:13">
      <c r="A149" s="3">
        <f t="shared" si="8"/>
        <v>1</v>
      </c>
      <c r="B149" s="88"/>
      <c r="C149" s="196"/>
      <c r="D149" s="195"/>
      <c r="E149" s="193"/>
      <c r="F149" s="193">
        <f t="shared" si="6"/>
        <v>0</v>
      </c>
      <c r="G149" s="193" t="str">
        <f>IF(IFERROR(IF(Str_TypeDonneesCpt5=Cpt_Index,Tab_Compteur_5[[#This Row],[Index]]-E148,Tab_Compteur_5[[#This Row],[Quantité]])/Tab_Compteur_5[[#This Row],[Delta Jour]],"")&lt;0,"",IFERROR(IF(Str_TypeDonneesCpt5=Cpt_Index,Tab_Compteur_5[[#This Row],[Index]]-E148,Tab_Compteur_5[[#This Row],[Quantité]])/Tab_Compteur_5[[#This Row],[Delta Jour]],""))</f>
        <v/>
      </c>
      <c r="H149" s="193" t="str">
        <f>IFERROR(Tab_Compteur_5[[#This Row],[Montant]]/Tab_Compteur_5[[#This Row],[Delta Jour]],"")</f>
        <v/>
      </c>
      <c r="I149" s="215" t="str">
        <f t="shared" si="7"/>
        <v/>
      </c>
      <c r="J149" s="216"/>
      <c r="K149" s="38"/>
      <c r="L149" s="38"/>
      <c r="M149" s="38"/>
    </row>
    <row r="150" spans="1:13">
      <c r="A150" s="3">
        <f t="shared" si="8"/>
        <v>1</v>
      </c>
      <c r="B150" s="88"/>
      <c r="C150" s="196"/>
      <c r="D150" s="195"/>
      <c r="E150" s="193"/>
      <c r="F150" s="193">
        <f t="shared" si="6"/>
        <v>0</v>
      </c>
      <c r="G150" s="193" t="str">
        <f>IF(IFERROR(IF(Str_TypeDonneesCpt5=Cpt_Index,Tab_Compteur_5[[#This Row],[Index]]-E149,Tab_Compteur_5[[#This Row],[Quantité]])/Tab_Compteur_5[[#This Row],[Delta Jour]],"")&lt;0,"",IFERROR(IF(Str_TypeDonneesCpt5=Cpt_Index,Tab_Compteur_5[[#This Row],[Index]]-E149,Tab_Compteur_5[[#This Row],[Quantité]])/Tab_Compteur_5[[#This Row],[Delta Jour]],""))</f>
        <v/>
      </c>
      <c r="H150" s="193" t="str">
        <f>IFERROR(Tab_Compteur_5[[#This Row],[Montant]]/Tab_Compteur_5[[#This Row],[Delta Jour]],"")</f>
        <v/>
      </c>
      <c r="I150" s="215" t="str">
        <f t="shared" si="7"/>
        <v/>
      </c>
      <c r="J150" s="216"/>
      <c r="K150" s="38"/>
      <c r="L150" s="38"/>
      <c r="M150" s="38"/>
    </row>
    <row r="151" spans="1:13">
      <c r="A151" s="3">
        <f t="shared" si="8"/>
        <v>1</v>
      </c>
      <c r="B151" s="88"/>
      <c r="C151" s="196"/>
      <c r="D151" s="195"/>
      <c r="E151" s="193"/>
      <c r="F151" s="193">
        <f t="shared" si="6"/>
        <v>0</v>
      </c>
      <c r="G151" s="193" t="str">
        <f>IF(IFERROR(IF(Str_TypeDonneesCpt5=Cpt_Index,Tab_Compteur_5[[#This Row],[Index]]-E150,Tab_Compteur_5[[#This Row],[Quantité]])/Tab_Compteur_5[[#This Row],[Delta Jour]],"")&lt;0,"",IFERROR(IF(Str_TypeDonneesCpt5=Cpt_Index,Tab_Compteur_5[[#This Row],[Index]]-E150,Tab_Compteur_5[[#This Row],[Quantité]])/Tab_Compteur_5[[#This Row],[Delta Jour]],""))</f>
        <v/>
      </c>
      <c r="H151" s="193" t="str">
        <f>IFERROR(Tab_Compteur_5[[#This Row],[Montant]]/Tab_Compteur_5[[#This Row],[Delta Jour]],"")</f>
        <v/>
      </c>
      <c r="I151" s="215" t="str">
        <f t="shared" si="7"/>
        <v/>
      </c>
      <c r="J151" s="216"/>
      <c r="K151" s="38"/>
      <c r="L151" s="38"/>
      <c r="M151" s="38"/>
    </row>
    <row r="152" spans="1:13">
      <c r="A152" s="3">
        <f t="shared" si="8"/>
        <v>1</v>
      </c>
      <c r="B152" s="88"/>
      <c r="C152" s="196"/>
      <c r="D152" s="195"/>
      <c r="E152" s="193"/>
      <c r="F152" s="193">
        <f t="shared" si="6"/>
        <v>0</v>
      </c>
      <c r="G152" s="193" t="str">
        <f>IF(IFERROR(IF(Str_TypeDonneesCpt5=Cpt_Index,Tab_Compteur_5[[#This Row],[Index]]-E151,Tab_Compteur_5[[#This Row],[Quantité]])/Tab_Compteur_5[[#This Row],[Delta Jour]],"")&lt;0,"",IFERROR(IF(Str_TypeDonneesCpt5=Cpt_Index,Tab_Compteur_5[[#This Row],[Index]]-E151,Tab_Compteur_5[[#This Row],[Quantité]])/Tab_Compteur_5[[#This Row],[Delta Jour]],""))</f>
        <v/>
      </c>
      <c r="H152" s="193" t="str">
        <f>IFERROR(Tab_Compteur_5[[#This Row],[Montant]]/Tab_Compteur_5[[#This Row],[Delta Jour]],"")</f>
        <v/>
      </c>
      <c r="I152" s="215" t="str">
        <f t="shared" si="7"/>
        <v/>
      </c>
      <c r="J152" s="216"/>
      <c r="K152" s="38"/>
      <c r="L152" s="38"/>
      <c r="M152" s="38"/>
    </row>
    <row r="153" spans="1:13">
      <c r="A153" s="3">
        <f t="shared" si="8"/>
        <v>1</v>
      </c>
      <c r="B153" s="88"/>
      <c r="C153" s="196"/>
      <c r="D153" s="195"/>
      <c r="E153" s="193"/>
      <c r="F153" s="193">
        <f t="shared" si="6"/>
        <v>0</v>
      </c>
      <c r="G153" s="193" t="str">
        <f>IF(IFERROR(IF(Str_TypeDonneesCpt5=Cpt_Index,Tab_Compteur_5[[#This Row],[Index]]-E152,Tab_Compteur_5[[#This Row],[Quantité]])/Tab_Compteur_5[[#This Row],[Delta Jour]],"")&lt;0,"",IFERROR(IF(Str_TypeDonneesCpt5=Cpt_Index,Tab_Compteur_5[[#This Row],[Index]]-E152,Tab_Compteur_5[[#This Row],[Quantité]])/Tab_Compteur_5[[#This Row],[Delta Jour]],""))</f>
        <v/>
      </c>
      <c r="H153" s="193" t="str">
        <f>IFERROR(Tab_Compteur_5[[#This Row],[Montant]]/Tab_Compteur_5[[#This Row],[Delta Jour]],"")</f>
        <v/>
      </c>
      <c r="I153" s="215" t="str">
        <f t="shared" si="7"/>
        <v/>
      </c>
      <c r="J153" s="216"/>
      <c r="K153" s="38"/>
      <c r="L153" s="38"/>
      <c r="M153" s="38"/>
    </row>
    <row r="154" spans="1:13">
      <c r="A154" s="3">
        <f t="shared" si="8"/>
        <v>1</v>
      </c>
      <c r="B154" s="88"/>
      <c r="C154" s="196"/>
      <c r="D154" s="195"/>
      <c r="E154" s="193"/>
      <c r="F154" s="193">
        <f t="shared" si="6"/>
        <v>0</v>
      </c>
      <c r="G154" s="193" t="str">
        <f>IF(IFERROR(IF(Str_TypeDonneesCpt5=Cpt_Index,Tab_Compteur_5[[#This Row],[Index]]-E153,Tab_Compteur_5[[#This Row],[Quantité]])/Tab_Compteur_5[[#This Row],[Delta Jour]],"")&lt;0,"",IFERROR(IF(Str_TypeDonneesCpt5=Cpt_Index,Tab_Compteur_5[[#This Row],[Index]]-E153,Tab_Compteur_5[[#This Row],[Quantité]])/Tab_Compteur_5[[#This Row],[Delta Jour]],""))</f>
        <v/>
      </c>
      <c r="H154" s="193" t="str">
        <f>IFERROR(Tab_Compteur_5[[#This Row],[Montant]]/Tab_Compteur_5[[#This Row],[Delta Jour]],"")</f>
        <v/>
      </c>
      <c r="I154" s="215" t="str">
        <f t="shared" si="7"/>
        <v/>
      </c>
      <c r="J154" s="216"/>
      <c r="K154" s="38"/>
      <c r="L154" s="38"/>
      <c r="M154" s="38"/>
    </row>
    <row r="155" spans="1:13">
      <c r="A155" s="3">
        <f t="shared" si="8"/>
        <v>1</v>
      </c>
      <c r="B155" s="88"/>
      <c r="C155" s="196"/>
      <c r="D155" s="195"/>
      <c r="E155" s="193"/>
      <c r="F155" s="193">
        <f t="shared" si="6"/>
        <v>0</v>
      </c>
      <c r="G155" s="193" t="str">
        <f>IF(IFERROR(IF(Str_TypeDonneesCpt5=Cpt_Index,Tab_Compteur_5[[#This Row],[Index]]-E154,Tab_Compteur_5[[#This Row],[Quantité]])/Tab_Compteur_5[[#This Row],[Delta Jour]],"")&lt;0,"",IFERROR(IF(Str_TypeDonneesCpt5=Cpt_Index,Tab_Compteur_5[[#This Row],[Index]]-E154,Tab_Compteur_5[[#This Row],[Quantité]])/Tab_Compteur_5[[#This Row],[Delta Jour]],""))</f>
        <v/>
      </c>
      <c r="H155" s="193" t="str">
        <f>IFERROR(Tab_Compteur_5[[#This Row],[Montant]]/Tab_Compteur_5[[#This Row],[Delta Jour]],"")</f>
        <v/>
      </c>
      <c r="I155" s="215" t="str">
        <f t="shared" si="7"/>
        <v/>
      </c>
      <c r="J155" s="216"/>
      <c r="K155" s="38"/>
      <c r="L155" s="38"/>
      <c r="M155" s="38"/>
    </row>
    <row r="156" spans="1:13">
      <c r="A156" s="3">
        <f t="shared" si="8"/>
        <v>1</v>
      </c>
      <c r="B156" s="88"/>
      <c r="C156" s="196"/>
      <c r="D156" s="195"/>
      <c r="E156" s="193"/>
      <c r="F156" s="193">
        <f t="shared" si="6"/>
        <v>0</v>
      </c>
      <c r="G156" s="193" t="str">
        <f>IF(IFERROR(IF(Str_TypeDonneesCpt5=Cpt_Index,Tab_Compteur_5[[#This Row],[Index]]-E155,Tab_Compteur_5[[#This Row],[Quantité]])/Tab_Compteur_5[[#This Row],[Delta Jour]],"")&lt;0,"",IFERROR(IF(Str_TypeDonneesCpt5=Cpt_Index,Tab_Compteur_5[[#This Row],[Index]]-E155,Tab_Compteur_5[[#This Row],[Quantité]])/Tab_Compteur_5[[#This Row],[Delta Jour]],""))</f>
        <v/>
      </c>
      <c r="H156" s="193" t="str">
        <f>IFERROR(Tab_Compteur_5[[#This Row],[Montant]]/Tab_Compteur_5[[#This Row],[Delta Jour]],"")</f>
        <v/>
      </c>
      <c r="I156" s="215" t="str">
        <f t="shared" si="7"/>
        <v/>
      </c>
      <c r="J156" s="216"/>
      <c r="K156" s="38"/>
      <c r="L156" s="38"/>
      <c r="M156" s="38"/>
    </row>
    <row r="157" spans="1:13">
      <c r="A157" s="3">
        <f t="shared" si="8"/>
        <v>1</v>
      </c>
      <c r="B157" s="88"/>
      <c r="C157" s="196"/>
      <c r="D157" s="195"/>
      <c r="E157" s="193"/>
      <c r="F157" s="193">
        <f t="shared" si="6"/>
        <v>0</v>
      </c>
      <c r="G157" s="193" t="str">
        <f>IF(IFERROR(IF(Str_TypeDonneesCpt5=Cpt_Index,Tab_Compteur_5[[#This Row],[Index]]-E156,Tab_Compteur_5[[#This Row],[Quantité]])/Tab_Compteur_5[[#This Row],[Delta Jour]],"")&lt;0,"",IFERROR(IF(Str_TypeDonneesCpt5=Cpt_Index,Tab_Compteur_5[[#This Row],[Index]]-E156,Tab_Compteur_5[[#This Row],[Quantité]])/Tab_Compteur_5[[#This Row],[Delta Jour]],""))</f>
        <v/>
      </c>
      <c r="H157" s="193" t="str">
        <f>IFERROR(Tab_Compteur_5[[#This Row],[Montant]]/Tab_Compteur_5[[#This Row],[Delta Jour]],"")</f>
        <v/>
      </c>
      <c r="I157" s="215" t="str">
        <f t="shared" si="7"/>
        <v/>
      </c>
      <c r="J157" s="216"/>
      <c r="K157" s="38"/>
      <c r="L157" s="38"/>
      <c r="M157" s="38"/>
    </row>
    <row r="158" spans="1:13">
      <c r="A158" s="3">
        <f t="shared" si="8"/>
        <v>1</v>
      </c>
      <c r="B158" s="88"/>
      <c r="C158" s="196"/>
      <c r="D158" s="195"/>
      <c r="E158" s="193"/>
      <c r="F158" s="193">
        <f t="shared" si="6"/>
        <v>0</v>
      </c>
      <c r="G158" s="193" t="str">
        <f>IF(IFERROR(IF(Str_TypeDonneesCpt5=Cpt_Index,Tab_Compteur_5[[#This Row],[Index]]-E157,Tab_Compteur_5[[#This Row],[Quantité]])/Tab_Compteur_5[[#This Row],[Delta Jour]],"")&lt;0,"",IFERROR(IF(Str_TypeDonneesCpt5=Cpt_Index,Tab_Compteur_5[[#This Row],[Index]]-E157,Tab_Compteur_5[[#This Row],[Quantité]])/Tab_Compteur_5[[#This Row],[Delta Jour]],""))</f>
        <v/>
      </c>
      <c r="H158" s="193" t="str">
        <f>IFERROR(Tab_Compteur_5[[#This Row],[Montant]]/Tab_Compteur_5[[#This Row],[Delta Jour]],"")</f>
        <v/>
      </c>
      <c r="I158" s="215" t="str">
        <f t="shared" si="7"/>
        <v/>
      </c>
      <c r="J158" s="216"/>
      <c r="K158" s="38"/>
      <c r="L158" s="38"/>
      <c r="M158" s="38"/>
    </row>
    <row r="159" spans="1:13">
      <c r="A159" s="3">
        <f t="shared" si="8"/>
        <v>1</v>
      </c>
      <c r="B159" s="88"/>
      <c r="C159" s="196"/>
      <c r="D159" s="195"/>
      <c r="E159" s="193"/>
      <c r="F159" s="193">
        <f t="shared" si="6"/>
        <v>0</v>
      </c>
      <c r="G159" s="193" t="str">
        <f>IF(IFERROR(IF(Str_TypeDonneesCpt5=Cpt_Index,Tab_Compteur_5[[#This Row],[Index]]-E158,Tab_Compteur_5[[#This Row],[Quantité]])/Tab_Compteur_5[[#This Row],[Delta Jour]],"")&lt;0,"",IFERROR(IF(Str_TypeDonneesCpt5=Cpt_Index,Tab_Compteur_5[[#This Row],[Index]]-E158,Tab_Compteur_5[[#This Row],[Quantité]])/Tab_Compteur_5[[#This Row],[Delta Jour]],""))</f>
        <v/>
      </c>
      <c r="H159" s="193" t="str">
        <f>IFERROR(Tab_Compteur_5[[#This Row],[Montant]]/Tab_Compteur_5[[#This Row],[Delta Jour]],"")</f>
        <v/>
      </c>
      <c r="I159" s="215" t="str">
        <f t="shared" si="7"/>
        <v/>
      </c>
      <c r="J159" s="216"/>
      <c r="K159" s="38"/>
      <c r="L159" s="38"/>
      <c r="M159" s="38"/>
    </row>
    <row r="160" spans="1:13">
      <c r="A160" s="3">
        <f t="shared" si="8"/>
        <v>1</v>
      </c>
      <c r="B160" s="88"/>
      <c r="C160" s="196"/>
      <c r="D160" s="195"/>
      <c r="E160" s="193"/>
      <c r="F160" s="193">
        <f t="shared" si="6"/>
        <v>0</v>
      </c>
      <c r="G160" s="193" t="str">
        <f>IF(IFERROR(IF(Str_TypeDonneesCpt5=Cpt_Index,Tab_Compteur_5[[#This Row],[Index]]-E159,Tab_Compteur_5[[#This Row],[Quantité]])/Tab_Compteur_5[[#This Row],[Delta Jour]],"")&lt;0,"",IFERROR(IF(Str_TypeDonneesCpt5=Cpt_Index,Tab_Compteur_5[[#This Row],[Index]]-E159,Tab_Compteur_5[[#This Row],[Quantité]])/Tab_Compteur_5[[#This Row],[Delta Jour]],""))</f>
        <v/>
      </c>
      <c r="H160" s="193" t="str">
        <f>IFERROR(Tab_Compteur_5[[#This Row],[Montant]]/Tab_Compteur_5[[#This Row],[Delta Jour]],"")</f>
        <v/>
      </c>
      <c r="I160" s="215" t="str">
        <f t="shared" si="7"/>
        <v/>
      </c>
      <c r="J160" s="216"/>
      <c r="K160" s="38"/>
      <c r="L160" s="38"/>
      <c r="M160" s="38"/>
    </row>
    <row r="161" spans="1:13">
      <c r="A161" s="3">
        <f t="shared" si="8"/>
        <v>1</v>
      </c>
      <c r="B161" s="88"/>
      <c r="C161" s="196"/>
      <c r="D161" s="195"/>
      <c r="E161" s="193"/>
      <c r="F161" s="193">
        <f t="shared" si="6"/>
        <v>0</v>
      </c>
      <c r="G161" s="193" t="str">
        <f>IF(IFERROR(IF(Str_TypeDonneesCpt5=Cpt_Index,Tab_Compteur_5[[#This Row],[Index]]-E160,Tab_Compteur_5[[#This Row],[Quantité]])/Tab_Compteur_5[[#This Row],[Delta Jour]],"")&lt;0,"",IFERROR(IF(Str_TypeDonneesCpt5=Cpt_Index,Tab_Compteur_5[[#This Row],[Index]]-E160,Tab_Compteur_5[[#This Row],[Quantité]])/Tab_Compteur_5[[#This Row],[Delta Jour]],""))</f>
        <v/>
      </c>
      <c r="H161" s="193" t="str">
        <f>IFERROR(Tab_Compteur_5[[#This Row],[Montant]]/Tab_Compteur_5[[#This Row],[Delta Jour]],"")</f>
        <v/>
      </c>
      <c r="I161" s="215" t="str">
        <f t="shared" si="7"/>
        <v/>
      </c>
      <c r="J161" s="216"/>
      <c r="K161" s="38"/>
      <c r="L161" s="38"/>
      <c r="M161" s="38"/>
    </row>
    <row r="162" spans="1:13">
      <c r="A162" s="3">
        <f t="shared" si="8"/>
        <v>1</v>
      </c>
      <c r="B162" s="88"/>
      <c r="C162" s="196"/>
      <c r="D162" s="195"/>
      <c r="E162" s="193"/>
      <c r="F162" s="193">
        <f t="shared" si="6"/>
        <v>0</v>
      </c>
      <c r="G162" s="193" t="str">
        <f>IF(IFERROR(IF(Str_TypeDonneesCpt5=Cpt_Index,Tab_Compteur_5[[#This Row],[Index]]-E161,Tab_Compteur_5[[#This Row],[Quantité]])/Tab_Compteur_5[[#This Row],[Delta Jour]],"")&lt;0,"",IFERROR(IF(Str_TypeDonneesCpt5=Cpt_Index,Tab_Compteur_5[[#This Row],[Index]]-E161,Tab_Compteur_5[[#This Row],[Quantité]])/Tab_Compteur_5[[#This Row],[Delta Jour]],""))</f>
        <v/>
      </c>
      <c r="H162" s="193" t="str">
        <f>IFERROR(Tab_Compteur_5[[#This Row],[Montant]]/Tab_Compteur_5[[#This Row],[Delta Jour]],"")</f>
        <v/>
      </c>
      <c r="I162" s="215" t="str">
        <f t="shared" si="7"/>
        <v/>
      </c>
      <c r="J162" s="216"/>
      <c r="K162" s="38"/>
      <c r="L162" s="38"/>
      <c r="M162" s="38"/>
    </row>
    <row r="163" spans="1:13">
      <c r="A163" s="3">
        <f t="shared" si="8"/>
        <v>1</v>
      </c>
      <c r="B163" s="88"/>
      <c r="C163" s="196"/>
      <c r="D163" s="195"/>
      <c r="E163" s="193"/>
      <c r="F163" s="193">
        <f t="shared" si="6"/>
        <v>0</v>
      </c>
      <c r="G163" s="193" t="str">
        <f>IF(IFERROR(IF(Str_TypeDonneesCpt5=Cpt_Index,Tab_Compteur_5[[#This Row],[Index]]-E162,Tab_Compteur_5[[#This Row],[Quantité]])/Tab_Compteur_5[[#This Row],[Delta Jour]],"")&lt;0,"",IFERROR(IF(Str_TypeDonneesCpt5=Cpt_Index,Tab_Compteur_5[[#This Row],[Index]]-E162,Tab_Compteur_5[[#This Row],[Quantité]])/Tab_Compteur_5[[#This Row],[Delta Jour]],""))</f>
        <v/>
      </c>
      <c r="H163" s="193" t="str">
        <f>IFERROR(Tab_Compteur_5[[#This Row],[Montant]]/Tab_Compteur_5[[#This Row],[Delta Jour]],"")</f>
        <v/>
      </c>
      <c r="I163" s="215" t="str">
        <f t="shared" si="7"/>
        <v/>
      </c>
      <c r="J163" s="216"/>
      <c r="K163" s="38"/>
      <c r="L163" s="38"/>
      <c r="M163" s="38"/>
    </row>
    <row r="164" spans="1:13">
      <c r="A164" s="3">
        <f t="shared" si="8"/>
        <v>1</v>
      </c>
      <c r="B164" s="88"/>
      <c r="C164" s="196"/>
      <c r="D164" s="195"/>
      <c r="E164" s="193"/>
      <c r="F164" s="193">
        <f t="shared" si="6"/>
        <v>0</v>
      </c>
      <c r="G164" s="193" t="str">
        <f>IF(IFERROR(IF(Str_TypeDonneesCpt5=Cpt_Index,Tab_Compteur_5[[#This Row],[Index]]-E163,Tab_Compteur_5[[#This Row],[Quantité]])/Tab_Compteur_5[[#This Row],[Delta Jour]],"")&lt;0,"",IFERROR(IF(Str_TypeDonneesCpt5=Cpt_Index,Tab_Compteur_5[[#This Row],[Index]]-E163,Tab_Compteur_5[[#This Row],[Quantité]])/Tab_Compteur_5[[#This Row],[Delta Jour]],""))</f>
        <v/>
      </c>
      <c r="H164" s="193" t="str">
        <f>IFERROR(Tab_Compteur_5[[#This Row],[Montant]]/Tab_Compteur_5[[#This Row],[Delta Jour]],"")</f>
        <v/>
      </c>
      <c r="I164" s="215" t="str">
        <f t="shared" si="7"/>
        <v/>
      </c>
      <c r="J164" s="216"/>
      <c r="K164" s="38"/>
      <c r="L164" s="38"/>
      <c r="M164" s="38"/>
    </row>
    <row r="165" spans="1:13">
      <c r="A165" s="3">
        <f t="shared" si="8"/>
        <v>1</v>
      </c>
      <c r="B165" s="88"/>
      <c r="C165" s="196"/>
      <c r="D165" s="195"/>
      <c r="E165" s="193"/>
      <c r="F165" s="193">
        <f t="shared" si="6"/>
        <v>0</v>
      </c>
      <c r="G165" s="193" t="str">
        <f>IF(IFERROR(IF(Str_TypeDonneesCpt5=Cpt_Index,Tab_Compteur_5[[#This Row],[Index]]-E164,Tab_Compteur_5[[#This Row],[Quantité]])/Tab_Compteur_5[[#This Row],[Delta Jour]],"")&lt;0,"",IFERROR(IF(Str_TypeDonneesCpt5=Cpt_Index,Tab_Compteur_5[[#This Row],[Index]]-E164,Tab_Compteur_5[[#This Row],[Quantité]])/Tab_Compteur_5[[#This Row],[Delta Jour]],""))</f>
        <v/>
      </c>
      <c r="H165" s="193" t="str">
        <f>IFERROR(Tab_Compteur_5[[#This Row],[Montant]]/Tab_Compteur_5[[#This Row],[Delta Jour]],"")</f>
        <v/>
      </c>
      <c r="I165" s="215" t="str">
        <f t="shared" si="7"/>
        <v/>
      </c>
      <c r="J165" s="216"/>
      <c r="K165" s="38"/>
      <c r="L165" s="38"/>
      <c r="M165" s="38"/>
    </row>
    <row r="166" spans="1:13">
      <c r="A166" s="3">
        <f t="shared" si="8"/>
        <v>1</v>
      </c>
      <c r="B166" s="88"/>
      <c r="C166" s="196"/>
      <c r="D166" s="195"/>
      <c r="E166" s="193"/>
      <c r="F166" s="193">
        <f t="shared" si="6"/>
        <v>0</v>
      </c>
      <c r="G166" s="193" t="str">
        <f>IF(IFERROR(IF(Str_TypeDonneesCpt5=Cpt_Index,Tab_Compteur_5[[#This Row],[Index]]-E165,Tab_Compteur_5[[#This Row],[Quantité]])/Tab_Compteur_5[[#This Row],[Delta Jour]],"")&lt;0,"",IFERROR(IF(Str_TypeDonneesCpt5=Cpt_Index,Tab_Compteur_5[[#This Row],[Index]]-E165,Tab_Compteur_5[[#This Row],[Quantité]])/Tab_Compteur_5[[#This Row],[Delta Jour]],""))</f>
        <v/>
      </c>
      <c r="H166" s="193" t="str">
        <f>IFERROR(Tab_Compteur_5[[#This Row],[Montant]]/Tab_Compteur_5[[#This Row],[Delta Jour]],"")</f>
        <v/>
      </c>
      <c r="I166" s="215" t="str">
        <f t="shared" si="7"/>
        <v/>
      </c>
      <c r="J166" s="216"/>
      <c r="K166" s="38"/>
      <c r="L166" s="38"/>
      <c r="M166" s="38"/>
    </row>
    <row r="167" spans="1:13">
      <c r="A167" s="3">
        <f t="shared" si="8"/>
        <v>1</v>
      </c>
      <c r="B167" s="88"/>
      <c r="C167" s="196"/>
      <c r="D167" s="195"/>
      <c r="E167" s="193"/>
      <c r="F167" s="193">
        <f t="shared" si="6"/>
        <v>0</v>
      </c>
      <c r="G167" s="193" t="str">
        <f>IF(IFERROR(IF(Str_TypeDonneesCpt5=Cpt_Index,Tab_Compteur_5[[#This Row],[Index]]-E166,Tab_Compteur_5[[#This Row],[Quantité]])/Tab_Compteur_5[[#This Row],[Delta Jour]],"")&lt;0,"",IFERROR(IF(Str_TypeDonneesCpt5=Cpt_Index,Tab_Compteur_5[[#This Row],[Index]]-E166,Tab_Compteur_5[[#This Row],[Quantité]])/Tab_Compteur_5[[#This Row],[Delta Jour]],""))</f>
        <v/>
      </c>
      <c r="H167" s="193" t="str">
        <f>IFERROR(Tab_Compteur_5[[#This Row],[Montant]]/Tab_Compteur_5[[#This Row],[Delta Jour]],"")</f>
        <v/>
      </c>
      <c r="I167" s="215" t="str">
        <f t="shared" si="7"/>
        <v/>
      </c>
      <c r="J167" s="216"/>
      <c r="K167" s="38"/>
      <c r="L167" s="38"/>
      <c r="M167" s="38"/>
    </row>
    <row r="168" spans="1:13">
      <c r="A168" s="3">
        <f t="shared" si="8"/>
        <v>1</v>
      </c>
      <c r="B168" s="88"/>
      <c r="C168" s="196"/>
      <c r="D168" s="195"/>
      <c r="E168" s="193"/>
      <c r="F168" s="193">
        <f t="shared" si="6"/>
        <v>0</v>
      </c>
      <c r="G168" s="193" t="str">
        <f>IF(IFERROR(IF(Str_TypeDonneesCpt5=Cpt_Index,Tab_Compteur_5[[#This Row],[Index]]-E167,Tab_Compteur_5[[#This Row],[Quantité]])/Tab_Compteur_5[[#This Row],[Delta Jour]],"")&lt;0,"",IFERROR(IF(Str_TypeDonneesCpt5=Cpt_Index,Tab_Compteur_5[[#This Row],[Index]]-E167,Tab_Compteur_5[[#This Row],[Quantité]])/Tab_Compteur_5[[#This Row],[Delta Jour]],""))</f>
        <v/>
      </c>
      <c r="H168" s="193" t="str">
        <f>IFERROR(Tab_Compteur_5[[#This Row],[Montant]]/Tab_Compteur_5[[#This Row],[Delta Jour]],"")</f>
        <v/>
      </c>
      <c r="I168" s="215" t="str">
        <f t="shared" si="7"/>
        <v/>
      </c>
      <c r="J168" s="216"/>
      <c r="K168" s="38"/>
      <c r="L168" s="38"/>
      <c r="M168" s="38"/>
    </row>
    <row r="169" spans="1:13">
      <c r="A169" s="3">
        <f t="shared" si="8"/>
        <v>1</v>
      </c>
      <c r="B169" s="88"/>
      <c r="C169" s="196"/>
      <c r="D169" s="195"/>
      <c r="E169" s="193"/>
      <c r="F169" s="193">
        <f t="shared" si="6"/>
        <v>0</v>
      </c>
      <c r="G169" s="193" t="str">
        <f>IF(IFERROR(IF(Str_TypeDonneesCpt5=Cpt_Index,Tab_Compteur_5[[#This Row],[Index]]-E168,Tab_Compteur_5[[#This Row],[Quantité]])/Tab_Compteur_5[[#This Row],[Delta Jour]],"")&lt;0,"",IFERROR(IF(Str_TypeDonneesCpt5=Cpt_Index,Tab_Compteur_5[[#This Row],[Index]]-E168,Tab_Compteur_5[[#This Row],[Quantité]])/Tab_Compteur_5[[#This Row],[Delta Jour]],""))</f>
        <v/>
      </c>
      <c r="H169" s="193" t="str">
        <f>IFERROR(Tab_Compteur_5[[#This Row],[Montant]]/Tab_Compteur_5[[#This Row],[Delta Jour]],"")</f>
        <v/>
      </c>
      <c r="I169" s="215" t="str">
        <f t="shared" si="7"/>
        <v/>
      </c>
      <c r="J169" s="216"/>
      <c r="K169" s="38"/>
      <c r="L169" s="38"/>
      <c r="M169" s="38"/>
    </row>
    <row r="170" spans="1:13">
      <c r="A170" s="3">
        <f t="shared" si="8"/>
        <v>1</v>
      </c>
      <c r="B170" s="88"/>
      <c r="C170" s="196"/>
      <c r="D170" s="195"/>
      <c r="E170" s="193"/>
      <c r="F170" s="193">
        <f t="shared" si="6"/>
        <v>0</v>
      </c>
      <c r="G170" s="193" t="str">
        <f>IF(IFERROR(IF(Str_TypeDonneesCpt5=Cpt_Index,Tab_Compteur_5[[#This Row],[Index]]-E169,Tab_Compteur_5[[#This Row],[Quantité]])/Tab_Compteur_5[[#This Row],[Delta Jour]],"")&lt;0,"",IFERROR(IF(Str_TypeDonneesCpt5=Cpt_Index,Tab_Compteur_5[[#This Row],[Index]]-E169,Tab_Compteur_5[[#This Row],[Quantité]])/Tab_Compteur_5[[#This Row],[Delta Jour]],""))</f>
        <v/>
      </c>
      <c r="H170" s="193" t="str">
        <f>IFERROR(Tab_Compteur_5[[#This Row],[Montant]]/Tab_Compteur_5[[#This Row],[Delta Jour]],"")</f>
        <v/>
      </c>
      <c r="I170" s="215" t="str">
        <f t="shared" si="7"/>
        <v/>
      </c>
      <c r="J170" s="216"/>
      <c r="K170" s="38"/>
      <c r="L170" s="38"/>
      <c r="M170" s="38"/>
    </row>
    <row r="171" spans="1:13">
      <c r="A171" s="3">
        <f t="shared" si="8"/>
        <v>1</v>
      </c>
      <c r="B171" s="88"/>
      <c r="C171" s="196"/>
      <c r="D171" s="195"/>
      <c r="E171" s="193"/>
      <c r="F171" s="193">
        <f t="shared" si="6"/>
        <v>0</v>
      </c>
      <c r="G171" s="193" t="str">
        <f>IF(IFERROR(IF(Str_TypeDonneesCpt5=Cpt_Index,Tab_Compteur_5[[#This Row],[Index]]-E170,Tab_Compteur_5[[#This Row],[Quantité]])/Tab_Compteur_5[[#This Row],[Delta Jour]],"")&lt;0,"",IFERROR(IF(Str_TypeDonneesCpt5=Cpt_Index,Tab_Compteur_5[[#This Row],[Index]]-E170,Tab_Compteur_5[[#This Row],[Quantité]])/Tab_Compteur_5[[#This Row],[Delta Jour]],""))</f>
        <v/>
      </c>
      <c r="H171" s="193" t="str">
        <f>IFERROR(Tab_Compteur_5[[#This Row],[Montant]]/Tab_Compteur_5[[#This Row],[Delta Jour]],"")</f>
        <v/>
      </c>
      <c r="I171" s="215" t="str">
        <f t="shared" si="7"/>
        <v/>
      </c>
      <c r="J171" s="216"/>
      <c r="K171" s="38"/>
      <c r="L171" s="38"/>
      <c r="M171" s="38"/>
    </row>
    <row r="172" spans="1:13">
      <c r="A172" s="3">
        <f t="shared" si="8"/>
        <v>1</v>
      </c>
      <c r="B172" s="88"/>
      <c r="C172" s="196"/>
      <c r="D172" s="195"/>
      <c r="E172" s="193"/>
      <c r="F172" s="193">
        <f t="shared" si="6"/>
        <v>0</v>
      </c>
      <c r="G172" s="193" t="str">
        <f>IF(IFERROR(IF(Str_TypeDonneesCpt5=Cpt_Index,Tab_Compteur_5[[#This Row],[Index]]-E171,Tab_Compteur_5[[#This Row],[Quantité]])/Tab_Compteur_5[[#This Row],[Delta Jour]],"")&lt;0,"",IFERROR(IF(Str_TypeDonneesCpt5=Cpt_Index,Tab_Compteur_5[[#This Row],[Index]]-E171,Tab_Compteur_5[[#This Row],[Quantité]])/Tab_Compteur_5[[#This Row],[Delta Jour]],""))</f>
        <v/>
      </c>
      <c r="H172" s="193" t="str">
        <f>IFERROR(Tab_Compteur_5[[#This Row],[Montant]]/Tab_Compteur_5[[#This Row],[Delta Jour]],"")</f>
        <v/>
      </c>
      <c r="I172" s="215" t="str">
        <f t="shared" si="7"/>
        <v/>
      </c>
      <c r="J172" s="216"/>
      <c r="K172" s="38"/>
      <c r="L172" s="38"/>
      <c r="M172" s="38"/>
    </row>
    <row r="173" spans="1:13">
      <c r="A173" s="3">
        <f t="shared" si="8"/>
        <v>1</v>
      </c>
      <c r="B173" s="88"/>
      <c r="C173" s="196"/>
      <c r="D173" s="195"/>
      <c r="E173" s="193"/>
      <c r="F173" s="193">
        <f t="shared" si="6"/>
        <v>0</v>
      </c>
      <c r="G173" s="193" t="str">
        <f>IF(IFERROR(IF(Str_TypeDonneesCpt5=Cpt_Index,Tab_Compteur_5[[#This Row],[Index]]-E172,Tab_Compteur_5[[#This Row],[Quantité]])/Tab_Compteur_5[[#This Row],[Delta Jour]],"")&lt;0,"",IFERROR(IF(Str_TypeDonneesCpt5=Cpt_Index,Tab_Compteur_5[[#This Row],[Index]]-E172,Tab_Compteur_5[[#This Row],[Quantité]])/Tab_Compteur_5[[#This Row],[Delta Jour]],""))</f>
        <v/>
      </c>
      <c r="H173" s="193" t="str">
        <f>IFERROR(Tab_Compteur_5[[#This Row],[Montant]]/Tab_Compteur_5[[#This Row],[Delta Jour]],"")</f>
        <v/>
      </c>
      <c r="I173" s="215" t="str">
        <f t="shared" si="7"/>
        <v/>
      </c>
      <c r="J173" s="216"/>
      <c r="K173" s="38"/>
      <c r="L173" s="38"/>
      <c r="M173" s="38"/>
    </row>
    <row r="174" spans="1:13">
      <c r="A174" s="3">
        <f t="shared" si="8"/>
        <v>1</v>
      </c>
      <c r="B174" s="88"/>
      <c r="C174" s="196"/>
      <c r="D174" s="195"/>
      <c r="E174" s="193"/>
      <c r="F174" s="193">
        <f t="shared" si="6"/>
        <v>0</v>
      </c>
      <c r="G174" s="193" t="str">
        <f>IF(IFERROR(IF(Str_TypeDonneesCpt5=Cpt_Index,Tab_Compteur_5[[#This Row],[Index]]-E173,Tab_Compteur_5[[#This Row],[Quantité]])/Tab_Compteur_5[[#This Row],[Delta Jour]],"")&lt;0,"",IFERROR(IF(Str_TypeDonneesCpt5=Cpt_Index,Tab_Compteur_5[[#This Row],[Index]]-E173,Tab_Compteur_5[[#This Row],[Quantité]])/Tab_Compteur_5[[#This Row],[Delta Jour]],""))</f>
        <v/>
      </c>
      <c r="H174" s="193" t="str">
        <f>IFERROR(Tab_Compteur_5[[#This Row],[Montant]]/Tab_Compteur_5[[#This Row],[Delta Jour]],"")</f>
        <v/>
      </c>
      <c r="I174" s="215" t="str">
        <f t="shared" si="7"/>
        <v/>
      </c>
      <c r="J174" s="216"/>
      <c r="K174" s="38"/>
      <c r="L174" s="38"/>
      <c r="M174" s="38"/>
    </row>
    <row r="175" spans="1:13">
      <c r="A175" s="3">
        <f t="shared" si="8"/>
        <v>1</v>
      </c>
      <c r="B175" s="88"/>
      <c r="C175" s="196"/>
      <c r="D175" s="195"/>
      <c r="E175" s="193"/>
      <c r="F175" s="193">
        <f t="shared" si="6"/>
        <v>0</v>
      </c>
      <c r="G175" s="193" t="str">
        <f>IF(IFERROR(IF(Str_TypeDonneesCpt5=Cpt_Index,Tab_Compteur_5[[#This Row],[Index]]-E174,Tab_Compteur_5[[#This Row],[Quantité]])/Tab_Compteur_5[[#This Row],[Delta Jour]],"")&lt;0,"",IFERROR(IF(Str_TypeDonneesCpt5=Cpt_Index,Tab_Compteur_5[[#This Row],[Index]]-E174,Tab_Compteur_5[[#This Row],[Quantité]])/Tab_Compteur_5[[#This Row],[Delta Jour]],""))</f>
        <v/>
      </c>
      <c r="H175" s="193" t="str">
        <f>IFERROR(Tab_Compteur_5[[#This Row],[Montant]]/Tab_Compteur_5[[#This Row],[Delta Jour]],"")</f>
        <v/>
      </c>
      <c r="I175" s="215" t="str">
        <f t="shared" si="7"/>
        <v/>
      </c>
      <c r="J175" s="216"/>
      <c r="K175" s="38"/>
      <c r="L175" s="38"/>
      <c r="M175" s="38"/>
    </row>
    <row r="176" spans="1:13">
      <c r="A176" s="3">
        <f t="shared" si="8"/>
        <v>1</v>
      </c>
      <c r="B176" s="88"/>
      <c r="C176" s="196"/>
      <c r="D176" s="195"/>
      <c r="E176" s="193"/>
      <c r="F176" s="193">
        <f t="shared" si="6"/>
        <v>0</v>
      </c>
      <c r="G176" s="193" t="str">
        <f>IF(IFERROR(IF(Str_TypeDonneesCpt5=Cpt_Index,Tab_Compteur_5[[#This Row],[Index]]-E175,Tab_Compteur_5[[#This Row],[Quantité]])/Tab_Compteur_5[[#This Row],[Delta Jour]],"")&lt;0,"",IFERROR(IF(Str_TypeDonneesCpt5=Cpt_Index,Tab_Compteur_5[[#This Row],[Index]]-E175,Tab_Compteur_5[[#This Row],[Quantité]])/Tab_Compteur_5[[#This Row],[Delta Jour]],""))</f>
        <v/>
      </c>
      <c r="H176" s="193" t="str">
        <f>IFERROR(Tab_Compteur_5[[#This Row],[Montant]]/Tab_Compteur_5[[#This Row],[Delta Jour]],"")</f>
        <v/>
      </c>
      <c r="I176" s="215" t="str">
        <f t="shared" si="7"/>
        <v/>
      </c>
      <c r="J176" s="216"/>
      <c r="K176" s="38"/>
      <c r="L176" s="38"/>
      <c r="M176" s="38"/>
    </row>
    <row r="177" spans="1:13">
      <c r="A177" s="3">
        <f t="shared" si="8"/>
        <v>1</v>
      </c>
      <c r="B177" s="88"/>
      <c r="C177" s="196"/>
      <c r="D177" s="195"/>
      <c r="E177" s="193"/>
      <c r="F177" s="193">
        <f t="shared" si="6"/>
        <v>0</v>
      </c>
      <c r="G177" s="193" t="str">
        <f>IF(IFERROR(IF(Str_TypeDonneesCpt5=Cpt_Index,Tab_Compteur_5[[#This Row],[Index]]-E176,Tab_Compteur_5[[#This Row],[Quantité]])/Tab_Compteur_5[[#This Row],[Delta Jour]],"")&lt;0,"",IFERROR(IF(Str_TypeDonneesCpt5=Cpt_Index,Tab_Compteur_5[[#This Row],[Index]]-E176,Tab_Compteur_5[[#This Row],[Quantité]])/Tab_Compteur_5[[#This Row],[Delta Jour]],""))</f>
        <v/>
      </c>
      <c r="H177" s="193" t="str">
        <f>IFERROR(Tab_Compteur_5[[#This Row],[Montant]]/Tab_Compteur_5[[#This Row],[Delta Jour]],"")</f>
        <v/>
      </c>
      <c r="I177" s="215" t="str">
        <f t="shared" si="7"/>
        <v/>
      </c>
      <c r="J177" s="216"/>
      <c r="K177" s="38"/>
      <c r="L177" s="38"/>
      <c r="M177" s="38"/>
    </row>
    <row r="178" spans="1:13">
      <c r="A178" s="3">
        <f t="shared" si="8"/>
        <v>1</v>
      </c>
      <c r="B178" s="88"/>
      <c r="C178" s="196"/>
      <c r="D178" s="195"/>
      <c r="E178" s="193"/>
      <c r="F178" s="193">
        <f t="shared" si="6"/>
        <v>0</v>
      </c>
      <c r="G178" s="193" t="str">
        <f>IF(IFERROR(IF(Str_TypeDonneesCpt5=Cpt_Index,Tab_Compteur_5[[#This Row],[Index]]-E177,Tab_Compteur_5[[#This Row],[Quantité]])/Tab_Compteur_5[[#This Row],[Delta Jour]],"")&lt;0,"",IFERROR(IF(Str_TypeDonneesCpt5=Cpt_Index,Tab_Compteur_5[[#This Row],[Index]]-E177,Tab_Compteur_5[[#This Row],[Quantité]])/Tab_Compteur_5[[#This Row],[Delta Jour]],""))</f>
        <v/>
      </c>
      <c r="H178" s="193" t="str">
        <f>IFERROR(Tab_Compteur_5[[#This Row],[Montant]]/Tab_Compteur_5[[#This Row],[Delta Jour]],"")</f>
        <v/>
      </c>
      <c r="I178" s="215" t="str">
        <f t="shared" si="7"/>
        <v/>
      </c>
      <c r="J178" s="216"/>
      <c r="K178" s="38"/>
      <c r="L178" s="38"/>
      <c r="M178" s="38"/>
    </row>
    <row r="179" spans="1:13">
      <c r="A179" s="3">
        <f t="shared" si="8"/>
        <v>1</v>
      </c>
      <c r="B179" s="88"/>
      <c r="C179" s="196"/>
      <c r="D179" s="195"/>
      <c r="E179" s="193"/>
      <c r="F179" s="193">
        <f t="shared" si="6"/>
        <v>0</v>
      </c>
      <c r="G179" s="193" t="str">
        <f>IF(IFERROR(IF(Str_TypeDonneesCpt5=Cpt_Index,Tab_Compteur_5[[#This Row],[Index]]-E178,Tab_Compteur_5[[#This Row],[Quantité]])/Tab_Compteur_5[[#This Row],[Delta Jour]],"")&lt;0,"",IFERROR(IF(Str_TypeDonneesCpt5=Cpt_Index,Tab_Compteur_5[[#This Row],[Index]]-E178,Tab_Compteur_5[[#This Row],[Quantité]])/Tab_Compteur_5[[#This Row],[Delta Jour]],""))</f>
        <v/>
      </c>
      <c r="H179" s="193" t="str">
        <f>IFERROR(Tab_Compteur_5[[#This Row],[Montant]]/Tab_Compteur_5[[#This Row],[Delta Jour]],"")</f>
        <v/>
      </c>
      <c r="I179" s="215" t="str">
        <f t="shared" si="7"/>
        <v/>
      </c>
      <c r="J179" s="216"/>
      <c r="K179" s="38"/>
      <c r="L179" s="38"/>
      <c r="M179" s="38"/>
    </row>
    <row r="180" spans="1:13">
      <c r="A180" s="3">
        <f t="shared" si="8"/>
        <v>1</v>
      </c>
      <c r="B180" s="88"/>
      <c r="C180" s="196"/>
      <c r="D180" s="195"/>
      <c r="E180" s="193"/>
      <c r="F180" s="193">
        <f t="shared" si="6"/>
        <v>0</v>
      </c>
      <c r="G180" s="193" t="str">
        <f>IF(IFERROR(IF(Str_TypeDonneesCpt5=Cpt_Index,Tab_Compteur_5[[#This Row],[Index]]-E179,Tab_Compteur_5[[#This Row],[Quantité]])/Tab_Compteur_5[[#This Row],[Delta Jour]],"")&lt;0,"",IFERROR(IF(Str_TypeDonneesCpt5=Cpt_Index,Tab_Compteur_5[[#This Row],[Index]]-E179,Tab_Compteur_5[[#This Row],[Quantité]])/Tab_Compteur_5[[#This Row],[Delta Jour]],""))</f>
        <v/>
      </c>
      <c r="H180" s="193" t="str">
        <f>IFERROR(Tab_Compteur_5[[#This Row],[Montant]]/Tab_Compteur_5[[#This Row],[Delta Jour]],"")</f>
        <v/>
      </c>
      <c r="I180" s="215" t="str">
        <f t="shared" si="7"/>
        <v/>
      </c>
      <c r="J180" s="216"/>
      <c r="K180" s="38"/>
      <c r="L180" s="38"/>
      <c r="M180" s="38"/>
    </row>
    <row r="181" spans="1:13">
      <c r="A181" s="3">
        <f t="shared" si="8"/>
        <v>1</v>
      </c>
      <c r="B181" s="88"/>
      <c r="C181" s="196"/>
      <c r="D181" s="195"/>
      <c r="E181" s="193"/>
      <c r="F181" s="193">
        <f t="shared" si="6"/>
        <v>0</v>
      </c>
      <c r="G181" s="193" t="str">
        <f>IF(IFERROR(IF(Str_TypeDonneesCpt5=Cpt_Index,Tab_Compteur_5[[#This Row],[Index]]-E180,Tab_Compteur_5[[#This Row],[Quantité]])/Tab_Compteur_5[[#This Row],[Delta Jour]],"")&lt;0,"",IFERROR(IF(Str_TypeDonneesCpt5=Cpt_Index,Tab_Compteur_5[[#This Row],[Index]]-E180,Tab_Compteur_5[[#This Row],[Quantité]])/Tab_Compteur_5[[#This Row],[Delta Jour]],""))</f>
        <v/>
      </c>
      <c r="H181" s="193" t="str">
        <f>IFERROR(Tab_Compteur_5[[#This Row],[Montant]]/Tab_Compteur_5[[#This Row],[Delta Jour]],"")</f>
        <v/>
      </c>
      <c r="I181" s="215" t="str">
        <f t="shared" si="7"/>
        <v/>
      </c>
      <c r="J181" s="216"/>
      <c r="K181" s="38"/>
      <c r="L181" s="38"/>
      <c r="M181" s="38"/>
    </row>
    <row r="182" spans="1:13">
      <c r="A182" s="3">
        <f t="shared" si="8"/>
        <v>1</v>
      </c>
      <c r="B182" s="88"/>
      <c r="C182" s="196"/>
      <c r="D182" s="195"/>
      <c r="E182" s="193"/>
      <c r="F182" s="193">
        <f t="shared" si="6"/>
        <v>0</v>
      </c>
      <c r="G182" s="193" t="str">
        <f>IF(IFERROR(IF(Str_TypeDonneesCpt5=Cpt_Index,Tab_Compteur_5[[#This Row],[Index]]-E181,Tab_Compteur_5[[#This Row],[Quantité]])/Tab_Compteur_5[[#This Row],[Delta Jour]],"")&lt;0,"",IFERROR(IF(Str_TypeDonneesCpt5=Cpt_Index,Tab_Compteur_5[[#This Row],[Index]]-E181,Tab_Compteur_5[[#This Row],[Quantité]])/Tab_Compteur_5[[#This Row],[Delta Jour]],""))</f>
        <v/>
      </c>
      <c r="H182" s="193" t="str">
        <f>IFERROR(Tab_Compteur_5[[#This Row],[Montant]]/Tab_Compteur_5[[#This Row],[Delta Jour]],"")</f>
        <v/>
      </c>
      <c r="I182" s="215" t="str">
        <f t="shared" si="7"/>
        <v/>
      </c>
      <c r="J182" s="216"/>
      <c r="K182" s="38"/>
      <c r="L182" s="38"/>
      <c r="M182" s="38"/>
    </row>
    <row r="183" spans="1:13">
      <c r="A183" s="3">
        <f t="shared" si="8"/>
        <v>1</v>
      </c>
      <c r="B183" s="88"/>
      <c r="C183" s="196"/>
      <c r="D183" s="195"/>
      <c r="E183" s="193"/>
      <c r="F183" s="193">
        <f t="shared" si="6"/>
        <v>0</v>
      </c>
      <c r="G183" s="193" t="str">
        <f>IF(IFERROR(IF(Str_TypeDonneesCpt5=Cpt_Index,Tab_Compteur_5[[#This Row],[Index]]-E182,Tab_Compteur_5[[#This Row],[Quantité]])/Tab_Compteur_5[[#This Row],[Delta Jour]],"")&lt;0,"",IFERROR(IF(Str_TypeDonneesCpt5=Cpt_Index,Tab_Compteur_5[[#This Row],[Index]]-E182,Tab_Compteur_5[[#This Row],[Quantité]])/Tab_Compteur_5[[#This Row],[Delta Jour]],""))</f>
        <v/>
      </c>
      <c r="H183" s="193" t="str">
        <f>IFERROR(Tab_Compteur_5[[#This Row],[Montant]]/Tab_Compteur_5[[#This Row],[Delta Jour]],"")</f>
        <v/>
      </c>
      <c r="I183" s="215" t="str">
        <f t="shared" si="7"/>
        <v/>
      </c>
      <c r="J183" s="216"/>
      <c r="K183" s="38"/>
      <c r="L183" s="38"/>
      <c r="M183" s="38"/>
    </row>
    <row r="184" spans="1:13">
      <c r="A184" s="3">
        <f t="shared" si="8"/>
        <v>1</v>
      </c>
      <c r="B184" s="88"/>
      <c r="C184" s="196"/>
      <c r="D184" s="195"/>
      <c r="E184" s="193"/>
      <c r="F184" s="193">
        <f t="shared" si="6"/>
        <v>0</v>
      </c>
      <c r="G184" s="193" t="str">
        <f>IF(IFERROR(IF(Str_TypeDonneesCpt5=Cpt_Index,Tab_Compteur_5[[#This Row],[Index]]-E183,Tab_Compteur_5[[#This Row],[Quantité]])/Tab_Compteur_5[[#This Row],[Delta Jour]],"")&lt;0,"",IFERROR(IF(Str_TypeDonneesCpt5=Cpt_Index,Tab_Compteur_5[[#This Row],[Index]]-E183,Tab_Compteur_5[[#This Row],[Quantité]])/Tab_Compteur_5[[#This Row],[Delta Jour]],""))</f>
        <v/>
      </c>
      <c r="H184" s="193" t="str">
        <f>IFERROR(Tab_Compteur_5[[#This Row],[Montant]]/Tab_Compteur_5[[#This Row],[Delta Jour]],"")</f>
        <v/>
      </c>
      <c r="I184" s="215" t="str">
        <f t="shared" si="7"/>
        <v/>
      </c>
      <c r="J184" s="216"/>
      <c r="K184" s="38"/>
      <c r="L184" s="38"/>
      <c r="M184" s="38"/>
    </row>
    <row r="185" spans="1:13">
      <c r="A185" s="3">
        <f t="shared" si="8"/>
        <v>1</v>
      </c>
      <c r="B185" s="88"/>
      <c r="C185" s="196"/>
      <c r="D185" s="195"/>
      <c r="E185" s="193"/>
      <c r="F185" s="193">
        <f t="shared" si="6"/>
        <v>0</v>
      </c>
      <c r="G185" s="193" t="str">
        <f>IF(IFERROR(IF(Str_TypeDonneesCpt5=Cpt_Index,Tab_Compteur_5[[#This Row],[Index]]-E184,Tab_Compteur_5[[#This Row],[Quantité]])/Tab_Compteur_5[[#This Row],[Delta Jour]],"")&lt;0,"",IFERROR(IF(Str_TypeDonneesCpt5=Cpt_Index,Tab_Compteur_5[[#This Row],[Index]]-E184,Tab_Compteur_5[[#This Row],[Quantité]])/Tab_Compteur_5[[#This Row],[Delta Jour]],""))</f>
        <v/>
      </c>
      <c r="H185" s="193" t="str">
        <f>IFERROR(Tab_Compteur_5[[#This Row],[Montant]]/Tab_Compteur_5[[#This Row],[Delta Jour]],"")</f>
        <v/>
      </c>
      <c r="I185" s="215" t="str">
        <f t="shared" si="7"/>
        <v/>
      </c>
      <c r="J185" s="216"/>
      <c r="K185" s="38"/>
      <c r="L185" s="38"/>
      <c r="M185" s="38"/>
    </row>
    <row r="186" spans="1:13">
      <c r="A186" s="3">
        <f t="shared" si="8"/>
        <v>1</v>
      </c>
      <c r="B186" s="88"/>
      <c r="C186" s="196"/>
      <c r="D186" s="195"/>
      <c r="E186" s="193"/>
      <c r="F186" s="193">
        <f t="shared" si="6"/>
        <v>0</v>
      </c>
      <c r="G186" s="193" t="str">
        <f>IF(IFERROR(IF(Str_TypeDonneesCpt5=Cpt_Index,Tab_Compteur_5[[#This Row],[Index]]-E185,Tab_Compteur_5[[#This Row],[Quantité]])/Tab_Compteur_5[[#This Row],[Delta Jour]],"")&lt;0,"",IFERROR(IF(Str_TypeDonneesCpt5=Cpt_Index,Tab_Compteur_5[[#This Row],[Index]]-E185,Tab_Compteur_5[[#This Row],[Quantité]])/Tab_Compteur_5[[#This Row],[Delta Jour]],""))</f>
        <v/>
      </c>
      <c r="H186" s="193" t="str">
        <f>IFERROR(Tab_Compteur_5[[#This Row],[Montant]]/Tab_Compteur_5[[#This Row],[Delta Jour]],"")</f>
        <v/>
      </c>
      <c r="I186" s="215" t="str">
        <f t="shared" si="7"/>
        <v/>
      </c>
      <c r="J186" s="216"/>
      <c r="K186" s="38"/>
      <c r="L186" s="38"/>
      <c r="M186" s="38"/>
    </row>
    <row r="187" spans="1:13">
      <c r="A187" s="3">
        <f t="shared" si="8"/>
        <v>1</v>
      </c>
      <c r="B187" s="88"/>
      <c r="C187" s="196"/>
      <c r="D187" s="195"/>
      <c r="E187" s="193"/>
      <c r="F187" s="193">
        <f t="shared" si="6"/>
        <v>0</v>
      </c>
      <c r="G187" s="193" t="str">
        <f>IF(IFERROR(IF(Str_TypeDonneesCpt5=Cpt_Index,Tab_Compteur_5[[#This Row],[Index]]-E186,Tab_Compteur_5[[#This Row],[Quantité]])/Tab_Compteur_5[[#This Row],[Delta Jour]],"")&lt;0,"",IFERROR(IF(Str_TypeDonneesCpt5=Cpt_Index,Tab_Compteur_5[[#This Row],[Index]]-E186,Tab_Compteur_5[[#This Row],[Quantité]])/Tab_Compteur_5[[#This Row],[Delta Jour]],""))</f>
        <v/>
      </c>
      <c r="H187" s="193" t="str">
        <f>IFERROR(Tab_Compteur_5[[#This Row],[Montant]]/Tab_Compteur_5[[#This Row],[Delta Jour]],"")</f>
        <v/>
      </c>
      <c r="I187" s="215" t="str">
        <f t="shared" si="7"/>
        <v/>
      </c>
      <c r="J187" s="216"/>
      <c r="K187" s="38"/>
      <c r="L187" s="38"/>
      <c r="M187" s="38"/>
    </row>
    <row r="188" spans="1:13">
      <c r="A188" s="3">
        <f t="shared" si="8"/>
        <v>1</v>
      </c>
      <c r="B188" s="88"/>
      <c r="C188" s="196"/>
      <c r="D188" s="195"/>
      <c r="E188" s="193"/>
      <c r="F188" s="193">
        <f t="shared" si="6"/>
        <v>0</v>
      </c>
      <c r="G188" s="193" t="str">
        <f>IF(IFERROR(IF(Str_TypeDonneesCpt5=Cpt_Index,Tab_Compteur_5[[#This Row],[Index]]-E187,Tab_Compteur_5[[#This Row],[Quantité]])/Tab_Compteur_5[[#This Row],[Delta Jour]],"")&lt;0,"",IFERROR(IF(Str_TypeDonneesCpt5=Cpt_Index,Tab_Compteur_5[[#This Row],[Index]]-E187,Tab_Compteur_5[[#This Row],[Quantité]])/Tab_Compteur_5[[#This Row],[Delta Jour]],""))</f>
        <v/>
      </c>
      <c r="H188" s="193" t="str">
        <f>IFERROR(Tab_Compteur_5[[#This Row],[Montant]]/Tab_Compteur_5[[#This Row],[Delta Jour]],"")</f>
        <v/>
      </c>
      <c r="I188" s="215" t="str">
        <f t="shared" si="7"/>
        <v/>
      </c>
      <c r="J188" s="216"/>
      <c r="K188" s="38"/>
      <c r="L188" s="38"/>
      <c r="M188" s="38"/>
    </row>
    <row r="189" spans="1:13">
      <c r="A189" s="3">
        <f t="shared" si="8"/>
        <v>1</v>
      </c>
      <c r="B189" s="88"/>
      <c r="C189" s="196"/>
      <c r="D189" s="195"/>
      <c r="E189" s="193"/>
      <c r="F189" s="193">
        <f t="shared" si="6"/>
        <v>0</v>
      </c>
      <c r="G189" s="193" t="str">
        <f>IF(IFERROR(IF(Str_TypeDonneesCpt5=Cpt_Index,Tab_Compteur_5[[#This Row],[Index]]-E188,Tab_Compteur_5[[#This Row],[Quantité]])/Tab_Compteur_5[[#This Row],[Delta Jour]],"")&lt;0,"",IFERROR(IF(Str_TypeDonneesCpt5=Cpt_Index,Tab_Compteur_5[[#This Row],[Index]]-E188,Tab_Compteur_5[[#This Row],[Quantité]])/Tab_Compteur_5[[#This Row],[Delta Jour]],""))</f>
        <v/>
      </c>
      <c r="H189" s="193" t="str">
        <f>IFERROR(Tab_Compteur_5[[#This Row],[Montant]]/Tab_Compteur_5[[#This Row],[Delta Jour]],"")</f>
        <v/>
      </c>
      <c r="I189" s="215" t="str">
        <f t="shared" si="7"/>
        <v/>
      </c>
      <c r="J189" s="216"/>
      <c r="K189" s="38"/>
      <c r="L189" s="38"/>
      <c r="M189" s="38"/>
    </row>
    <row r="190" spans="1:13">
      <c r="A190" s="3">
        <f t="shared" si="8"/>
        <v>1</v>
      </c>
      <c r="B190" s="88"/>
      <c r="C190" s="196"/>
      <c r="D190" s="195"/>
      <c r="E190" s="193"/>
      <c r="F190" s="193">
        <f t="shared" si="6"/>
        <v>0</v>
      </c>
      <c r="G190" s="193" t="str">
        <f>IF(IFERROR(IF(Str_TypeDonneesCpt5=Cpt_Index,Tab_Compteur_5[[#This Row],[Index]]-E189,Tab_Compteur_5[[#This Row],[Quantité]])/Tab_Compteur_5[[#This Row],[Delta Jour]],"")&lt;0,"",IFERROR(IF(Str_TypeDonneesCpt5=Cpt_Index,Tab_Compteur_5[[#This Row],[Index]]-E189,Tab_Compteur_5[[#This Row],[Quantité]])/Tab_Compteur_5[[#This Row],[Delta Jour]],""))</f>
        <v/>
      </c>
      <c r="H190" s="193" t="str">
        <f>IFERROR(Tab_Compteur_5[[#This Row],[Montant]]/Tab_Compteur_5[[#This Row],[Delta Jour]],"")</f>
        <v/>
      </c>
      <c r="I190" s="215" t="str">
        <f t="shared" si="7"/>
        <v/>
      </c>
      <c r="J190" s="216"/>
      <c r="K190" s="38"/>
      <c r="L190" s="38"/>
      <c r="M190" s="38"/>
    </row>
    <row r="191" spans="1:13">
      <c r="A191" s="3">
        <f t="shared" si="8"/>
        <v>1</v>
      </c>
      <c r="B191" s="88"/>
      <c r="C191" s="196"/>
      <c r="D191" s="195"/>
      <c r="E191" s="193"/>
      <c r="F191" s="193">
        <f t="shared" si="6"/>
        <v>0</v>
      </c>
      <c r="G191" s="193" t="str">
        <f>IF(IFERROR(IF(Str_TypeDonneesCpt5=Cpt_Index,Tab_Compteur_5[[#This Row],[Index]]-E190,Tab_Compteur_5[[#This Row],[Quantité]])/Tab_Compteur_5[[#This Row],[Delta Jour]],"")&lt;0,"",IFERROR(IF(Str_TypeDonneesCpt5=Cpt_Index,Tab_Compteur_5[[#This Row],[Index]]-E190,Tab_Compteur_5[[#This Row],[Quantité]])/Tab_Compteur_5[[#This Row],[Delta Jour]],""))</f>
        <v/>
      </c>
      <c r="H191" s="193" t="str">
        <f>IFERROR(Tab_Compteur_5[[#This Row],[Montant]]/Tab_Compteur_5[[#This Row],[Delta Jour]],"")</f>
        <v/>
      </c>
      <c r="I191" s="215" t="str">
        <f t="shared" si="7"/>
        <v/>
      </c>
      <c r="J191" s="216"/>
      <c r="K191" s="38"/>
      <c r="L191" s="38"/>
      <c r="M191" s="38"/>
    </row>
    <row r="192" spans="1:13">
      <c r="A192" s="3">
        <f t="shared" si="8"/>
        <v>1</v>
      </c>
      <c r="B192" s="88"/>
      <c r="C192" s="196"/>
      <c r="D192" s="195"/>
      <c r="E192" s="193"/>
      <c r="F192" s="193">
        <f t="shared" si="6"/>
        <v>0</v>
      </c>
      <c r="G192" s="193" t="str">
        <f>IF(IFERROR(IF(Str_TypeDonneesCpt5=Cpt_Index,Tab_Compteur_5[[#This Row],[Index]]-E191,Tab_Compteur_5[[#This Row],[Quantité]])/Tab_Compteur_5[[#This Row],[Delta Jour]],"")&lt;0,"",IFERROR(IF(Str_TypeDonneesCpt5=Cpt_Index,Tab_Compteur_5[[#This Row],[Index]]-E191,Tab_Compteur_5[[#This Row],[Quantité]])/Tab_Compteur_5[[#This Row],[Delta Jour]],""))</f>
        <v/>
      </c>
      <c r="H192" s="193" t="str">
        <f>IFERROR(Tab_Compteur_5[[#This Row],[Montant]]/Tab_Compteur_5[[#This Row],[Delta Jour]],"")</f>
        <v/>
      </c>
      <c r="I192" s="215" t="str">
        <f t="shared" si="7"/>
        <v/>
      </c>
      <c r="J192" s="216"/>
      <c r="K192" s="38"/>
      <c r="L192" s="38"/>
      <c r="M192" s="38"/>
    </row>
    <row r="193" spans="1:13">
      <c r="A193" s="3">
        <f t="shared" si="8"/>
        <v>1</v>
      </c>
      <c r="B193" s="88"/>
      <c r="C193" s="196"/>
      <c r="D193" s="195"/>
      <c r="E193" s="193"/>
      <c r="F193" s="193">
        <f t="shared" si="6"/>
        <v>0</v>
      </c>
      <c r="G193" s="193" t="str">
        <f>IF(IFERROR(IF(Str_TypeDonneesCpt5=Cpt_Index,Tab_Compteur_5[[#This Row],[Index]]-E192,Tab_Compteur_5[[#This Row],[Quantité]])/Tab_Compteur_5[[#This Row],[Delta Jour]],"")&lt;0,"",IFERROR(IF(Str_TypeDonneesCpt5=Cpt_Index,Tab_Compteur_5[[#This Row],[Index]]-E192,Tab_Compteur_5[[#This Row],[Quantité]])/Tab_Compteur_5[[#This Row],[Delta Jour]],""))</f>
        <v/>
      </c>
      <c r="H193" s="193" t="str">
        <f>IFERROR(Tab_Compteur_5[[#This Row],[Montant]]/Tab_Compteur_5[[#This Row],[Delta Jour]],"")</f>
        <v/>
      </c>
      <c r="I193" s="215" t="str">
        <f t="shared" si="7"/>
        <v/>
      </c>
      <c r="J193" s="216"/>
      <c r="K193" s="38"/>
      <c r="L193" s="38"/>
      <c r="M193" s="38"/>
    </row>
    <row r="194" spans="1:13">
      <c r="A194" s="3">
        <f t="shared" si="8"/>
        <v>1</v>
      </c>
      <c r="B194" s="88"/>
      <c r="C194" s="196"/>
      <c r="D194" s="195"/>
      <c r="E194" s="193"/>
      <c r="F194" s="193">
        <f t="shared" si="6"/>
        <v>0</v>
      </c>
      <c r="G194" s="193" t="str">
        <f>IF(IFERROR(IF(Str_TypeDonneesCpt5=Cpt_Index,Tab_Compteur_5[[#This Row],[Index]]-E193,Tab_Compteur_5[[#This Row],[Quantité]])/Tab_Compteur_5[[#This Row],[Delta Jour]],"")&lt;0,"",IFERROR(IF(Str_TypeDonneesCpt5=Cpt_Index,Tab_Compteur_5[[#This Row],[Index]]-E193,Tab_Compteur_5[[#This Row],[Quantité]])/Tab_Compteur_5[[#This Row],[Delta Jour]],""))</f>
        <v/>
      </c>
      <c r="H194" s="193" t="str">
        <f>IFERROR(Tab_Compteur_5[[#This Row],[Montant]]/Tab_Compteur_5[[#This Row],[Delta Jour]],"")</f>
        <v/>
      </c>
      <c r="I194" s="215" t="str">
        <f t="shared" si="7"/>
        <v/>
      </c>
      <c r="J194" s="216"/>
      <c r="K194" s="38"/>
      <c r="L194" s="38"/>
      <c r="M194" s="38"/>
    </row>
    <row r="195" spans="1:13">
      <c r="A195" s="3">
        <f t="shared" si="8"/>
        <v>1</v>
      </c>
      <c r="B195" s="88"/>
      <c r="C195" s="196"/>
      <c r="D195" s="195"/>
      <c r="E195" s="193"/>
      <c r="F195" s="193">
        <f t="shared" ref="F195:F243" si="9">IFERROR(B195-A195+1,"")</f>
        <v>0</v>
      </c>
      <c r="G195" s="193" t="str">
        <f>IF(IFERROR(IF(Str_TypeDonneesCpt5=Cpt_Index,Tab_Compteur_5[[#This Row],[Index]]-E194,Tab_Compteur_5[[#This Row],[Quantité]])/Tab_Compteur_5[[#This Row],[Delta Jour]],"")&lt;0,"",IFERROR(IF(Str_TypeDonneesCpt5=Cpt_Index,Tab_Compteur_5[[#This Row],[Index]]-E194,Tab_Compteur_5[[#This Row],[Quantité]])/Tab_Compteur_5[[#This Row],[Delta Jour]],""))</f>
        <v/>
      </c>
      <c r="H195" s="193" t="str">
        <f>IFERROR(Tab_Compteur_5[[#This Row],[Montant]]/Tab_Compteur_5[[#This Row],[Delta Jour]],"")</f>
        <v/>
      </c>
      <c r="I195" s="215" t="str">
        <f t="shared" ref="I195:I243" si="10">G195</f>
        <v/>
      </c>
      <c r="J195" s="216"/>
      <c r="K195" s="38"/>
      <c r="L195" s="38"/>
      <c r="M195" s="38"/>
    </row>
    <row r="196" spans="1:13">
      <c r="A196" s="3">
        <f t="shared" si="8"/>
        <v>1</v>
      </c>
      <c r="B196" s="88"/>
      <c r="C196" s="196"/>
      <c r="D196" s="195"/>
      <c r="E196" s="193"/>
      <c r="F196" s="193">
        <f t="shared" si="9"/>
        <v>0</v>
      </c>
      <c r="G196" s="193" t="str">
        <f>IF(IFERROR(IF(Str_TypeDonneesCpt5=Cpt_Index,Tab_Compteur_5[[#This Row],[Index]]-E195,Tab_Compteur_5[[#This Row],[Quantité]])/Tab_Compteur_5[[#This Row],[Delta Jour]],"")&lt;0,"",IFERROR(IF(Str_TypeDonneesCpt5=Cpt_Index,Tab_Compteur_5[[#This Row],[Index]]-E195,Tab_Compteur_5[[#This Row],[Quantité]])/Tab_Compteur_5[[#This Row],[Delta Jour]],""))</f>
        <v/>
      </c>
      <c r="H196" s="193" t="str">
        <f>IFERROR(Tab_Compteur_5[[#This Row],[Montant]]/Tab_Compteur_5[[#This Row],[Delta Jour]],"")</f>
        <v/>
      </c>
      <c r="I196" s="215" t="str">
        <f t="shared" si="10"/>
        <v/>
      </c>
      <c r="J196" s="216"/>
      <c r="K196" s="38"/>
      <c r="L196" s="38"/>
      <c r="M196" s="38"/>
    </row>
    <row r="197" spans="1:13">
      <c r="A197" s="3">
        <f t="shared" si="8"/>
        <v>1</v>
      </c>
      <c r="B197" s="88"/>
      <c r="C197" s="196"/>
      <c r="D197" s="195"/>
      <c r="E197" s="193"/>
      <c r="F197" s="193">
        <f t="shared" si="9"/>
        <v>0</v>
      </c>
      <c r="G197" s="193" t="str">
        <f>IF(IFERROR(IF(Str_TypeDonneesCpt5=Cpt_Index,Tab_Compteur_5[[#This Row],[Index]]-E196,Tab_Compteur_5[[#This Row],[Quantité]])/Tab_Compteur_5[[#This Row],[Delta Jour]],"")&lt;0,"",IFERROR(IF(Str_TypeDonneesCpt5=Cpt_Index,Tab_Compteur_5[[#This Row],[Index]]-E196,Tab_Compteur_5[[#This Row],[Quantité]])/Tab_Compteur_5[[#This Row],[Delta Jour]],""))</f>
        <v/>
      </c>
      <c r="H197" s="193" t="str">
        <f>IFERROR(Tab_Compteur_5[[#This Row],[Montant]]/Tab_Compteur_5[[#This Row],[Delta Jour]],"")</f>
        <v/>
      </c>
      <c r="I197" s="215" t="str">
        <f t="shared" si="10"/>
        <v/>
      </c>
      <c r="J197" s="216"/>
      <c r="K197" s="38"/>
      <c r="L197" s="38"/>
      <c r="M197" s="38"/>
    </row>
    <row r="198" spans="1:13">
      <c r="A198" s="3">
        <f t="shared" ref="A198:A243" si="11">IFERROR(B197+1,0)</f>
        <v>1</v>
      </c>
      <c r="B198" s="88"/>
      <c r="C198" s="196"/>
      <c r="D198" s="195"/>
      <c r="E198" s="193"/>
      <c r="F198" s="193">
        <f t="shared" si="9"/>
        <v>0</v>
      </c>
      <c r="G198" s="193" t="str">
        <f>IF(IFERROR(IF(Str_TypeDonneesCpt5=Cpt_Index,Tab_Compteur_5[[#This Row],[Index]]-E197,Tab_Compteur_5[[#This Row],[Quantité]])/Tab_Compteur_5[[#This Row],[Delta Jour]],"")&lt;0,"",IFERROR(IF(Str_TypeDonneesCpt5=Cpt_Index,Tab_Compteur_5[[#This Row],[Index]]-E197,Tab_Compteur_5[[#This Row],[Quantité]])/Tab_Compteur_5[[#This Row],[Delta Jour]],""))</f>
        <v/>
      </c>
      <c r="H198" s="193" t="str">
        <f>IFERROR(Tab_Compteur_5[[#This Row],[Montant]]/Tab_Compteur_5[[#This Row],[Delta Jour]],"")</f>
        <v/>
      </c>
      <c r="I198" s="215" t="str">
        <f t="shared" si="10"/>
        <v/>
      </c>
      <c r="J198" s="216"/>
      <c r="K198" s="38"/>
      <c r="L198" s="38"/>
      <c r="M198" s="38"/>
    </row>
    <row r="199" spans="1:13">
      <c r="A199" s="3">
        <f t="shared" si="11"/>
        <v>1</v>
      </c>
      <c r="B199" s="88"/>
      <c r="C199" s="196"/>
      <c r="D199" s="195"/>
      <c r="E199" s="193"/>
      <c r="F199" s="193">
        <f t="shared" si="9"/>
        <v>0</v>
      </c>
      <c r="G199" s="193" t="str">
        <f>IF(IFERROR(IF(Str_TypeDonneesCpt5=Cpt_Index,Tab_Compteur_5[[#This Row],[Index]]-E198,Tab_Compteur_5[[#This Row],[Quantité]])/Tab_Compteur_5[[#This Row],[Delta Jour]],"")&lt;0,"",IFERROR(IF(Str_TypeDonneesCpt5=Cpt_Index,Tab_Compteur_5[[#This Row],[Index]]-E198,Tab_Compteur_5[[#This Row],[Quantité]])/Tab_Compteur_5[[#This Row],[Delta Jour]],""))</f>
        <v/>
      </c>
      <c r="H199" s="193" t="str">
        <f>IFERROR(Tab_Compteur_5[[#This Row],[Montant]]/Tab_Compteur_5[[#This Row],[Delta Jour]],"")</f>
        <v/>
      </c>
      <c r="I199" s="215" t="str">
        <f t="shared" si="10"/>
        <v/>
      </c>
      <c r="J199" s="216"/>
      <c r="K199" s="38"/>
      <c r="L199" s="38"/>
      <c r="M199" s="38"/>
    </row>
    <row r="200" spans="1:13">
      <c r="A200" s="3">
        <f t="shared" si="11"/>
        <v>1</v>
      </c>
      <c r="B200" s="88"/>
      <c r="C200" s="196"/>
      <c r="D200" s="195"/>
      <c r="E200" s="193"/>
      <c r="F200" s="193">
        <f t="shared" si="9"/>
        <v>0</v>
      </c>
      <c r="G200" s="193" t="str">
        <f>IF(IFERROR(IF(Str_TypeDonneesCpt5=Cpt_Index,Tab_Compteur_5[[#This Row],[Index]]-E199,Tab_Compteur_5[[#This Row],[Quantité]])/Tab_Compteur_5[[#This Row],[Delta Jour]],"")&lt;0,"",IFERROR(IF(Str_TypeDonneesCpt5=Cpt_Index,Tab_Compteur_5[[#This Row],[Index]]-E199,Tab_Compteur_5[[#This Row],[Quantité]])/Tab_Compteur_5[[#This Row],[Delta Jour]],""))</f>
        <v/>
      </c>
      <c r="H200" s="193" t="str">
        <f>IFERROR(Tab_Compteur_5[[#This Row],[Montant]]/Tab_Compteur_5[[#This Row],[Delta Jour]],"")</f>
        <v/>
      </c>
      <c r="I200" s="215" t="str">
        <f t="shared" si="10"/>
        <v/>
      </c>
      <c r="J200" s="216"/>
      <c r="K200" s="38"/>
      <c r="L200" s="38"/>
      <c r="M200" s="38"/>
    </row>
    <row r="201" spans="1:13">
      <c r="A201" s="3">
        <f t="shared" si="11"/>
        <v>1</v>
      </c>
      <c r="B201" s="88"/>
      <c r="C201" s="196"/>
      <c r="D201" s="195"/>
      <c r="E201" s="193"/>
      <c r="F201" s="193">
        <f t="shared" si="9"/>
        <v>0</v>
      </c>
      <c r="G201" s="193" t="str">
        <f>IF(IFERROR(IF(Str_TypeDonneesCpt5=Cpt_Index,Tab_Compteur_5[[#This Row],[Index]]-E200,Tab_Compteur_5[[#This Row],[Quantité]])/Tab_Compteur_5[[#This Row],[Delta Jour]],"")&lt;0,"",IFERROR(IF(Str_TypeDonneesCpt5=Cpt_Index,Tab_Compteur_5[[#This Row],[Index]]-E200,Tab_Compteur_5[[#This Row],[Quantité]])/Tab_Compteur_5[[#This Row],[Delta Jour]],""))</f>
        <v/>
      </c>
      <c r="H201" s="193" t="str">
        <f>IFERROR(Tab_Compteur_5[[#This Row],[Montant]]/Tab_Compteur_5[[#This Row],[Delta Jour]],"")</f>
        <v/>
      </c>
      <c r="I201" s="215" t="str">
        <f t="shared" si="10"/>
        <v/>
      </c>
      <c r="J201" s="216"/>
      <c r="K201" s="38"/>
      <c r="L201" s="38"/>
      <c r="M201" s="38"/>
    </row>
    <row r="202" spans="1:13">
      <c r="A202" s="3">
        <f t="shared" si="11"/>
        <v>1</v>
      </c>
      <c r="B202" s="88"/>
      <c r="C202" s="196"/>
      <c r="D202" s="195"/>
      <c r="E202" s="193"/>
      <c r="F202" s="193">
        <f t="shared" si="9"/>
        <v>0</v>
      </c>
      <c r="G202" s="193" t="str">
        <f>IF(IFERROR(IF(Str_TypeDonneesCpt5=Cpt_Index,Tab_Compteur_5[[#This Row],[Index]]-E201,Tab_Compteur_5[[#This Row],[Quantité]])/Tab_Compteur_5[[#This Row],[Delta Jour]],"")&lt;0,"",IFERROR(IF(Str_TypeDonneesCpt5=Cpt_Index,Tab_Compteur_5[[#This Row],[Index]]-E201,Tab_Compteur_5[[#This Row],[Quantité]])/Tab_Compteur_5[[#This Row],[Delta Jour]],""))</f>
        <v/>
      </c>
      <c r="H202" s="193" t="str">
        <f>IFERROR(Tab_Compteur_5[[#This Row],[Montant]]/Tab_Compteur_5[[#This Row],[Delta Jour]],"")</f>
        <v/>
      </c>
      <c r="I202" s="215" t="str">
        <f t="shared" si="10"/>
        <v/>
      </c>
      <c r="J202" s="216"/>
      <c r="K202" s="38"/>
      <c r="L202" s="38"/>
      <c r="M202" s="38"/>
    </row>
    <row r="203" spans="1:13">
      <c r="A203" s="3">
        <f t="shared" si="11"/>
        <v>1</v>
      </c>
      <c r="B203" s="88"/>
      <c r="C203" s="196"/>
      <c r="D203" s="195"/>
      <c r="E203" s="193"/>
      <c r="F203" s="193">
        <f t="shared" si="9"/>
        <v>0</v>
      </c>
      <c r="G203" s="193" t="str">
        <f>IF(IFERROR(IF(Str_TypeDonneesCpt5=Cpt_Index,Tab_Compteur_5[[#This Row],[Index]]-E202,Tab_Compteur_5[[#This Row],[Quantité]])/Tab_Compteur_5[[#This Row],[Delta Jour]],"")&lt;0,"",IFERROR(IF(Str_TypeDonneesCpt5=Cpt_Index,Tab_Compteur_5[[#This Row],[Index]]-E202,Tab_Compteur_5[[#This Row],[Quantité]])/Tab_Compteur_5[[#This Row],[Delta Jour]],""))</f>
        <v/>
      </c>
      <c r="H203" s="193" t="str">
        <f>IFERROR(Tab_Compteur_5[[#This Row],[Montant]]/Tab_Compteur_5[[#This Row],[Delta Jour]],"")</f>
        <v/>
      </c>
      <c r="I203" s="215" t="str">
        <f t="shared" si="10"/>
        <v/>
      </c>
      <c r="J203" s="216"/>
      <c r="K203" s="38"/>
      <c r="L203" s="38"/>
      <c r="M203" s="38"/>
    </row>
    <row r="204" spans="1:13">
      <c r="A204" s="3">
        <f t="shared" si="11"/>
        <v>1</v>
      </c>
      <c r="B204" s="88"/>
      <c r="C204" s="196"/>
      <c r="D204" s="195"/>
      <c r="E204" s="193"/>
      <c r="F204" s="193">
        <f t="shared" si="9"/>
        <v>0</v>
      </c>
      <c r="G204" s="193" t="str">
        <f>IF(IFERROR(IF(Str_TypeDonneesCpt5=Cpt_Index,Tab_Compteur_5[[#This Row],[Index]]-E203,Tab_Compteur_5[[#This Row],[Quantité]])/Tab_Compteur_5[[#This Row],[Delta Jour]],"")&lt;0,"",IFERROR(IF(Str_TypeDonneesCpt5=Cpt_Index,Tab_Compteur_5[[#This Row],[Index]]-E203,Tab_Compteur_5[[#This Row],[Quantité]])/Tab_Compteur_5[[#This Row],[Delta Jour]],""))</f>
        <v/>
      </c>
      <c r="H204" s="193" t="str">
        <f>IFERROR(Tab_Compteur_5[[#This Row],[Montant]]/Tab_Compteur_5[[#This Row],[Delta Jour]],"")</f>
        <v/>
      </c>
      <c r="I204" s="215" t="str">
        <f t="shared" si="10"/>
        <v/>
      </c>
      <c r="J204" s="216"/>
      <c r="K204" s="38"/>
      <c r="L204" s="38"/>
      <c r="M204" s="38"/>
    </row>
    <row r="205" spans="1:13">
      <c r="A205" s="3">
        <f t="shared" si="11"/>
        <v>1</v>
      </c>
      <c r="B205" s="88"/>
      <c r="C205" s="196"/>
      <c r="D205" s="195"/>
      <c r="E205" s="193"/>
      <c r="F205" s="193">
        <f t="shared" si="9"/>
        <v>0</v>
      </c>
      <c r="G205" s="193" t="str">
        <f>IF(IFERROR(IF(Str_TypeDonneesCpt5=Cpt_Index,Tab_Compteur_5[[#This Row],[Index]]-E204,Tab_Compteur_5[[#This Row],[Quantité]])/Tab_Compteur_5[[#This Row],[Delta Jour]],"")&lt;0,"",IFERROR(IF(Str_TypeDonneesCpt5=Cpt_Index,Tab_Compteur_5[[#This Row],[Index]]-E204,Tab_Compteur_5[[#This Row],[Quantité]])/Tab_Compteur_5[[#This Row],[Delta Jour]],""))</f>
        <v/>
      </c>
      <c r="H205" s="193" t="str">
        <f>IFERROR(Tab_Compteur_5[[#This Row],[Montant]]/Tab_Compteur_5[[#This Row],[Delta Jour]],"")</f>
        <v/>
      </c>
      <c r="I205" s="215" t="str">
        <f t="shared" si="10"/>
        <v/>
      </c>
      <c r="J205" s="216"/>
      <c r="K205" s="38"/>
      <c r="L205" s="38"/>
      <c r="M205" s="38"/>
    </row>
    <row r="206" spans="1:13">
      <c r="A206" s="3">
        <f t="shared" si="11"/>
        <v>1</v>
      </c>
      <c r="B206" s="88"/>
      <c r="C206" s="196"/>
      <c r="D206" s="195"/>
      <c r="E206" s="193"/>
      <c r="F206" s="193">
        <f t="shared" si="9"/>
        <v>0</v>
      </c>
      <c r="G206" s="193" t="str">
        <f>IF(IFERROR(IF(Str_TypeDonneesCpt5=Cpt_Index,Tab_Compteur_5[[#This Row],[Index]]-E205,Tab_Compteur_5[[#This Row],[Quantité]])/Tab_Compteur_5[[#This Row],[Delta Jour]],"")&lt;0,"",IFERROR(IF(Str_TypeDonneesCpt5=Cpt_Index,Tab_Compteur_5[[#This Row],[Index]]-E205,Tab_Compteur_5[[#This Row],[Quantité]])/Tab_Compteur_5[[#This Row],[Delta Jour]],""))</f>
        <v/>
      </c>
      <c r="H206" s="193" t="str">
        <f>IFERROR(Tab_Compteur_5[[#This Row],[Montant]]/Tab_Compteur_5[[#This Row],[Delta Jour]],"")</f>
        <v/>
      </c>
      <c r="I206" s="215" t="str">
        <f t="shared" si="10"/>
        <v/>
      </c>
      <c r="J206" s="216"/>
      <c r="K206" s="38"/>
      <c r="L206" s="38"/>
      <c r="M206" s="38"/>
    </row>
    <row r="207" spans="1:13">
      <c r="A207" s="3">
        <f t="shared" si="11"/>
        <v>1</v>
      </c>
      <c r="B207" s="88"/>
      <c r="C207" s="196"/>
      <c r="D207" s="195"/>
      <c r="E207" s="193"/>
      <c r="F207" s="193">
        <f t="shared" si="9"/>
        <v>0</v>
      </c>
      <c r="G207" s="193" t="str">
        <f>IF(IFERROR(IF(Str_TypeDonneesCpt5=Cpt_Index,Tab_Compteur_5[[#This Row],[Index]]-E206,Tab_Compteur_5[[#This Row],[Quantité]])/Tab_Compteur_5[[#This Row],[Delta Jour]],"")&lt;0,"",IFERROR(IF(Str_TypeDonneesCpt5=Cpt_Index,Tab_Compteur_5[[#This Row],[Index]]-E206,Tab_Compteur_5[[#This Row],[Quantité]])/Tab_Compteur_5[[#This Row],[Delta Jour]],""))</f>
        <v/>
      </c>
      <c r="H207" s="193" t="str">
        <f>IFERROR(Tab_Compteur_5[[#This Row],[Montant]]/Tab_Compteur_5[[#This Row],[Delta Jour]],"")</f>
        <v/>
      </c>
      <c r="I207" s="215" t="str">
        <f t="shared" si="10"/>
        <v/>
      </c>
      <c r="J207" s="216"/>
      <c r="K207" s="38"/>
      <c r="L207" s="38"/>
      <c r="M207" s="38"/>
    </row>
    <row r="208" spans="1:13">
      <c r="A208" s="3">
        <f t="shared" si="11"/>
        <v>1</v>
      </c>
      <c r="B208" s="88"/>
      <c r="C208" s="196"/>
      <c r="D208" s="195"/>
      <c r="E208" s="193"/>
      <c r="F208" s="193">
        <f t="shared" si="9"/>
        <v>0</v>
      </c>
      <c r="G208" s="193" t="str">
        <f>IF(IFERROR(IF(Str_TypeDonneesCpt5=Cpt_Index,Tab_Compteur_5[[#This Row],[Index]]-E207,Tab_Compteur_5[[#This Row],[Quantité]])/Tab_Compteur_5[[#This Row],[Delta Jour]],"")&lt;0,"",IFERROR(IF(Str_TypeDonneesCpt5=Cpt_Index,Tab_Compteur_5[[#This Row],[Index]]-E207,Tab_Compteur_5[[#This Row],[Quantité]])/Tab_Compteur_5[[#This Row],[Delta Jour]],""))</f>
        <v/>
      </c>
      <c r="H208" s="193" t="str">
        <f>IFERROR(Tab_Compteur_5[[#This Row],[Montant]]/Tab_Compteur_5[[#This Row],[Delta Jour]],"")</f>
        <v/>
      </c>
      <c r="I208" s="215" t="str">
        <f t="shared" si="10"/>
        <v/>
      </c>
      <c r="J208" s="216"/>
      <c r="K208" s="38"/>
      <c r="L208" s="38"/>
      <c r="M208" s="38"/>
    </row>
    <row r="209" spans="1:13">
      <c r="A209" s="3">
        <f t="shared" si="11"/>
        <v>1</v>
      </c>
      <c r="B209" s="88"/>
      <c r="C209" s="196"/>
      <c r="D209" s="195"/>
      <c r="E209" s="193"/>
      <c r="F209" s="193">
        <f t="shared" si="9"/>
        <v>0</v>
      </c>
      <c r="G209" s="193" t="str">
        <f>IF(IFERROR(IF(Str_TypeDonneesCpt5=Cpt_Index,Tab_Compteur_5[[#This Row],[Index]]-E208,Tab_Compteur_5[[#This Row],[Quantité]])/Tab_Compteur_5[[#This Row],[Delta Jour]],"")&lt;0,"",IFERROR(IF(Str_TypeDonneesCpt5=Cpt_Index,Tab_Compteur_5[[#This Row],[Index]]-E208,Tab_Compteur_5[[#This Row],[Quantité]])/Tab_Compteur_5[[#This Row],[Delta Jour]],""))</f>
        <v/>
      </c>
      <c r="H209" s="193" t="str">
        <f>IFERROR(Tab_Compteur_5[[#This Row],[Montant]]/Tab_Compteur_5[[#This Row],[Delta Jour]],"")</f>
        <v/>
      </c>
      <c r="I209" s="215" t="str">
        <f t="shared" si="10"/>
        <v/>
      </c>
      <c r="J209" s="216"/>
      <c r="K209" s="38"/>
      <c r="L209" s="38"/>
      <c r="M209" s="38"/>
    </row>
    <row r="210" spans="1:13">
      <c r="A210" s="3">
        <f t="shared" si="11"/>
        <v>1</v>
      </c>
      <c r="B210" s="88"/>
      <c r="C210" s="196"/>
      <c r="D210" s="195"/>
      <c r="E210" s="193"/>
      <c r="F210" s="193">
        <f t="shared" si="9"/>
        <v>0</v>
      </c>
      <c r="G210" s="193" t="str">
        <f>IF(IFERROR(IF(Str_TypeDonneesCpt5=Cpt_Index,Tab_Compteur_5[[#This Row],[Index]]-E209,Tab_Compteur_5[[#This Row],[Quantité]])/Tab_Compteur_5[[#This Row],[Delta Jour]],"")&lt;0,"",IFERROR(IF(Str_TypeDonneesCpt5=Cpt_Index,Tab_Compteur_5[[#This Row],[Index]]-E209,Tab_Compteur_5[[#This Row],[Quantité]])/Tab_Compteur_5[[#This Row],[Delta Jour]],""))</f>
        <v/>
      </c>
      <c r="H210" s="193" t="str">
        <f>IFERROR(Tab_Compteur_5[[#This Row],[Montant]]/Tab_Compteur_5[[#This Row],[Delta Jour]],"")</f>
        <v/>
      </c>
      <c r="I210" s="215" t="str">
        <f t="shared" si="10"/>
        <v/>
      </c>
      <c r="J210" s="216"/>
      <c r="K210" s="38"/>
      <c r="L210" s="38"/>
      <c r="M210" s="38"/>
    </row>
    <row r="211" spans="1:13">
      <c r="A211" s="3">
        <f t="shared" si="11"/>
        <v>1</v>
      </c>
      <c r="B211" s="88"/>
      <c r="C211" s="196"/>
      <c r="D211" s="195"/>
      <c r="E211" s="193"/>
      <c r="F211" s="193">
        <f t="shared" si="9"/>
        <v>0</v>
      </c>
      <c r="G211" s="193" t="str">
        <f>IF(IFERROR(IF(Str_TypeDonneesCpt5=Cpt_Index,Tab_Compteur_5[[#This Row],[Index]]-E210,Tab_Compteur_5[[#This Row],[Quantité]])/Tab_Compteur_5[[#This Row],[Delta Jour]],"")&lt;0,"",IFERROR(IF(Str_TypeDonneesCpt5=Cpt_Index,Tab_Compteur_5[[#This Row],[Index]]-E210,Tab_Compteur_5[[#This Row],[Quantité]])/Tab_Compteur_5[[#This Row],[Delta Jour]],""))</f>
        <v/>
      </c>
      <c r="H211" s="193" t="str">
        <f>IFERROR(Tab_Compteur_5[[#This Row],[Montant]]/Tab_Compteur_5[[#This Row],[Delta Jour]],"")</f>
        <v/>
      </c>
      <c r="I211" s="215" t="str">
        <f t="shared" si="10"/>
        <v/>
      </c>
      <c r="J211" s="216"/>
      <c r="K211" s="38"/>
      <c r="L211" s="38"/>
      <c r="M211" s="38"/>
    </row>
    <row r="212" spans="1:13">
      <c r="A212" s="3">
        <f t="shared" si="11"/>
        <v>1</v>
      </c>
      <c r="B212" s="88"/>
      <c r="C212" s="196"/>
      <c r="D212" s="195"/>
      <c r="E212" s="193"/>
      <c r="F212" s="193">
        <f t="shared" si="9"/>
        <v>0</v>
      </c>
      <c r="G212" s="193" t="str">
        <f>IF(IFERROR(IF(Str_TypeDonneesCpt5=Cpt_Index,Tab_Compteur_5[[#This Row],[Index]]-E211,Tab_Compteur_5[[#This Row],[Quantité]])/Tab_Compteur_5[[#This Row],[Delta Jour]],"")&lt;0,"",IFERROR(IF(Str_TypeDonneesCpt5=Cpt_Index,Tab_Compteur_5[[#This Row],[Index]]-E211,Tab_Compteur_5[[#This Row],[Quantité]])/Tab_Compteur_5[[#This Row],[Delta Jour]],""))</f>
        <v/>
      </c>
      <c r="H212" s="193" t="str">
        <f>IFERROR(Tab_Compteur_5[[#This Row],[Montant]]/Tab_Compteur_5[[#This Row],[Delta Jour]],"")</f>
        <v/>
      </c>
      <c r="I212" s="215" t="str">
        <f t="shared" si="10"/>
        <v/>
      </c>
      <c r="J212" s="216"/>
      <c r="K212" s="38"/>
      <c r="L212" s="38"/>
      <c r="M212" s="38"/>
    </row>
    <row r="213" spans="1:13">
      <c r="A213" s="3">
        <f t="shared" si="11"/>
        <v>1</v>
      </c>
      <c r="B213" s="88"/>
      <c r="C213" s="196"/>
      <c r="D213" s="195"/>
      <c r="E213" s="193"/>
      <c r="F213" s="193">
        <f t="shared" si="9"/>
        <v>0</v>
      </c>
      <c r="G213" s="193" t="str">
        <f>IF(IFERROR(IF(Str_TypeDonneesCpt5=Cpt_Index,Tab_Compteur_5[[#This Row],[Index]]-E212,Tab_Compteur_5[[#This Row],[Quantité]])/Tab_Compteur_5[[#This Row],[Delta Jour]],"")&lt;0,"",IFERROR(IF(Str_TypeDonneesCpt5=Cpt_Index,Tab_Compteur_5[[#This Row],[Index]]-E212,Tab_Compteur_5[[#This Row],[Quantité]])/Tab_Compteur_5[[#This Row],[Delta Jour]],""))</f>
        <v/>
      </c>
      <c r="H213" s="193" t="str">
        <f>IFERROR(Tab_Compteur_5[[#This Row],[Montant]]/Tab_Compteur_5[[#This Row],[Delta Jour]],"")</f>
        <v/>
      </c>
      <c r="I213" s="215" t="str">
        <f t="shared" si="10"/>
        <v/>
      </c>
      <c r="J213" s="216"/>
      <c r="K213" s="38"/>
      <c r="L213" s="38"/>
      <c r="M213" s="38"/>
    </row>
    <row r="214" spans="1:13">
      <c r="A214" s="3">
        <f t="shared" si="11"/>
        <v>1</v>
      </c>
      <c r="B214" s="88"/>
      <c r="C214" s="196"/>
      <c r="D214" s="195"/>
      <c r="E214" s="193"/>
      <c r="F214" s="193">
        <f t="shared" si="9"/>
        <v>0</v>
      </c>
      <c r="G214" s="193" t="str">
        <f>IF(IFERROR(IF(Str_TypeDonneesCpt5=Cpt_Index,Tab_Compteur_5[[#This Row],[Index]]-E213,Tab_Compteur_5[[#This Row],[Quantité]])/Tab_Compteur_5[[#This Row],[Delta Jour]],"")&lt;0,"",IFERROR(IF(Str_TypeDonneesCpt5=Cpt_Index,Tab_Compteur_5[[#This Row],[Index]]-E213,Tab_Compteur_5[[#This Row],[Quantité]])/Tab_Compteur_5[[#This Row],[Delta Jour]],""))</f>
        <v/>
      </c>
      <c r="H214" s="193" t="str">
        <f>IFERROR(Tab_Compteur_5[[#This Row],[Montant]]/Tab_Compteur_5[[#This Row],[Delta Jour]],"")</f>
        <v/>
      </c>
      <c r="I214" s="215" t="str">
        <f t="shared" si="10"/>
        <v/>
      </c>
      <c r="J214" s="216"/>
      <c r="K214" s="38"/>
      <c r="L214" s="38"/>
      <c r="M214" s="38"/>
    </row>
    <row r="215" spans="1:13">
      <c r="A215" s="3">
        <f t="shared" si="11"/>
        <v>1</v>
      </c>
      <c r="B215" s="88"/>
      <c r="C215" s="196"/>
      <c r="D215" s="195"/>
      <c r="E215" s="193"/>
      <c r="F215" s="193">
        <f t="shared" si="9"/>
        <v>0</v>
      </c>
      <c r="G215" s="193" t="str">
        <f>IF(IFERROR(IF(Str_TypeDonneesCpt5=Cpt_Index,Tab_Compteur_5[[#This Row],[Index]]-E214,Tab_Compteur_5[[#This Row],[Quantité]])/Tab_Compteur_5[[#This Row],[Delta Jour]],"")&lt;0,"",IFERROR(IF(Str_TypeDonneesCpt5=Cpt_Index,Tab_Compteur_5[[#This Row],[Index]]-E214,Tab_Compteur_5[[#This Row],[Quantité]])/Tab_Compteur_5[[#This Row],[Delta Jour]],""))</f>
        <v/>
      </c>
      <c r="H215" s="193" t="str">
        <f>IFERROR(Tab_Compteur_5[[#This Row],[Montant]]/Tab_Compteur_5[[#This Row],[Delta Jour]],"")</f>
        <v/>
      </c>
      <c r="I215" s="215" t="str">
        <f t="shared" si="10"/>
        <v/>
      </c>
      <c r="J215" s="216"/>
      <c r="K215" s="38"/>
      <c r="L215" s="38"/>
      <c r="M215" s="38"/>
    </row>
    <row r="216" spans="1:13">
      <c r="A216" s="3">
        <f t="shared" si="11"/>
        <v>1</v>
      </c>
      <c r="B216" s="88"/>
      <c r="C216" s="196"/>
      <c r="D216" s="195"/>
      <c r="E216" s="193"/>
      <c r="F216" s="193">
        <f t="shared" si="9"/>
        <v>0</v>
      </c>
      <c r="G216" s="193" t="str">
        <f>IF(IFERROR(IF(Str_TypeDonneesCpt5=Cpt_Index,Tab_Compteur_5[[#This Row],[Index]]-E215,Tab_Compteur_5[[#This Row],[Quantité]])/Tab_Compteur_5[[#This Row],[Delta Jour]],"")&lt;0,"",IFERROR(IF(Str_TypeDonneesCpt5=Cpt_Index,Tab_Compteur_5[[#This Row],[Index]]-E215,Tab_Compteur_5[[#This Row],[Quantité]])/Tab_Compteur_5[[#This Row],[Delta Jour]],""))</f>
        <v/>
      </c>
      <c r="H216" s="193" t="str">
        <f>IFERROR(Tab_Compteur_5[[#This Row],[Montant]]/Tab_Compteur_5[[#This Row],[Delta Jour]],"")</f>
        <v/>
      </c>
      <c r="I216" s="215" t="str">
        <f t="shared" si="10"/>
        <v/>
      </c>
      <c r="J216" s="216"/>
      <c r="K216" s="38"/>
      <c r="L216" s="38"/>
      <c r="M216" s="38"/>
    </row>
    <row r="217" spans="1:13">
      <c r="A217" s="3">
        <f t="shared" si="11"/>
        <v>1</v>
      </c>
      <c r="B217" s="88"/>
      <c r="C217" s="196"/>
      <c r="D217" s="195"/>
      <c r="E217" s="193"/>
      <c r="F217" s="193">
        <f t="shared" si="9"/>
        <v>0</v>
      </c>
      <c r="G217" s="193" t="str">
        <f>IF(IFERROR(IF(Str_TypeDonneesCpt5=Cpt_Index,Tab_Compteur_5[[#This Row],[Index]]-E216,Tab_Compteur_5[[#This Row],[Quantité]])/Tab_Compteur_5[[#This Row],[Delta Jour]],"")&lt;0,"",IFERROR(IF(Str_TypeDonneesCpt5=Cpt_Index,Tab_Compteur_5[[#This Row],[Index]]-E216,Tab_Compteur_5[[#This Row],[Quantité]])/Tab_Compteur_5[[#This Row],[Delta Jour]],""))</f>
        <v/>
      </c>
      <c r="H217" s="193" t="str">
        <f>IFERROR(Tab_Compteur_5[[#This Row],[Montant]]/Tab_Compteur_5[[#This Row],[Delta Jour]],"")</f>
        <v/>
      </c>
      <c r="I217" s="215" t="str">
        <f t="shared" si="10"/>
        <v/>
      </c>
      <c r="J217" s="216"/>
      <c r="K217" s="38"/>
      <c r="L217" s="38"/>
      <c r="M217" s="38"/>
    </row>
    <row r="218" spans="1:13">
      <c r="A218" s="3">
        <f t="shared" si="11"/>
        <v>1</v>
      </c>
      <c r="B218" s="88"/>
      <c r="C218" s="196"/>
      <c r="D218" s="195"/>
      <c r="E218" s="193"/>
      <c r="F218" s="193">
        <f t="shared" si="9"/>
        <v>0</v>
      </c>
      <c r="G218" s="193" t="str">
        <f>IF(IFERROR(IF(Str_TypeDonneesCpt5=Cpt_Index,Tab_Compteur_5[[#This Row],[Index]]-E217,Tab_Compteur_5[[#This Row],[Quantité]])/Tab_Compteur_5[[#This Row],[Delta Jour]],"")&lt;0,"",IFERROR(IF(Str_TypeDonneesCpt5=Cpt_Index,Tab_Compteur_5[[#This Row],[Index]]-E217,Tab_Compteur_5[[#This Row],[Quantité]])/Tab_Compteur_5[[#This Row],[Delta Jour]],""))</f>
        <v/>
      </c>
      <c r="H218" s="193" t="str">
        <f>IFERROR(Tab_Compteur_5[[#This Row],[Montant]]/Tab_Compteur_5[[#This Row],[Delta Jour]],"")</f>
        <v/>
      </c>
      <c r="I218" s="215" t="str">
        <f t="shared" si="10"/>
        <v/>
      </c>
      <c r="J218" s="216"/>
      <c r="K218" s="38"/>
      <c r="L218" s="38"/>
      <c r="M218" s="38"/>
    </row>
    <row r="219" spans="1:13">
      <c r="A219" s="3">
        <f t="shared" si="11"/>
        <v>1</v>
      </c>
      <c r="B219" s="88"/>
      <c r="C219" s="196"/>
      <c r="D219" s="195"/>
      <c r="E219" s="193"/>
      <c r="F219" s="193">
        <f t="shared" si="9"/>
        <v>0</v>
      </c>
      <c r="G219" s="193" t="str">
        <f>IF(IFERROR(IF(Str_TypeDonneesCpt5=Cpt_Index,Tab_Compteur_5[[#This Row],[Index]]-E218,Tab_Compteur_5[[#This Row],[Quantité]])/Tab_Compteur_5[[#This Row],[Delta Jour]],"")&lt;0,"",IFERROR(IF(Str_TypeDonneesCpt5=Cpt_Index,Tab_Compteur_5[[#This Row],[Index]]-E218,Tab_Compteur_5[[#This Row],[Quantité]])/Tab_Compteur_5[[#This Row],[Delta Jour]],""))</f>
        <v/>
      </c>
      <c r="H219" s="193" t="str">
        <f>IFERROR(Tab_Compteur_5[[#This Row],[Montant]]/Tab_Compteur_5[[#This Row],[Delta Jour]],"")</f>
        <v/>
      </c>
      <c r="I219" s="215" t="str">
        <f t="shared" si="10"/>
        <v/>
      </c>
      <c r="J219" s="216"/>
      <c r="K219" s="38"/>
      <c r="L219" s="38"/>
      <c r="M219" s="38"/>
    </row>
    <row r="220" spans="1:13">
      <c r="A220" s="3">
        <f t="shared" si="11"/>
        <v>1</v>
      </c>
      <c r="B220" s="88"/>
      <c r="C220" s="196"/>
      <c r="D220" s="195"/>
      <c r="E220" s="193"/>
      <c r="F220" s="193">
        <f t="shared" si="9"/>
        <v>0</v>
      </c>
      <c r="G220" s="193" t="str">
        <f>IF(IFERROR(IF(Str_TypeDonneesCpt5=Cpt_Index,Tab_Compteur_5[[#This Row],[Index]]-E219,Tab_Compteur_5[[#This Row],[Quantité]])/Tab_Compteur_5[[#This Row],[Delta Jour]],"")&lt;0,"",IFERROR(IF(Str_TypeDonneesCpt5=Cpt_Index,Tab_Compteur_5[[#This Row],[Index]]-E219,Tab_Compteur_5[[#This Row],[Quantité]])/Tab_Compteur_5[[#This Row],[Delta Jour]],""))</f>
        <v/>
      </c>
      <c r="H220" s="193" t="str">
        <f>IFERROR(Tab_Compteur_5[[#This Row],[Montant]]/Tab_Compteur_5[[#This Row],[Delta Jour]],"")</f>
        <v/>
      </c>
      <c r="I220" s="215" t="str">
        <f t="shared" si="10"/>
        <v/>
      </c>
      <c r="J220" s="216"/>
      <c r="K220" s="38"/>
      <c r="L220" s="38"/>
      <c r="M220" s="38"/>
    </row>
    <row r="221" spans="1:13">
      <c r="A221" s="3">
        <f t="shared" si="11"/>
        <v>1</v>
      </c>
      <c r="B221" s="88"/>
      <c r="C221" s="196"/>
      <c r="D221" s="195"/>
      <c r="E221" s="193"/>
      <c r="F221" s="193">
        <f t="shared" si="9"/>
        <v>0</v>
      </c>
      <c r="G221" s="193" t="str">
        <f>IF(IFERROR(IF(Str_TypeDonneesCpt5=Cpt_Index,Tab_Compteur_5[[#This Row],[Index]]-E220,Tab_Compteur_5[[#This Row],[Quantité]])/Tab_Compteur_5[[#This Row],[Delta Jour]],"")&lt;0,"",IFERROR(IF(Str_TypeDonneesCpt5=Cpt_Index,Tab_Compteur_5[[#This Row],[Index]]-E220,Tab_Compteur_5[[#This Row],[Quantité]])/Tab_Compteur_5[[#This Row],[Delta Jour]],""))</f>
        <v/>
      </c>
      <c r="H221" s="193" t="str">
        <f>IFERROR(Tab_Compteur_5[[#This Row],[Montant]]/Tab_Compteur_5[[#This Row],[Delta Jour]],"")</f>
        <v/>
      </c>
      <c r="I221" s="215" t="str">
        <f t="shared" si="10"/>
        <v/>
      </c>
      <c r="J221" s="216"/>
      <c r="K221" s="38"/>
      <c r="L221" s="38"/>
      <c r="M221" s="38"/>
    </row>
    <row r="222" spans="1:13">
      <c r="A222" s="3">
        <f t="shared" si="11"/>
        <v>1</v>
      </c>
      <c r="B222" s="88"/>
      <c r="C222" s="196"/>
      <c r="D222" s="195"/>
      <c r="E222" s="193"/>
      <c r="F222" s="193">
        <f t="shared" si="9"/>
        <v>0</v>
      </c>
      <c r="G222" s="193" t="str">
        <f>IF(IFERROR(IF(Str_TypeDonneesCpt5=Cpt_Index,Tab_Compteur_5[[#This Row],[Index]]-E221,Tab_Compteur_5[[#This Row],[Quantité]])/Tab_Compteur_5[[#This Row],[Delta Jour]],"")&lt;0,"",IFERROR(IF(Str_TypeDonneesCpt5=Cpt_Index,Tab_Compteur_5[[#This Row],[Index]]-E221,Tab_Compteur_5[[#This Row],[Quantité]])/Tab_Compteur_5[[#This Row],[Delta Jour]],""))</f>
        <v/>
      </c>
      <c r="H222" s="193" t="str">
        <f>IFERROR(Tab_Compteur_5[[#This Row],[Montant]]/Tab_Compteur_5[[#This Row],[Delta Jour]],"")</f>
        <v/>
      </c>
      <c r="I222" s="215" t="str">
        <f t="shared" si="10"/>
        <v/>
      </c>
      <c r="J222" s="216"/>
      <c r="K222" s="38"/>
      <c r="L222" s="38"/>
      <c r="M222" s="38"/>
    </row>
    <row r="223" spans="1:13">
      <c r="A223" s="3">
        <f t="shared" si="11"/>
        <v>1</v>
      </c>
      <c r="B223" s="88"/>
      <c r="C223" s="196"/>
      <c r="D223" s="195"/>
      <c r="E223" s="193"/>
      <c r="F223" s="193">
        <f t="shared" si="9"/>
        <v>0</v>
      </c>
      <c r="G223" s="193" t="str">
        <f>IF(IFERROR(IF(Str_TypeDonneesCpt5=Cpt_Index,Tab_Compteur_5[[#This Row],[Index]]-E222,Tab_Compteur_5[[#This Row],[Quantité]])/Tab_Compteur_5[[#This Row],[Delta Jour]],"")&lt;0,"",IFERROR(IF(Str_TypeDonneesCpt5=Cpt_Index,Tab_Compteur_5[[#This Row],[Index]]-E222,Tab_Compteur_5[[#This Row],[Quantité]])/Tab_Compteur_5[[#This Row],[Delta Jour]],""))</f>
        <v/>
      </c>
      <c r="H223" s="193" t="str">
        <f>IFERROR(Tab_Compteur_5[[#This Row],[Montant]]/Tab_Compteur_5[[#This Row],[Delta Jour]],"")</f>
        <v/>
      </c>
      <c r="I223" s="215" t="str">
        <f t="shared" si="10"/>
        <v/>
      </c>
      <c r="J223" s="216"/>
      <c r="K223" s="38"/>
      <c r="L223" s="38"/>
      <c r="M223" s="38"/>
    </row>
    <row r="224" spans="1:13">
      <c r="A224" s="3">
        <f t="shared" si="11"/>
        <v>1</v>
      </c>
      <c r="B224" s="88"/>
      <c r="C224" s="196"/>
      <c r="D224" s="195"/>
      <c r="E224" s="193"/>
      <c r="F224" s="193">
        <f t="shared" si="9"/>
        <v>0</v>
      </c>
      <c r="G224" s="193" t="str">
        <f>IF(IFERROR(IF(Str_TypeDonneesCpt5=Cpt_Index,Tab_Compteur_5[[#This Row],[Index]]-E223,Tab_Compteur_5[[#This Row],[Quantité]])/Tab_Compteur_5[[#This Row],[Delta Jour]],"")&lt;0,"",IFERROR(IF(Str_TypeDonneesCpt5=Cpt_Index,Tab_Compteur_5[[#This Row],[Index]]-E223,Tab_Compteur_5[[#This Row],[Quantité]])/Tab_Compteur_5[[#This Row],[Delta Jour]],""))</f>
        <v/>
      </c>
      <c r="H224" s="193" t="str">
        <f>IFERROR(Tab_Compteur_5[[#This Row],[Montant]]/Tab_Compteur_5[[#This Row],[Delta Jour]],"")</f>
        <v/>
      </c>
      <c r="I224" s="215" t="str">
        <f t="shared" si="10"/>
        <v/>
      </c>
      <c r="J224" s="216"/>
      <c r="K224" s="38"/>
      <c r="L224" s="38"/>
      <c r="M224" s="38"/>
    </row>
    <row r="225" spans="1:13">
      <c r="A225" s="3">
        <f t="shared" si="11"/>
        <v>1</v>
      </c>
      <c r="B225" s="88"/>
      <c r="C225" s="196"/>
      <c r="D225" s="195"/>
      <c r="E225" s="193"/>
      <c r="F225" s="193">
        <f t="shared" si="9"/>
        <v>0</v>
      </c>
      <c r="G225" s="193" t="str">
        <f>IF(IFERROR(IF(Str_TypeDonneesCpt5=Cpt_Index,Tab_Compteur_5[[#This Row],[Index]]-E224,Tab_Compteur_5[[#This Row],[Quantité]])/Tab_Compteur_5[[#This Row],[Delta Jour]],"")&lt;0,"",IFERROR(IF(Str_TypeDonneesCpt5=Cpt_Index,Tab_Compteur_5[[#This Row],[Index]]-E224,Tab_Compteur_5[[#This Row],[Quantité]])/Tab_Compteur_5[[#This Row],[Delta Jour]],""))</f>
        <v/>
      </c>
      <c r="H225" s="193" t="str">
        <f>IFERROR(Tab_Compteur_5[[#This Row],[Montant]]/Tab_Compteur_5[[#This Row],[Delta Jour]],"")</f>
        <v/>
      </c>
      <c r="I225" s="215" t="str">
        <f t="shared" si="10"/>
        <v/>
      </c>
      <c r="J225" s="216"/>
      <c r="K225" s="38"/>
      <c r="L225" s="38"/>
      <c r="M225" s="38"/>
    </row>
    <row r="226" spans="1:13">
      <c r="A226" s="3">
        <f t="shared" si="11"/>
        <v>1</v>
      </c>
      <c r="B226" s="88"/>
      <c r="C226" s="196"/>
      <c r="D226" s="195"/>
      <c r="E226" s="193"/>
      <c r="F226" s="193">
        <f t="shared" si="9"/>
        <v>0</v>
      </c>
      <c r="G226" s="193" t="str">
        <f>IF(IFERROR(IF(Str_TypeDonneesCpt5=Cpt_Index,Tab_Compteur_5[[#This Row],[Index]]-E225,Tab_Compteur_5[[#This Row],[Quantité]])/Tab_Compteur_5[[#This Row],[Delta Jour]],"")&lt;0,"",IFERROR(IF(Str_TypeDonneesCpt5=Cpt_Index,Tab_Compteur_5[[#This Row],[Index]]-E225,Tab_Compteur_5[[#This Row],[Quantité]])/Tab_Compteur_5[[#This Row],[Delta Jour]],""))</f>
        <v/>
      </c>
      <c r="H226" s="193" t="str">
        <f>IFERROR(Tab_Compteur_5[[#This Row],[Montant]]/Tab_Compteur_5[[#This Row],[Delta Jour]],"")</f>
        <v/>
      </c>
      <c r="I226" s="215" t="str">
        <f t="shared" si="10"/>
        <v/>
      </c>
      <c r="J226" s="216"/>
      <c r="K226" s="38"/>
      <c r="L226" s="38"/>
      <c r="M226" s="38"/>
    </row>
    <row r="227" spans="1:13">
      <c r="A227" s="3">
        <f t="shared" si="11"/>
        <v>1</v>
      </c>
      <c r="B227" s="88"/>
      <c r="C227" s="196"/>
      <c r="D227" s="195"/>
      <c r="E227" s="193"/>
      <c r="F227" s="193">
        <f t="shared" si="9"/>
        <v>0</v>
      </c>
      <c r="G227" s="193" t="str">
        <f>IF(IFERROR(IF(Str_TypeDonneesCpt5=Cpt_Index,Tab_Compteur_5[[#This Row],[Index]]-E226,Tab_Compteur_5[[#This Row],[Quantité]])/Tab_Compteur_5[[#This Row],[Delta Jour]],"")&lt;0,"",IFERROR(IF(Str_TypeDonneesCpt5=Cpt_Index,Tab_Compteur_5[[#This Row],[Index]]-E226,Tab_Compteur_5[[#This Row],[Quantité]])/Tab_Compteur_5[[#This Row],[Delta Jour]],""))</f>
        <v/>
      </c>
      <c r="H227" s="193" t="str">
        <f>IFERROR(Tab_Compteur_5[[#This Row],[Montant]]/Tab_Compteur_5[[#This Row],[Delta Jour]],"")</f>
        <v/>
      </c>
      <c r="I227" s="215" t="str">
        <f t="shared" si="10"/>
        <v/>
      </c>
      <c r="J227" s="216"/>
      <c r="K227" s="38"/>
      <c r="L227" s="38"/>
      <c r="M227" s="38"/>
    </row>
    <row r="228" spans="1:13">
      <c r="A228" s="3">
        <f t="shared" si="11"/>
        <v>1</v>
      </c>
      <c r="B228" s="88"/>
      <c r="C228" s="196"/>
      <c r="D228" s="195"/>
      <c r="E228" s="193"/>
      <c r="F228" s="193">
        <f t="shared" si="9"/>
        <v>0</v>
      </c>
      <c r="G228" s="193" t="str">
        <f>IF(IFERROR(IF(Str_TypeDonneesCpt5=Cpt_Index,Tab_Compteur_5[[#This Row],[Index]]-E227,Tab_Compteur_5[[#This Row],[Quantité]])/Tab_Compteur_5[[#This Row],[Delta Jour]],"")&lt;0,"",IFERROR(IF(Str_TypeDonneesCpt5=Cpt_Index,Tab_Compteur_5[[#This Row],[Index]]-E227,Tab_Compteur_5[[#This Row],[Quantité]])/Tab_Compteur_5[[#This Row],[Delta Jour]],""))</f>
        <v/>
      </c>
      <c r="H228" s="193" t="str">
        <f>IFERROR(Tab_Compteur_5[[#This Row],[Montant]]/Tab_Compteur_5[[#This Row],[Delta Jour]],"")</f>
        <v/>
      </c>
      <c r="I228" s="215" t="str">
        <f t="shared" si="10"/>
        <v/>
      </c>
      <c r="J228" s="216"/>
      <c r="K228" s="38"/>
      <c r="L228" s="38"/>
      <c r="M228" s="38"/>
    </row>
    <row r="229" spans="1:13">
      <c r="A229" s="3">
        <f t="shared" si="11"/>
        <v>1</v>
      </c>
      <c r="B229" s="88"/>
      <c r="C229" s="196"/>
      <c r="D229" s="195"/>
      <c r="E229" s="193"/>
      <c r="F229" s="193">
        <f t="shared" si="9"/>
        <v>0</v>
      </c>
      <c r="G229" s="193" t="str">
        <f>IF(IFERROR(IF(Str_TypeDonneesCpt5=Cpt_Index,Tab_Compteur_5[[#This Row],[Index]]-E228,Tab_Compteur_5[[#This Row],[Quantité]])/Tab_Compteur_5[[#This Row],[Delta Jour]],"")&lt;0,"",IFERROR(IF(Str_TypeDonneesCpt5=Cpt_Index,Tab_Compteur_5[[#This Row],[Index]]-E228,Tab_Compteur_5[[#This Row],[Quantité]])/Tab_Compteur_5[[#This Row],[Delta Jour]],""))</f>
        <v/>
      </c>
      <c r="H229" s="193" t="str">
        <f>IFERROR(Tab_Compteur_5[[#This Row],[Montant]]/Tab_Compteur_5[[#This Row],[Delta Jour]],"")</f>
        <v/>
      </c>
      <c r="I229" s="215" t="str">
        <f t="shared" si="10"/>
        <v/>
      </c>
      <c r="J229" s="216"/>
      <c r="K229" s="38"/>
      <c r="L229" s="38"/>
      <c r="M229" s="38"/>
    </row>
    <row r="230" spans="1:13">
      <c r="A230" s="3">
        <f t="shared" si="11"/>
        <v>1</v>
      </c>
      <c r="B230" s="88"/>
      <c r="C230" s="196"/>
      <c r="D230" s="195"/>
      <c r="E230" s="193"/>
      <c r="F230" s="193">
        <f t="shared" si="9"/>
        <v>0</v>
      </c>
      <c r="G230" s="193" t="str">
        <f>IF(IFERROR(IF(Str_TypeDonneesCpt5=Cpt_Index,Tab_Compteur_5[[#This Row],[Index]]-E229,Tab_Compteur_5[[#This Row],[Quantité]])/Tab_Compteur_5[[#This Row],[Delta Jour]],"")&lt;0,"",IFERROR(IF(Str_TypeDonneesCpt5=Cpt_Index,Tab_Compteur_5[[#This Row],[Index]]-E229,Tab_Compteur_5[[#This Row],[Quantité]])/Tab_Compteur_5[[#This Row],[Delta Jour]],""))</f>
        <v/>
      </c>
      <c r="H230" s="193" t="str">
        <f>IFERROR(Tab_Compteur_5[[#This Row],[Montant]]/Tab_Compteur_5[[#This Row],[Delta Jour]],"")</f>
        <v/>
      </c>
      <c r="I230" s="215" t="str">
        <f t="shared" si="10"/>
        <v/>
      </c>
      <c r="J230" s="216"/>
      <c r="K230" s="38"/>
      <c r="L230" s="38"/>
      <c r="M230" s="38"/>
    </row>
    <row r="231" spans="1:13">
      <c r="A231" s="3">
        <f t="shared" si="11"/>
        <v>1</v>
      </c>
      <c r="B231" s="88"/>
      <c r="C231" s="196"/>
      <c r="D231" s="195"/>
      <c r="E231" s="193"/>
      <c r="F231" s="193">
        <f t="shared" si="9"/>
        <v>0</v>
      </c>
      <c r="G231" s="193" t="str">
        <f>IF(IFERROR(IF(Str_TypeDonneesCpt5=Cpt_Index,Tab_Compteur_5[[#This Row],[Index]]-E230,Tab_Compteur_5[[#This Row],[Quantité]])/Tab_Compteur_5[[#This Row],[Delta Jour]],"")&lt;0,"",IFERROR(IF(Str_TypeDonneesCpt5=Cpt_Index,Tab_Compteur_5[[#This Row],[Index]]-E230,Tab_Compteur_5[[#This Row],[Quantité]])/Tab_Compteur_5[[#This Row],[Delta Jour]],""))</f>
        <v/>
      </c>
      <c r="H231" s="193" t="str">
        <f>IFERROR(Tab_Compteur_5[[#This Row],[Montant]]/Tab_Compteur_5[[#This Row],[Delta Jour]],"")</f>
        <v/>
      </c>
      <c r="I231" s="215" t="str">
        <f t="shared" si="10"/>
        <v/>
      </c>
      <c r="J231" s="216"/>
      <c r="K231" s="38"/>
      <c r="L231" s="38"/>
      <c r="M231" s="38"/>
    </row>
    <row r="232" spans="1:13">
      <c r="A232" s="3">
        <f t="shared" si="11"/>
        <v>1</v>
      </c>
      <c r="B232" s="88"/>
      <c r="C232" s="196"/>
      <c r="D232" s="195"/>
      <c r="E232" s="193"/>
      <c r="F232" s="193">
        <f t="shared" si="9"/>
        <v>0</v>
      </c>
      <c r="G232" s="193" t="str">
        <f>IF(IFERROR(IF(Str_TypeDonneesCpt5=Cpt_Index,Tab_Compteur_5[[#This Row],[Index]]-E231,Tab_Compteur_5[[#This Row],[Quantité]])/Tab_Compteur_5[[#This Row],[Delta Jour]],"")&lt;0,"",IFERROR(IF(Str_TypeDonneesCpt5=Cpt_Index,Tab_Compteur_5[[#This Row],[Index]]-E231,Tab_Compteur_5[[#This Row],[Quantité]])/Tab_Compteur_5[[#This Row],[Delta Jour]],""))</f>
        <v/>
      </c>
      <c r="H232" s="193" t="str">
        <f>IFERROR(Tab_Compteur_5[[#This Row],[Montant]]/Tab_Compteur_5[[#This Row],[Delta Jour]],"")</f>
        <v/>
      </c>
      <c r="I232" s="215" t="str">
        <f t="shared" si="10"/>
        <v/>
      </c>
      <c r="J232" s="216"/>
      <c r="K232" s="38"/>
      <c r="L232" s="38"/>
      <c r="M232" s="38"/>
    </row>
    <row r="233" spans="1:13">
      <c r="A233" s="3">
        <f t="shared" si="11"/>
        <v>1</v>
      </c>
      <c r="B233" s="88"/>
      <c r="C233" s="196"/>
      <c r="D233" s="195"/>
      <c r="E233" s="193"/>
      <c r="F233" s="193">
        <f t="shared" si="9"/>
        <v>0</v>
      </c>
      <c r="G233" s="193" t="str">
        <f>IF(IFERROR(IF(Str_TypeDonneesCpt5=Cpt_Index,Tab_Compteur_5[[#This Row],[Index]]-E232,Tab_Compteur_5[[#This Row],[Quantité]])/Tab_Compteur_5[[#This Row],[Delta Jour]],"")&lt;0,"",IFERROR(IF(Str_TypeDonneesCpt5=Cpt_Index,Tab_Compteur_5[[#This Row],[Index]]-E232,Tab_Compteur_5[[#This Row],[Quantité]])/Tab_Compteur_5[[#This Row],[Delta Jour]],""))</f>
        <v/>
      </c>
      <c r="H233" s="193" t="str">
        <f>IFERROR(Tab_Compteur_5[[#This Row],[Montant]]/Tab_Compteur_5[[#This Row],[Delta Jour]],"")</f>
        <v/>
      </c>
      <c r="I233" s="215" t="str">
        <f t="shared" si="10"/>
        <v/>
      </c>
      <c r="J233" s="216"/>
      <c r="K233" s="38"/>
      <c r="L233" s="38"/>
      <c r="M233" s="38"/>
    </row>
    <row r="234" spans="1:13">
      <c r="A234" s="3">
        <f t="shared" si="11"/>
        <v>1</v>
      </c>
      <c r="B234" s="88"/>
      <c r="C234" s="196"/>
      <c r="D234" s="195"/>
      <c r="E234" s="193"/>
      <c r="F234" s="193">
        <f t="shared" si="9"/>
        <v>0</v>
      </c>
      <c r="G234" s="193" t="str">
        <f>IF(IFERROR(IF(Str_TypeDonneesCpt5=Cpt_Index,Tab_Compteur_5[[#This Row],[Index]]-E233,Tab_Compteur_5[[#This Row],[Quantité]])/Tab_Compteur_5[[#This Row],[Delta Jour]],"")&lt;0,"",IFERROR(IF(Str_TypeDonneesCpt5=Cpt_Index,Tab_Compteur_5[[#This Row],[Index]]-E233,Tab_Compteur_5[[#This Row],[Quantité]])/Tab_Compteur_5[[#This Row],[Delta Jour]],""))</f>
        <v/>
      </c>
      <c r="H234" s="193" t="str">
        <f>IFERROR(Tab_Compteur_5[[#This Row],[Montant]]/Tab_Compteur_5[[#This Row],[Delta Jour]],"")</f>
        <v/>
      </c>
      <c r="I234" s="215" t="str">
        <f t="shared" si="10"/>
        <v/>
      </c>
      <c r="J234" s="216"/>
      <c r="K234" s="38"/>
      <c r="L234" s="38"/>
      <c r="M234" s="38"/>
    </row>
    <row r="235" spans="1:13">
      <c r="A235" s="3">
        <f t="shared" si="11"/>
        <v>1</v>
      </c>
      <c r="B235" s="88"/>
      <c r="C235" s="196"/>
      <c r="D235" s="195"/>
      <c r="E235" s="193"/>
      <c r="F235" s="193">
        <f t="shared" si="9"/>
        <v>0</v>
      </c>
      <c r="G235" s="193" t="str">
        <f>IF(IFERROR(IF(Str_TypeDonneesCpt5=Cpt_Index,Tab_Compteur_5[[#This Row],[Index]]-E234,Tab_Compteur_5[[#This Row],[Quantité]])/Tab_Compteur_5[[#This Row],[Delta Jour]],"")&lt;0,"",IFERROR(IF(Str_TypeDonneesCpt5=Cpt_Index,Tab_Compteur_5[[#This Row],[Index]]-E234,Tab_Compteur_5[[#This Row],[Quantité]])/Tab_Compteur_5[[#This Row],[Delta Jour]],""))</f>
        <v/>
      </c>
      <c r="H235" s="193" t="str">
        <f>IFERROR(Tab_Compteur_5[[#This Row],[Montant]]/Tab_Compteur_5[[#This Row],[Delta Jour]],"")</f>
        <v/>
      </c>
      <c r="I235" s="215" t="str">
        <f t="shared" si="10"/>
        <v/>
      </c>
      <c r="J235" s="216"/>
      <c r="K235" s="38"/>
      <c r="L235" s="38"/>
      <c r="M235" s="38"/>
    </row>
    <row r="236" spans="1:13">
      <c r="A236" s="3">
        <f t="shared" si="11"/>
        <v>1</v>
      </c>
      <c r="B236" s="88"/>
      <c r="C236" s="196"/>
      <c r="D236" s="195"/>
      <c r="E236" s="193"/>
      <c r="F236" s="193">
        <f t="shared" si="9"/>
        <v>0</v>
      </c>
      <c r="G236" s="193" t="str">
        <f>IF(IFERROR(IF(Str_TypeDonneesCpt5=Cpt_Index,Tab_Compteur_5[[#This Row],[Index]]-E235,Tab_Compteur_5[[#This Row],[Quantité]])/Tab_Compteur_5[[#This Row],[Delta Jour]],"")&lt;0,"",IFERROR(IF(Str_TypeDonneesCpt5=Cpt_Index,Tab_Compteur_5[[#This Row],[Index]]-E235,Tab_Compteur_5[[#This Row],[Quantité]])/Tab_Compteur_5[[#This Row],[Delta Jour]],""))</f>
        <v/>
      </c>
      <c r="H236" s="193" t="str">
        <f>IFERROR(Tab_Compteur_5[[#This Row],[Montant]]/Tab_Compteur_5[[#This Row],[Delta Jour]],"")</f>
        <v/>
      </c>
      <c r="I236" s="215" t="str">
        <f t="shared" si="10"/>
        <v/>
      </c>
      <c r="J236" s="216"/>
      <c r="K236" s="38"/>
      <c r="L236" s="38"/>
      <c r="M236" s="38"/>
    </row>
    <row r="237" spans="1:13">
      <c r="A237" s="3">
        <f t="shared" si="11"/>
        <v>1</v>
      </c>
      <c r="B237" s="88"/>
      <c r="C237" s="196"/>
      <c r="D237" s="195"/>
      <c r="E237" s="193"/>
      <c r="F237" s="193">
        <f t="shared" si="9"/>
        <v>0</v>
      </c>
      <c r="G237" s="193" t="str">
        <f>IF(IFERROR(IF(Str_TypeDonneesCpt5=Cpt_Index,Tab_Compteur_5[[#This Row],[Index]]-E236,Tab_Compteur_5[[#This Row],[Quantité]])/Tab_Compteur_5[[#This Row],[Delta Jour]],"")&lt;0,"",IFERROR(IF(Str_TypeDonneesCpt5=Cpt_Index,Tab_Compteur_5[[#This Row],[Index]]-E236,Tab_Compteur_5[[#This Row],[Quantité]])/Tab_Compteur_5[[#This Row],[Delta Jour]],""))</f>
        <v/>
      </c>
      <c r="H237" s="193" t="str">
        <f>IFERROR(Tab_Compteur_5[[#This Row],[Montant]]/Tab_Compteur_5[[#This Row],[Delta Jour]],"")</f>
        <v/>
      </c>
      <c r="I237" s="215" t="str">
        <f t="shared" si="10"/>
        <v/>
      </c>
      <c r="J237" s="216"/>
      <c r="K237" s="38"/>
      <c r="L237" s="38"/>
      <c r="M237" s="38"/>
    </row>
    <row r="238" spans="1:13">
      <c r="A238" s="3">
        <f t="shared" si="11"/>
        <v>1</v>
      </c>
      <c r="B238" s="88"/>
      <c r="C238" s="196"/>
      <c r="D238" s="195"/>
      <c r="E238" s="193"/>
      <c r="F238" s="193">
        <f t="shared" si="9"/>
        <v>0</v>
      </c>
      <c r="G238" s="193" t="str">
        <f>IF(IFERROR(IF(Str_TypeDonneesCpt5=Cpt_Index,Tab_Compteur_5[[#This Row],[Index]]-E237,Tab_Compteur_5[[#This Row],[Quantité]])/Tab_Compteur_5[[#This Row],[Delta Jour]],"")&lt;0,"",IFERROR(IF(Str_TypeDonneesCpt5=Cpt_Index,Tab_Compteur_5[[#This Row],[Index]]-E237,Tab_Compteur_5[[#This Row],[Quantité]])/Tab_Compteur_5[[#This Row],[Delta Jour]],""))</f>
        <v/>
      </c>
      <c r="H238" s="193" t="str">
        <f>IFERROR(Tab_Compteur_5[[#This Row],[Montant]]/Tab_Compteur_5[[#This Row],[Delta Jour]],"")</f>
        <v/>
      </c>
      <c r="I238" s="215" t="str">
        <f t="shared" si="10"/>
        <v/>
      </c>
      <c r="J238" s="216"/>
      <c r="K238" s="38"/>
      <c r="L238" s="38"/>
      <c r="M238" s="38"/>
    </row>
    <row r="239" spans="1:13">
      <c r="A239" s="3">
        <f t="shared" si="11"/>
        <v>1</v>
      </c>
      <c r="B239" s="88"/>
      <c r="C239" s="196"/>
      <c r="D239" s="195"/>
      <c r="E239" s="193"/>
      <c r="F239" s="193">
        <f t="shared" si="9"/>
        <v>0</v>
      </c>
      <c r="G239" s="193" t="str">
        <f>IF(IFERROR(IF(Str_TypeDonneesCpt5=Cpt_Index,Tab_Compteur_5[[#This Row],[Index]]-E238,Tab_Compteur_5[[#This Row],[Quantité]])/Tab_Compteur_5[[#This Row],[Delta Jour]],"")&lt;0,"",IFERROR(IF(Str_TypeDonneesCpt5=Cpt_Index,Tab_Compteur_5[[#This Row],[Index]]-E238,Tab_Compteur_5[[#This Row],[Quantité]])/Tab_Compteur_5[[#This Row],[Delta Jour]],""))</f>
        <v/>
      </c>
      <c r="H239" s="193" t="str">
        <f>IFERROR(Tab_Compteur_5[[#This Row],[Montant]]/Tab_Compteur_5[[#This Row],[Delta Jour]],"")</f>
        <v/>
      </c>
      <c r="I239" s="215" t="str">
        <f t="shared" si="10"/>
        <v/>
      </c>
      <c r="J239" s="216"/>
      <c r="K239" s="38"/>
      <c r="L239" s="38"/>
      <c r="M239" s="38"/>
    </row>
    <row r="240" spans="1:13">
      <c r="A240" s="3">
        <f t="shared" si="11"/>
        <v>1</v>
      </c>
      <c r="B240" s="88"/>
      <c r="C240" s="196"/>
      <c r="D240" s="195"/>
      <c r="E240" s="193"/>
      <c r="F240" s="193">
        <f t="shared" si="9"/>
        <v>0</v>
      </c>
      <c r="G240" s="193" t="str">
        <f>IF(IFERROR(IF(Str_TypeDonneesCpt5=Cpt_Index,Tab_Compteur_5[[#This Row],[Index]]-E239,Tab_Compteur_5[[#This Row],[Quantité]])/Tab_Compteur_5[[#This Row],[Delta Jour]],"")&lt;0,"",IFERROR(IF(Str_TypeDonneesCpt5=Cpt_Index,Tab_Compteur_5[[#This Row],[Index]]-E239,Tab_Compteur_5[[#This Row],[Quantité]])/Tab_Compteur_5[[#This Row],[Delta Jour]],""))</f>
        <v/>
      </c>
      <c r="H240" s="193" t="str">
        <f>IFERROR(Tab_Compteur_5[[#This Row],[Montant]]/Tab_Compteur_5[[#This Row],[Delta Jour]],"")</f>
        <v/>
      </c>
      <c r="I240" s="215" t="str">
        <f t="shared" si="10"/>
        <v/>
      </c>
      <c r="J240" s="216"/>
      <c r="K240" s="38"/>
      <c r="L240" s="38"/>
      <c r="M240" s="38"/>
    </row>
    <row r="241" spans="1:13">
      <c r="A241" s="3">
        <f t="shared" si="11"/>
        <v>1</v>
      </c>
      <c r="B241" s="88"/>
      <c r="C241" s="196"/>
      <c r="D241" s="195"/>
      <c r="E241" s="193"/>
      <c r="F241" s="193">
        <f t="shared" si="9"/>
        <v>0</v>
      </c>
      <c r="G241" s="193" t="str">
        <f>IF(IFERROR(IF(Str_TypeDonneesCpt5=Cpt_Index,Tab_Compteur_5[[#This Row],[Index]]-E240,Tab_Compteur_5[[#This Row],[Quantité]])/Tab_Compteur_5[[#This Row],[Delta Jour]],"")&lt;0,"",IFERROR(IF(Str_TypeDonneesCpt5=Cpt_Index,Tab_Compteur_5[[#This Row],[Index]]-E240,Tab_Compteur_5[[#This Row],[Quantité]])/Tab_Compteur_5[[#This Row],[Delta Jour]],""))</f>
        <v/>
      </c>
      <c r="H241" s="193" t="str">
        <f>IFERROR(Tab_Compteur_5[[#This Row],[Montant]]/Tab_Compteur_5[[#This Row],[Delta Jour]],"")</f>
        <v/>
      </c>
      <c r="I241" s="215" t="str">
        <f t="shared" si="10"/>
        <v/>
      </c>
      <c r="J241" s="216"/>
      <c r="K241" s="38"/>
      <c r="L241" s="38"/>
      <c r="M241" s="38"/>
    </row>
    <row r="242" spans="1:13">
      <c r="A242" s="3">
        <f t="shared" si="11"/>
        <v>1</v>
      </c>
      <c r="B242" s="88"/>
      <c r="C242" s="196"/>
      <c r="D242" s="195"/>
      <c r="E242" s="193"/>
      <c r="F242" s="193">
        <f t="shared" si="9"/>
        <v>0</v>
      </c>
      <c r="G242" s="193" t="str">
        <f>IF(IFERROR(IF(Str_TypeDonneesCpt5=Cpt_Index,Tab_Compteur_5[[#This Row],[Index]]-E241,Tab_Compteur_5[[#This Row],[Quantité]])/Tab_Compteur_5[[#This Row],[Delta Jour]],"")&lt;0,"",IFERROR(IF(Str_TypeDonneesCpt5=Cpt_Index,Tab_Compteur_5[[#This Row],[Index]]-E241,Tab_Compteur_5[[#This Row],[Quantité]])/Tab_Compteur_5[[#This Row],[Delta Jour]],""))</f>
        <v/>
      </c>
      <c r="H242" s="193" t="str">
        <f>IFERROR(Tab_Compteur_5[[#This Row],[Montant]]/Tab_Compteur_5[[#This Row],[Delta Jour]],"")</f>
        <v/>
      </c>
      <c r="I242" s="215" t="str">
        <f t="shared" si="10"/>
        <v/>
      </c>
      <c r="J242" s="216"/>
      <c r="K242" s="38"/>
      <c r="L242" s="38"/>
      <c r="M242" s="38"/>
    </row>
    <row r="243" spans="1:13">
      <c r="A243" s="3">
        <f t="shared" si="11"/>
        <v>1</v>
      </c>
      <c r="B243" s="88"/>
      <c r="C243" s="196"/>
      <c r="D243" s="195"/>
      <c r="E243" s="193"/>
      <c r="F243" s="193">
        <f t="shared" si="9"/>
        <v>0</v>
      </c>
      <c r="G243" s="193" t="str">
        <f>IF(IFERROR(IF(Str_TypeDonneesCpt5=Cpt_Index,Tab_Compteur_5[[#This Row],[Index]]-E242,Tab_Compteur_5[[#This Row],[Quantité]])/Tab_Compteur_5[[#This Row],[Delta Jour]],"")&lt;0,"",IFERROR(IF(Str_TypeDonneesCpt5=Cpt_Index,Tab_Compteur_5[[#This Row],[Index]]-E242,Tab_Compteur_5[[#This Row],[Quantité]])/Tab_Compteur_5[[#This Row],[Delta Jour]],""))</f>
        <v/>
      </c>
      <c r="H243" s="193" t="str">
        <f>IFERROR(Tab_Compteur_5[[#This Row],[Montant]]/Tab_Compteur_5[[#This Row],[Delta Jour]],"")</f>
        <v/>
      </c>
      <c r="I243" s="215" t="str">
        <f t="shared" si="10"/>
        <v/>
      </c>
      <c r="J243" s="216"/>
      <c r="K243" s="38"/>
      <c r="L243" s="38"/>
      <c r="M243" s="38"/>
    </row>
  </sheetData>
  <sheetProtection sheet="1" objects="1" scenarios="1"/>
  <protectedRanges>
    <protectedRange sqref="C6:D143 A4:D5 A6:B243" name="Données_compteur5_1"/>
    <protectedRange sqref="L2:M2 K5:M8 J34:M243 J9:M10 K3:M3 J2:J8 C144:D243 K244:N1048576" name="Données_compteur5"/>
    <protectedRange sqref="J11:M33" name="Données_compteur3_3_1"/>
    <protectedRange sqref="E2" name="Compteur_1_1"/>
    <protectedRange sqref="I2" name="Compteur_1_1_1"/>
    <protectedRange sqref="K4:M4" name="Compteur_1"/>
    <protectedRange sqref="L1 E1 I1" name="Compteur_1_2"/>
  </protectedRanges>
  <mergeCells count="2">
    <mergeCell ref="L2:M2"/>
    <mergeCell ref="K11:M33"/>
  </mergeCells>
  <conditionalFormatting sqref="B4:B243">
    <cfRule type="expression" dxfId="66"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29"/>
  <dimension ref="A1:O243"/>
  <sheetViews>
    <sheetView workbookViewId="0">
      <selection activeCell="B4" sqref="B4"/>
    </sheetView>
  </sheetViews>
  <sheetFormatPr baseColWidth="10" defaultColWidth="0" defaultRowHeight="14.5" zeroHeight="1"/>
  <cols>
    <col min="1" max="1" width="19.81640625" customWidth="1"/>
    <col min="2" max="2" width="17.1796875" style="193" customWidth="1"/>
    <col min="3" max="3" width="13.81640625" customWidth="1"/>
    <col min="4" max="4" width="15.453125" style="127" customWidth="1"/>
    <col min="5" max="5" width="11.453125" customWidth="1"/>
    <col min="6" max="6" width="11.54296875" hidden="1" customWidth="1"/>
    <col min="7" max="8" width="11.453125" hidden="1" customWidth="1"/>
    <col min="9" max="9" width="10.90625" customWidth="1"/>
    <col min="10" max="10" width="14" customWidth="1"/>
    <col min="11" max="11" width="21.7265625" customWidth="1"/>
    <col min="12" max="13" width="11.453125" customWidth="1"/>
    <col min="14" max="14" width="21.7265625" customWidth="1"/>
    <col min="15" max="15" width="0" hidden="1" customWidth="1"/>
    <col min="16" max="16384" width="11.453125" hidden="1"/>
  </cols>
  <sheetData>
    <row r="1" spans="1:13" ht="31.15" customHeight="1">
      <c r="A1" s="57" t="s">
        <v>401</v>
      </c>
      <c r="B1" s="235" t="s">
        <v>402</v>
      </c>
      <c r="C1" s="132" t="s">
        <v>403</v>
      </c>
      <c r="D1" s="59" t="str">
        <f>CONCATENATE("Montant ",Controle_des_données!$A$40)</f>
        <v>Montant TTC</v>
      </c>
      <c r="E1" s="30" t="s">
        <v>218</v>
      </c>
      <c r="F1" s="29" t="s">
        <v>404</v>
      </c>
      <c r="G1" s="30" t="s">
        <v>405</v>
      </c>
      <c r="H1" s="30" t="s">
        <v>406</v>
      </c>
      <c r="I1" s="30" t="s">
        <v>407</v>
      </c>
      <c r="J1" s="188" t="s">
        <v>408</v>
      </c>
      <c r="K1" s="178" t="s">
        <v>19</v>
      </c>
      <c r="L1" s="186" t="str">
        <f>IF(Site!C43="", "Compteur 6",Site!C43)</f>
        <v>Compteur 6</v>
      </c>
    </row>
    <row r="2" spans="1:13" ht="20.25" hidden="1" customHeight="1">
      <c r="A2" s="28" t="s">
        <v>401</v>
      </c>
      <c r="B2" s="86" t="s">
        <v>402</v>
      </c>
      <c r="C2" s="58" t="s">
        <v>403</v>
      </c>
      <c r="D2" s="143" t="s">
        <v>437</v>
      </c>
      <c r="E2" s="30" t="s">
        <v>218</v>
      </c>
      <c r="F2" s="29" t="s">
        <v>404</v>
      </c>
      <c r="G2" s="41" t="s">
        <v>405</v>
      </c>
      <c r="H2" s="42" t="s">
        <v>406</v>
      </c>
      <c r="I2" s="29" t="s">
        <v>407</v>
      </c>
      <c r="J2" s="41" t="s">
        <v>408</v>
      </c>
      <c r="K2" s="178"/>
      <c r="L2" s="574"/>
      <c r="M2" s="575"/>
    </row>
    <row r="3" spans="1:13" hidden="1">
      <c r="A3" s="3"/>
      <c r="B3" s="239">
        <f>A4-1</f>
        <v>-1</v>
      </c>
      <c r="C3" s="56">
        <v>0</v>
      </c>
      <c r="D3" s="127">
        <v>0</v>
      </c>
      <c r="F3">
        <f t="shared" ref="F3:F66" si="0">IFERROR(B3-A3+1,"")</f>
        <v>0</v>
      </c>
      <c r="G3">
        <v>0</v>
      </c>
      <c r="H3">
        <v>0</v>
      </c>
      <c r="I3" s="222">
        <f t="shared" ref="I3:I66" si="1">G3</f>
        <v>0</v>
      </c>
      <c r="J3" s="38"/>
      <c r="K3" s="38"/>
      <c r="L3" s="38"/>
      <c r="M3" s="38"/>
    </row>
    <row r="4" spans="1:13">
      <c r="A4" s="55">
        <f>Site!I43</f>
        <v>0</v>
      </c>
      <c r="B4" s="88"/>
      <c r="C4" s="199"/>
      <c r="D4" s="202"/>
      <c r="E4" s="193"/>
      <c r="F4" s="193">
        <f t="shared" si="0"/>
        <v>1</v>
      </c>
      <c r="G4" s="193">
        <f>IF(IFERROR(IF(Str_TypeDonneesCpt6=Cpt_Index,Tab_Compteur_6[[#This Row],[Index]]-M4,Tab_Compteur_6[[#This Row],[Quantité]])/Tab_Compteur_6[[#This Row],[Delta Jour]],"")&lt;0,"",IFERROR(IF(Str_TypeDonneesCpt6=Cpt_Index,Tab_Compteur_6[[#This Row],[Index]]-M4,Tab_Compteur_6[[#This Row],[Quantité]])/Tab_Compteur_6[[#This Row],[Delta Jour]],""))</f>
        <v>0</v>
      </c>
      <c r="H4" s="193">
        <f>IFERROR(Tab_Compteur_6[[#This Row],[Montant]]/Tab_Compteur_6[[#This Row],[Delta Jour]],"")</f>
        <v>0</v>
      </c>
      <c r="I4" s="219">
        <f t="shared" si="1"/>
        <v>0</v>
      </c>
      <c r="J4" s="216"/>
      <c r="K4" s="223" t="s">
        <v>409</v>
      </c>
      <c r="L4" s="178"/>
      <c r="M4" s="224">
        <v>0</v>
      </c>
    </row>
    <row r="5" spans="1:13">
      <c r="A5" s="55">
        <f>IFERROR(B4+1,0)</f>
        <v>1</v>
      </c>
      <c r="B5" s="88"/>
      <c r="C5" s="199"/>
      <c r="D5" s="202"/>
      <c r="E5" s="193"/>
      <c r="F5" s="193">
        <f t="shared" si="0"/>
        <v>0</v>
      </c>
      <c r="G5" s="193" t="str">
        <f>IF(IFERROR(IF(Str_TypeDonneesCpt6=Cpt_Index,Tab_Compteur_6[[#This Row],[Index]]-E4,Tab_Compteur_6[[#This Row],[Quantité]])/Tab_Compteur_6[[#This Row],[Delta Jour]],"")&lt;0,"",IFERROR(IF(Str_TypeDonneesCpt6=Cpt_Index,Tab_Compteur_6[[#This Row],[Index]]-E4,Tab_Compteur_6[[#This Row],[Quantité]])/Tab_Compteur_6[[#This Row],[Delta Jour]],""))</f>
        <v/>
      </c>
      <c r="H5" s="193" t="str">
        <f>IFERROR(Tab_Compteur_6[[#This Row],[Montant]]/Tab_Compteur_6[[#This Row],[Delta Jour]],"")</f>
        <v/>
      </c>
      <c r="I5" s="219" t="str">
        <f t="shared" si="1"/>
        <v/>
      </c>
      <c r="J5" s="216"/>
      <c r="K5" s="38"/>
      <c r="L5" s="38"/>
      <c r="M5" s="38"/>
    </row>
    <row r="6" spans="1:13">
      <c r="A6" s="55">
        <f t="shared" ref="A6:A69" si="2">IFERROR(B5+1,0)</f>
        <v>1</v>
      </c>
      <c r="B6" s="88"/>
      <c r="C6" s="199"/>
      <c r="D6" s="202"/>
      <c r="E6" s="193"/>
      <c r="F6" s="193">
        <f t="shared" si="0"/>
        <v>0</v>
      </c>
      <c r="G6" s="193" t="str">
        <f>IF(IFERROR(IF(Str_TypeDonneesCpt6=Cpt_Index,Tab_Compteur_6[[#This Row],[Index]]-E5,Tab_Compteur_6[[#This Row],[Quantité]])/Tab_Compteur_6[[#This Row],[Delta Jour]],"")&lt;0,"",IFERROR(IF(Str_TypeDonneesCpt6=Cpt_Index,Tab_Compteur_6[[#This Row],[Index]]-E5,Tab_Compteur_6[[#This Row],[Quantité]])/Tab_Compteur_6[[#This Row],[Delta Jour]],""))</f>
        <v/>
      </c>
      <c r="H6" s="193" t="str">
        <f>IFERROR(Tab_Compteur_6[[#This Row],[Montant]]/Tab_Compteur_6[[#This Row],[Delta Jour]],"")</f>
        <v/>
      </c>
      <c r="I6" s="219" t="str">
        <f t="shared" si="1"/>
        <v/>
      </c>
      <c r="J6" s="216"/>
      <c r="K6" s="38"/>
      <c r="L6" s="38"/>
      <c r="M6" s="38"/>
    </row>
    <row r="7" spans="1:13">
      <c r="A7" s="55">
        <f t="shared" si="2"/>
        <v>1</v>
      </c>
      <c r="B7" s="88"/>
      <c r="C7" s="199"/>
      <c r="D7" s="202"/>
      <c r="E7" s="193"/>
      <c r="F7" s="193">
        <f t="shared" si="0"/>
        <v>0</v>
      </c>
      <c r="G7" s="193" t="str">
        <f>IF(IFERROR(IF(Str_TypeDonneesCpt6=Cpt_Index,Tab_Compteur_6[[#This Row],[Index]]-E6,Tab_Compteur_6[[#This Row],[Quantité]])/Tab_Compteur_6[[#This Row],[Delta Jour]],"")&lt;0,"",IFERROR(IF(Str_TypeDonneesCpt6=Cpt_Index,Tab_Compteur_6[[#This Row],[Index]]-E6,Tab_Compteur_6[[#This Row],[Quantité]])/Tab_Compteur_6[[#This Row],[Delta Jour]],""))</f>
        <v/>
      </c>
      <c r="H7" s="193" t="str">
        <f>IFERROR(Tab_Compteur_6[[#This Row],[Montant]]/Tab_Compteur_6[[#This Row],[Delta Jour]],"")</f>
        <v/>
      </c>
      <c r="I7" s="219" t="str">
        <f t="shared" si="1"/>
        <v/>
      </c>
      <c r="J7" s="216"/>
      <c r="K7" s="38"/>
      <c r="L7" s="38"/>
      <c r="M7" s="38"/>
    </row>
    <row r="8" spans="1:13">
      <c r="A8" s="55">
        <f t="shared" si="2"/>
        <v>1</v>
      </c>
      <c r="B8" s="88"/>
      <c r="C8" s="199"/>
      <c r="D8" s="202"/>
      <c r="E8" s="193"/>
      <c r="F8" s="193">
        <f t="shared" si="0"/>
        <v>0</v>
      </c>
      <c r="G8" s="193" t="str">
        <f>IF(IFERROR(IF(Str_TypeDonneesCpt6=Cpt_Index,Tab_Compteur_6[[#This Row],[Index]]-E7,Tab_Compteur_6[[#This Row],[Quantité]])/Tab_Compteur_6[[#This Row],[Delta Jour]],"")&lt;0,"",IFERROR(IF(Str_TypeDonneesCpt6=Cpt_Index,Tab_Compteur_6[[#This Row],[Index]]-E7,Tab_Compteur_6[[#This Row],[Quantité]])/Tab_Compteur_6[[#This Row],[Delta Jour]],""))</f>
        <v/>
      </c>
      <c r="H8" s="193" t="str">
        <f>IFERROR(Tab_Compteur_6[[#This Row],[Montant]]/Tab_Compteur_6[[#This Row],[Delta Jour]],"")</f>
        <v/>
      </c>
      <c r="I8" s="219" t="str">
        <f t="shared" si="1"/>
        <v/>
      </c>
      <c r="J8" s="216"/>
      <c r="K8" s="179"/>
      <c r="L8" s="179"/>
      <c r="M8" s="179"/>
    </row>
    <row r="9" spans="1:13">
      <c r="A9" s="55">
        <f t="shared" si="2"/>
        <v>1</v>
      </c>
      <c r="B9" s="88"/>
      <c r="C9" s="199"/>
      <c r="D9" s="202"/>
      <c r="E9" s="193"/>
      <c r="F9" s="193">
        <f t="shared" si="0"/>
        <v>0</v>
      </c>
      <c r="G9" s="193" t="str">
        <f>IF(IFERROR(IF(Str_TypeDonneesCpt6=Cpt_Index,Tab_Compteur_6[[#This Row],[Index]]-E8,Tab_Compteur_6[[#This Row],[Quantité]])/Tab_Compteur_6[[#This Row],[Delta Jour]],"")&lt;0,"",IFERROR(IF(Str_TypeDonneesCpt6=Cpt_Index,Tab_Compteur_6[[#This Row],[Index]]-E8,Tab_Compteur_6[[#This Row],[Quantité]])/Tab_Compteur_6[[#This Row],[Delta Jour]],""))</f>
        <v/>
      </c>
      <c r="H9" s="193" t="str">
        <f>IFERROR(Tab_Compteur_6[[#This Row],[Montant]]/Tab_Compteur_6[[#This Row],[Delta Jour]],"")</f>
        <v/>
      </c>
      <c r="I9" s="219" t="str">
        <f t="shared" si="1"/>
        <v/>
      </c>
      <c r="J9" s="216"/>
      <c r="K9" s="179"/>
      <c r="L9" s="179"/>
      <c r="M9" s="179"/>
    </row>
    <row r="10" spans="1:13">
      <c r="A10" s="55">
        <f t="shared" si="2"/>
        <v>1</v>
      </c>
      <c r="B10" s="88"/>
      <c r="C10" s="199"/>
      <c r="D10" s="202"/>
      <c r="E10" s="193"/>
      <c r="F10" s="193">
        <f t="shared" si="0"/>
        <v>0</v>
      </c>
      <c r="G10" s="193" t="str">
        <f>IF(IFERROR(IF(Str_TypeDonneesCpt6=Cpt_Index,Tab_Compteur_6[[#This Row],[Index]]-E9,Tab_Compteur_6[[#This Row],[Quantité]])/Tab_Compteur_6[[#This Row],[Delta Jour]],"")&lt;0,"",IFERROR(IF(Str_TypeDonneesCpt6=Cpt_Index,Tab_Compteur_6[[#This Row],[Index]]-E9,Tab_Compteur_6[[#This Row],[Quantité]])/Tab_Compteur_6[[#This Row],[Delta Jour]],""))</f>
        <v/>
      </c>
      <c r="H10" s="193" t="str">
        <f>IFERROR(Tab_Compteur_6[[#This Row],[Montant]]/Tab_Compteur_6[[#This Row],[Delta Jour]],"")</f>
        <v/>
      </c>
      <c r="I10" s="219" t="str">
        <f t="shared" si="1"/>
        <v/>
      </c>
      <c r="J10" s="216"/>
      <c r="K10" s="179"/>
      <c r="L10" s="179"/>
      <c r="M10" s="179"/>
    </row>
    <row r="11" spans="1:13">
      <c r="A11" s="55">
        <f t="shared" si="2"/>
        <v>1</v>
      </c>
      <c r="B11" s="88"/>
      <c r="C11" s="199"/>
      <c r="D11" s="202"/>
      <c r="E11" s="193"/>
      <c r="F11" s="193">
        <f t="shared" si="0"/>
        <v>0</v>
      </c>
      <c r="G11" s="193" t="str">
        <f>IF(IFERROR(IF(Str_TypeDonneesCpt6=Cpt_Index,Tab_Compteur_6[[#This Row],[Index]]-E10,Tab_Compteur_6[[#This Row],[Quantité]])/Tab_Compteur_6[[#This Row],[Delta Jour]],"")&lt;0,"",IFERROR(IF(Str_TypeDonneesCpt6=Cpt_Index,Tab_Compteur_6[[#This Row],[Index]]-E10,Tab_Compteur_6[[#This Row],[Quantité]])/Tab_Compteur_6[[#This Row],[Delta Jour]],""))</f>
        <v/>
      </c>
      <c r="H11" s="193" t="str">
        <f>IFERROR(Tab_Compteur_6[[#This Row],[Montant]]/Tab_Compteur_6[[#This Row],[Delta Jour]],"")</f>
        <v/>
      </c>
      <c r="I11" s="219" t="str">
        <f t="shared" si="1"/>
        <v/>
      </c>
      <c r="J11" s="216"/>
      <c r="K11" s="573"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73"/>
      <c r="M11" s="573"/>
    </row>
    <row r="12" spans="1:13">
      <c r="A12" s="55">
        <f t="shared" si="2"/>
        <v>1</v>
      </c>
      <c r="B12" s="88"/>
      <c r="C12" s="199"/>
      <c r="D12" s="202"/>
      <c r="E12" s="193"/>
      <c r="F12" s="193">
        <f t="shared" si="0"/>
        <v>0</v>
      </c>
      <c r="G12" s="193" t="str">
        <f>IF(IFERROR(IF(Str_TypeDonneesCpt6=Cpt_Index,Tab_Compteur_6[[#This Row],[Index]]-E11,Tab_Compteur_6[[#This Row],[Quantité]])/Tab_Compteur_6[[#This Row],[Delta Jour]],"")&lt;0,"",IFERROR(IF(Str_TypeDonneesCpt6=Cpt_Index,Tab_Compteur_6[[#This Row],[Index]]-E11,Tab_Compteur_6[[#This Row],[Quantité]])/Tab_Compteur_6[[#This Row],[Delta Jour]],""))</f>
        <v/>
      </c>
      <c r="H12" s="193" t="str">
        <f>IFERROR(Tab_Compteur_6[[#This Row],[Montant]]/Tab_Compteur_6[[#This Row],[Delta Jour]],"")</f>
        <v/>
      </c>
      <c r="I12" s="219" t="str">
        <f t="shared" si="1"/>
        <v/>
      </c>
      <c r="J12" s="216"/>
      <c r="K12" s="573"/>
      <c r="L12" s="573"/>
      <c r="M12" s="573"/>
    </row>
    <row r="13" spans="1:13">
      <c r="A13" s="55">
        <f t="shared" si="2"/>
        <v>1</v>
      </c>
      <c r="B13" s="88"/>
      <c r="C13" s="199"/>
      <c r="D13" s="202"/>
      <c r="E13" s="193"/>
      <c r="F13" s="193">
        <f t="shared" si="0"/>
        <v>0</v>
      </c>
      <c r="G13" s="193" t="str">
        <f>IF(IFERROR(IF(Str_TypeDonneesCpt6=Cpt_Index,Tab_Compteur_6[[#This Row],[Index]]-E12,Tab_Compteur_6[[#This Row],[Quantité]])/Tab_Compteur_6[[#This Row],[Delta Jour]],"")&lt;0,"",IFERROR(IF(Str_TypeDonneesCpt6=Cpt_Index,Tab_Compteur_6[[#This Row],[Index]]-E12,Tab_Compteur_6[[#This Row],[Quantité]])/Tab_Compteur_6[[#This Row],[Delta Jour]],""))</f>
        <v/>
      </c>
      <c r="H13" s="193" t="str">
        <f>IFERROR(Tab_Compteur_6[[#This Row],[Montant]]/Tab_Compteur_6[[#This Row],[Delta Jour]],"")</f>
        <v/>
      </c>
      <c r="I13" s="219" t="str">
        <f t="shared" si="1"/>
        <v/>
      </c>
      <c r="J13" s="216"/>
      <c r="K13" s="573"/>
      <c r="L13" s="573"/>
      <c r="M13" s="573"/>
    </row>
    <row r="14" spans="1:13">
      <c r="A14" s="55">
        <f t="shared" si="2"/>
        <v>1</v>
      </c>
      <c r="B14" s="88"/>
      <c r="C14" s="199"/>
      <c r="D14" s="202"/>
      <c r="E14" s="193"/>
      <c r="F14" s="193">
        <f t="shared" si="0"/>
        <v>0</v>
      </c>
      <c r="G14" s="193" t="str">
        <f>IF(IFERROR(IF(Str_TypeDonneesCpt6=Cpt_Index,Tab_Compteur_6[[#This Row],[Index]]-E13,Tab_Compteur_6[[#This Row],[Quantité]])/Tab_Compteur_6[[#This Row],[Delta Jour]],"")&lt;0,"",IFERROR(IF(Str_TypeDonneesCpt6=Cpt_Index,Tab_Compteur_6[[#This Row],[Index]]-E13,Tab_Compteur_6[[#This Row],[Quantité]])/Tab_Compteur_6[[#This Row],[Delta Jour]],""))</f>
        <v/>
      </c>
      <c r="H14" s="193" t="str">
        <f>IFERROR(Tab_Compteur_6[[#This Row],[Montant]]/Tab_Compteur_6[[#This Row],[Delta Jour]],"")</f>
        <v/>
      </c>
      <c r="I14" s="219" t="str">
        <f t="shared" si="1"/>
        <v/>
      </c>
      <c r="J14" s="216"/>
      <c r="K14" s="573"/>
      <c r="L14" s="573"/>
      <c r="M14" s="573"/>
    </row>
    <row r="15" spans="1:13">
      <c r="A15" s="55">
        <f t="shared" si="2"/>
        <v>1</v>
      </c>
      <c r="B15" s="88"/>
      <c r="C15" s="199"/>
      <c r="D15" s="202"/>
      <c r="E15" s="193"/>
      <c r="F15" s="193">
        <f t="shared" si="0"/>
        <v>0</v>
      </c>
      <c r="G15" s="193" t="str">
        <f>IF(IFERROR(IF(Str_TypeDonneesCpt6=Cpt_Index,Tab_Compteur_6[[#This Row],[Index]]-E14,Tab_Compteur_6[[#This Row],[Quantité]])/Tab_Compteur_6[[#This Row],[Delta Jour]],"")&lt;0,"",IFERROR(IF(Str_TypeDonneesCpt6=Cpt_Index,Tab_Compteur_6[[#This Row],[Index]]-E14,Tab_Compteur_6[[#This Row],[Quantité]])/Tab_Compteur_6[[#This Row],[Delta Jour]],""))</f>
        <v/>
      </c>
      <c r="H15" s="193" t="str">
        <f>IFERROR(Tab_Compteur_6[[#This Row],[Montant]]/Tab_Compteur_6[[#This Row],[Delta Jour]],"")</f>
        <v/>
      </c>
      <c r="I15" s="219" t="str">
        <f t="shared" si="1"/>
        <v/>
      </c>
      <c r="J15" s="216"/>
      <c r="K15" s="573"/>
      <c r="L15" s="573"/>
      <c r="M15" s="573"/>
    </row>
    <row r="16" spans="1:13">
      <c r="A16" s="55">
        <f t="shared" si="2"/>
        <v>1</v>
      </c>
      <c r="B16" s="88"/>
      <c r="C16" s="199"/>
      <c r="D16" s="202"/>
      <c r="E16" s="193"/>
      <c r="F16" s="193">
        <f t="shared" si="0"/>
        <v>0</v>
      </c>
      <c r="G16" s="193" t="str">
        <f>IF(IFERROR(IF(Str_TypeDonneesCpt6=Cpt_Index,Tab_Compteur_6[[#This Row],[Index]]-E15,Tab_Compteur_6[[#This Row],[Quantité]])/Tab_Compteur_6[[#This Row],[Delta Jour]],"")&lt;0,"",IFERROR(IF(Str_TypeDonneesCpt6=Cpt_Index,Tab_Compteur_6[[#This Row],[Index]]-E15,Tab_Compteur_6[[#This Row],[Quantité]])/Tab_Compteur_6[[#This Row],[Delta Jour]],""))</f>
        <v/>
      </c>
      <c r="H16" s="193" t="str">
        <f>IFERROR(Tab_Compteur_6[[#This Row],[Montant]]/Tab_Compteur_6[[#This Row],[Delta Jour]],"")</f>
        <v/>
      </c>
      <c r="I16" s="219" t="str">
        <f t="shared" si="1"/>
        <v/>
      </c>
      <c r="J16" s="216"/>
      <c r="K16" s="573"/>
      <c r="L16" s="573"/>
      <c r="M16" s="573"/>
    </row>
    <row r="17" spans="1:13">
      <c r="A17" s="55">
        <f t="shared" si="2"/>
        <v>1</v>
      </c>
      <c r="B17" s="88"/>
      <c r="C17" s="199"/>
      <c r="D17" s="202"/>
      <c r="E17" s="193"/>
      <c r="F17" s="193">
        <f t="shared" si="0"/>
        <v>0</v>
      </c>
      <c r="G17" s="193" t="str">
        <f>IF(IFERROR(IF(Str_TypeDonneesCpt6=Cpt_Index,Tab_Compteur_6[[#This Row],[Index]]-E16,Tab_Compteur_6[[#This Row],[Quantité]])/Tab_Compteur_6[[#This Row],[Delta Jour]],"")&lt;0,"",IFERROR(IF(Str_TypeDonneesCpt6=Cpt_Index,Tab_Compteur_6[[#This Row],[Index]]-E16,Tab_Compteur_6[[#This Row],[Quantité]])/Tab_Compteur_6[[#This Row],[Delta Jour]],""))</f>
        <v/>
      </c>
      <c r="H17" s="193" t="str">
        <f>IFERROR(Tab_Compteur_6[[#This Row],[Montant]]/Tab_Compteur_6[[#This Row],[Delta Jour]],"")</f>
        <v/>
      </c>
      <c r="I17" s="219" t="str">
        <f t="shared" si="1"/>
        <v/>
      </c>
      <c r="J17" s="216"/>
      <c r="K17" s="573"/>
      <c r="L17" s="573"/>
      <c r="M17" s="573"/>
    </row>
    <row r="18" spans="1:13">
      <c r="A18" s="55">
        <f t="shared" si="2"/>
        <v>1</v>
      </c>
      <c r="B18" s="88"/>
      <c r="C18" s="199"/>
      <c r="D18" s="202"/>
      <c r="E18" s="193"/>
      <c r="F18" s="193">
        <f t="shared" si="0"/>
        <v>0</v>
      </c>
      <c r="G18" s="193" t="str">
        <f>IF(IFERROR(IF(Str_TypeDonneesCpt6=Cpt_Index,Tab_Compteur_6[[#This Row],[Index]]-E17,Tab_Compteur_6[[#This Row],[Quantité]])/Tab_Compteur_6[[#This Row],[Delta Jour]],"")&lt;0,"",IFERROR(IF(Str_TypeDonneesCpt6=Cpt_Index,Tab_Compteur_6[[#This Row],[Index]]-E17,Tab_Compteur_6[[#This Row],[Quantité]])/Tab_Compteur_6[[#This Row],[Delta Jour]],""))</f>
        <v/>
      </c>
      <c r="H18" s="193" t="str">
        <f>IFERROR(Tab_Compteur_6[[#This Row],[Montant]]/Tab_Compteur_6[[#This Row],[Delta Jour]],"")</f>
        <v/>
      </c>
      <c r="I18" s="219" t="str">
        <f t="shared" si="1"/>
        <v/>
      </c>
      <c r="J18" s="216"/>
      <c r="K18" s="573"/>
      <c r="L18" s="573"/>
      <c r="M18" s="573"/>
    </row>
    <row r="19" spans="1:13">
      <c r="A19" s="55">
        <f t="shared" si="2"/>
        <v>1</v>
      </c>
      <c r="B19" s="88"/>
      <c r="C19" s="199"/>
      <c r="D19" s="202"/>
      <c r="E19" s="193"/>
      <c r="F19" s="193">
        <f t="shared" si="0"/>
        <v>0</v>
      </c>
      <c r="G19" s="193" t="str">
        <f>IF(IFERROR(IF(Str_TypeDonneesCpt6=Cpt_Index,Tab_Compteur_6[[#This Row],[Index]]-E18,Tab_Compteur_6[[#This Row],[Quantité]])/Tab_Compteur_6[[#This Row],[Delta Jour]],"")&lt;0,"",IFERROR(IF(Str_TypeDonneesCpt6=Cpt_Index,Tab_Compteur_6[[#This Row],[Index]]-E18,Tab_Compteur_6[[#This Row],[Quantité]])/Tab_Compteur_6[[#This Row],[Delta Jour]],""))</f>
        <v/>
      </c>
      <c r="H19" s="193" t="str">
        <f>IFERROR(Tab_Compteur_6[[#This Row],[Montant]]/Tab_Compteur_6[[#This Row],[Delta Jour]],"")</f>
        <v/>
      </c>
      <c r="I19" s="219" t="str">
        <f t="shared" si="1"/>
        <v/>
      </c>
      <c r="J19" s="216"/>
      <c r="K19" s="573"/>
      <c r="L19" s="573"/>
      <c r="M19" s="573"/>
    </row>
    <row r="20" spans="1:13">
      <c r="A20" s="55">
        <f t="shared" si="2"/>
        <v>1</v>
      </c>
      <c r="B20" s="88"/>
      <c r="C20" s="199"/>
      <c r="D20" s="202"/>
      <c r="E20" s="193"/>
      <c r="F20" s="193">
        <f t="shared" si="0"/>
        <v>0</v>
      </c>
      <c r="G20" s="193" t="str">
        <f>IF(IFERROR(IF(Str_TypeDonneesCpt6=Cpt_Index,Tab_Compteur_6[[#This Row],[Index]]-E19,Tab_Compteur_6[[#This Row],[Quantité]])/Tab_Compteur_6[[#This Row],[Delta Jour]],"")&lt;0,"",IFERROR(IF(Str_TypeDonneesCpt6=Cpt_Index,Tab_Compteur_6[[#This Row],[Index]]-E19,Tab_Compteur_6[[#This Row],[Quantité]])/Tab_Compteur_6[[#This Row],[Delta Jour]],""))</f>
        <v/>
      </c>
      <c r="H20" s="193" t="str">
        <f>IFERROR(Tab_Compteur_6[[#This Row],[Montant]]/Tab_Compteur_6[[#This Row],[Delta Jour]],"")</f>
        <v/>
      </c>
      <c r="I20" s="219" t="str">
        <f t="shared" si="1"/>
        <v/>
      </c>
      <c r="J20" s="216"/>
      <c r="K20" s="573"/>
      <c r="L20" s="573"/>
      <c r="M20" s="573"/>
    </row>
    <row r="21" spans="1:13">
      <c r="A21" s="55">
        <f t="shared" si="2"/>
        <v>1</v>
      </c>
      <c r="B21" s="88"/>
      <c r="C21" s="199"/>
      <c r="D21" s="202"/>
      <c r="E21" s="193"/>
      <c r="F21" s="193">
        <f t="shared" si="0"/>
        <v>0</v>
      </c>
      <c r="G21" s="193" t="str">
        <f>IF(IFERROR(IF(Str_TypeDonneesCpt6=Cpt_Index,Tab_Compteur_6[[#This Row],[Index]]-E20,Tab_Compteur_6[[#This Row],[Quantité]])/Tab_Compteur_6[[#This Row],[Delta Jour]],"")&lt;0,"",IFERROR(IF(Str_TypeDonneesCpt6=Cpt_Index,Tab_Compteur_6[[#This Row],[Index]]-E20,Tab_Compteur_6[[#This Row],[Quantité]])/Tab_Compteur_6[[#This Row],[Delta Jour]],""))</f>
        <v/>
      </c>
      <c r="H21" s="193" t="str">
        <f>IFERROR(Tab_Compteur_6[[#This Row],[Montant]]/Tab_Compteur_6[[#This Row],[Delta Jour]],"")</f>
        <v/>
      </c>
      <c r="I21" s="219" t="str">
        <f t="shared" si="1"/>
        <v/>
      </c>
      <c r="J21" s="216"/>
      <c r="K21" s="573"/>
      <c r="L21" s="573"/>
      <c r="M21" s="573"/>
    </row>
    <row r="22" spans="1:13">
      <c r="A22" s="55">
        <f t="shared" si="2"/>
        <v>1</v>
      </c>
      <c r="B22" s="88"/>
      <c r="C22" s="199"/>
      <c r="D22" s="202"/>
      <c r="E22" s="193"/>
      <c r="F22" s="193">
        <f t="shared" si="0"/>
        <v>0</v>
      </c>
      <c r="G22" s="193" t="str">
        <f>IF(IFERROR(IF(Str_TypeDonneesCpt6=Cpt_Index,Tab_Compteur_6[[#This Row],[Index]]-E21,Tab_Compteur_6[[#This Row],[Quantité]])/Tab_Compteur_6[[#This Row],[Delta Jour]],"")&lt;0,"",IFERROR(IF(Str_TypeDonneesCpt6=Cpt_Index,Tab_Compteur_6[[#This Row],[Index]]-E21,Tab_Compteur_6[[#This Row],[Quantité]])/Tab_Compteur_6[[#This Row],[Delta Jour]],""))</f>
        <v/>
      </c>
      <c r="H22" s="193" t="str">
        <f>IFERROR(Tab_Compteur_6[[#This Row],[Montant]]/Tab_Compteur_6[[#This Row],[Delta Jour]],"")</f>
        <v/>
      </c>
      <c r="I22" s="219" t="str">
        <f t="shared" si="1"/>
        <v/>
      </c>
      <c r="J22" s="216"/>
      <c r="K22" s="573"/>
      <c r="L22" s="573"/>
      <c r="M22" s="573"/>
    </row>
    <row r="23" spans="1:13">
      <c r="A23" s="55">
        <f t="shared" si="2"/>
        <v>1</v>
      </c>
      <c r="B23" s="88"/>
      <c r="C23" s="199"/>
      <c r="D23" s="202"/>
      <c r="E23" s="193"/>
      <c r="F23" s="193">
        <f t="shared" si="0"/>
        <v>0</v>
      </c>
      <c r="G23" s="193" t="str">
        <f>IF(IFERROR(IF(Str_TypeDonneesCpt6=Cpt_Index,Tab_Compteur_6[[#This Row],[Index]]-E22,Tab_Compteur_6[[#This Row],[Quantité]])/Tab_Compteur_6[[#This Row],[Delta Jour]],"")&lt;0,"",IFERROR(IF(Str_TypeDonneesCpt6=Cpt_Index,Tab_Compteur_6[[#This Row],[Index]]-E22,Tab_Compteur_6[[#This Row],[Quantité]])/Tab_Compteur_6[[#This Row],[Delta Jour]],""))</f>
        <v/>
      </c>
      <c r="H23" s="193" t="str">
        <f>IFERROR(Tab_Compteur_6[[#This Row],[Montant]]/Tab_Compteur_6[[#This Row],[Delta Jour]],"")</f>
        <v/>
      </c>
      <c r="I23" s="219" t="str">
        <f t="shared" si="1"/>
        <v/>
      </c>
      <c r="J23" s="216"/>
      <c r="K23" s="573"/>
      <c r="L23" s="573"/>
      <c r="M23" s="573"/>
    </row>
    <row r="24" spans="1:13">
      <c r="A24" s="55">
        <f t="shared" si="2"/>
        <v>1</v>
      </c>
      <c r="B24" s="88"/>
      <c r="C24" s="199"/>
      <c r="D24" s="202"/>
      <c r="E24" s="193"/>
      <c r="F24" s="193">
        <f t="shared" si="0"/>
        <v>0</v>
      </c>
      <c r="G24" s="193" t="str">
        <f>IF(IFERROR(IF(Str_TypeDonneesCpt6=Cpt_Index,Tab_Compteur_6[[#This Row],[Index]]-E23,Tab_Compteur_6[[#This Row],[Quantité]])/Tab_Compteur_6[[#This Row],[Delta Jour]],"")&lt;0,"",IFERROR(IF(Str_TypeDonneesCpt6=Cpt_Index,Tab_Compteur_6[[#This Row],[Index]]-E23,Tab_Compteur_6[[#This Row],[Quantité]])/Tab_Compteur_6[[#This Row],[Delta Jour]],""))</f>
        <v/>
      </c>
      <c r="H24" s="193" t="str">
        <f>IFERROR(Tab_Compteur_6[[#This Row],[Montant]]/Tab_Compteur_6[[#This Row],[Delta Jour]],"")</f>
        <v/>
      </c>
      <c r="I24" s="219" t="str">
        <f t="shared" si="1"/>
        <v/>
      </c>
      <c r="J24" s="216"/>
      <c r="K24" s="573"/>
      <c r="L24" s="573"/>
      <c r="M24" s="573"/>
    </row>
    <row r="25" spans="1:13">
      <c r="A25" s="55">
        <f t="shared" si="2"/>
        <v>1</v>
      </c>
      <c r="B25" s="88"/>
      <c r="C25" s="199"/>
      <c r="D25" s="202"/>
      <c r="E25" s="193"/>
      <c r="F25" s="193">
        <f t="shared" si="0"/>
        <v>0</v>
      </c>
      <c r="G25" s="193" t="str">
        <f>IF(IFERROR(IF(Str_TypeDonneesCpt6=Cpt_Index,Tab_Compteur_6[[#This Row],[Index]]-E24,Tab_Compteur_6[[#This Row],[Quantité]])/Tab_Compteur_6[[#This Row],[Delta Jour]],"")&lt;0,"",IFERROR(IF(Str_TypeDonneesCpt6=Cpt_Index,Tab_Compteur_6[[#This Row],[Index]]-E24,Tab_Compteur_6[[#This Row],[Quantité]])/Tab_Compteur_6[[#This Row],[Delta Jour]],""))</f>
        <v/>
      </c>
      <c r="H25" s="193" t="str">
        <f>IFERROR(Tab_Compteur_6[[#This Row],[Montant]]/Tab_Compteur_6[[#This Row],[Delta Jour]],"")</f>
        <v/>
      </c>
      <c r="I25" s="219" t="str">
        <f t="shared" si="1"/>
        <v/>
      </c>
      <c r="J25" s="216"/>
      <c r="K25" s="573"/>
      <c r="L25" s="573"/>
      <c r="M25" s="573"/>
    </row>
    <row r="26" spans="1:13">
      <c r="A26" s="55">
        <f t="shared" si="2"/>
        <v>1</v>
      </c>
      <c r="B26" s="88"/>
      <c r="C26" s="199"/>
      <c r="D26" s="202"/>
      <c r="E26" s="193"/>
      <c r="F26" s="193">
        <f t="shared" si="0"/>
        <v>0</v>
      </c>
      <c r="G26" s="193" t="str">
        <f>IF(IFERROR(IF(Str_TypeDonneesCpt6=Cpt_Index,Tab_Compteur_6[[#This Row],[Index]]-E25,Tab_Compteur_6[[#This Row],[Quantité]])/Tab_Compteur_6[[#This Row],[Delta Jour]],"")&lt;0,"",IFERROR(IF(Str_TypeDonneesCpt6=Cpt_Index,Tab_Compteur_6[[#This Row],[Index]]-E25,Tab_Compteur_6[[#This Row],[Quantité]])/Tab_Compteur_6[[#This Row],[Delta Jour]],""))</f>
        <v/>
      </c>
      <c r="H26" s="193" t="str">
        <f>IFERROR(Tab_Compteur_6[[#This Row],[Montant]]/Tab_Compteur_6[[#This Row],[Delta Jour]],"")</f>
        <v/>
      </c>
      <c r="I26" s="219" t="str">
        <f t="shared" si="1"/>
        <v/>
      </c>
      <c r="J26" s="216"/>
      <c r="K26" s="573"/>
      <c r="L26" s="573"/>
      <c r="M26" s="573"/>
    </row>
    <row r="27" spans="1:13">
      <c r="A27" s="55">
        <f t="shared" si="2"/>
        <v>1</v>
      </c>
      <c r="B27" s="88"/>
      <c r="C27" s="199"/>
      <c r="D27" s="202"/>
      <c r="E27" s="193"/>
      <c r="F27" s="193">
        <f t="shared" si="0"/>
        <v>0</v>
      </c>
      <c r="G27" s="193" t="str">
        <f>IF(IFERROR(IF(Str_TypeDonneesCpt6=Cpt_Index,Tab_Compteur_6[[#This Row],[Index]]-E26,Tab_Compteur_6[[#This Row],[Quantité]])/Tab_Compteur_6[[#This Row],[Delta Jour]],"")&lt;0,"",IFERROR(IF(Str_TypeDonneesCpt6=Cpt_Index,Tab_Compteur_6[[#This Row],[Index]]-E26,Tab_Compteur_6[[#This Row],[Quantité]])/Tab_Compteur_6[[#This Row],[Delta Jour]],""))</f>
        <v/>
      </c>
      <c r="H27" s="193" t="str">
        <f>IFERROR(Tab_Compteur_6[[#This Row],[Montant]]/Tab_Compteur_6[[#This Row],[Delta Jour]],"")</f>
        <v/>
      </c>
      <c r="I27" s="219" t="str">
        <f t="shared" si="1"/>
        <v/>
      </c>
      <c r="J27" s="216"/>
      <c r="K27" s="573"/>
      <c r="L27" s="573"/>
      <c r="M27" s="573"/>
    </row>
    <row r="28" spans="1:13">
      <c r="A28" s="55">
        <f t="shared" si="2"/>
        <v>1</v>
      </c>
      <c r="B28" s="88"/>
      <c r="C28" s="199"/>
      <c r="D28" s="202"/>
      <c r="E28" s="193"/>
      <c r="F28" s="193">
        <f t="shared" si="0"/>
        <v>0</v>
      </c>
      <c r="G28" s="193" t="str">
        <f>IF(IFERROR(IF(Str_TypeDonneesCpt6=Cpt_Index,Tab_Compteur_6[[#This Row],[Index]]-E27,Tab_Compteur_6[[#This Row],[Quantité]])/Tab_Compteur_6[[#This Row],[Delta Jour]],"")&lt;0,"",IFERROR(IF(Str_TypeDonneesCpt6=Cpt_Index,Tab_Compteur_6[[#This Row],[Index]]-E27,Tab_Compteur_6[[#This Row],[Quantité]])/Tab_Compteur_6[[#This Row],[Delta Jour]],""))</f>
        <v/>
      </c>
      <c r="H28" s="193" t="str">
        <f>IFERROR(Tab_Compteur_6[[#This Row],[Montant]]/Tab_Compteur_6[[#This Row],[Delta Jour]],"")</f>
        <v/>
      </c>
      <c r="I28" s="219" t="str">
        <f t="shared" si="1"/>
        <v/>
      </c>
      <c r="J28" s="216"/>
      <c r="K28" s="573"/>
      <c r="L28" s="573"/>
      <c r="M28" s="573"/>
    </row>
    <row r="29" spans="1:13">
      <c r="A29" s="55">
        <f t="shared" si="2"/>
        <v>1</v>
      </c>
      <c r="B29" s="88"/>
      <c r="C29" s="199"/>
      <c r="D29" s="202"/>
      <c r="E29" s="193"/>
      <c r="F29" s="193">
        <f t="shared" si="0"/>
        <v>0</v>
      </c>
      <c r="G29" s="193" t="str">
        <f>IF(IFERROR(IF(Str_TypeDonneesCpt6=Cpt_Index,Tab_Compteur_6[[#This Row],[Index]]-E28,Tab_Compteur_6[[#This Row],[Quantité]])/Tab_Compteur_6[[#This Row],[Delta Jour]],"")&lt;0,"",IFERROR(IF(Str_TypeDonneesCpt6=Cpt_Index,Tab_Compteur_6[[#This Row],[Index]]-E28,Tab_Compteur_6[[#This Row],[Quantité]])/Tab_Compteur_6[[#This Row],[Delta Jour]],""))</f>
        <v/>
      </c>
      <c r="H29" s="193" t="str">
        <f>IFERROR(Tab_Compteur_6[[#This Row],[Montant]]/Tab_Compteur_6[[#This Row],[Delta Jour]],"")</f>
        <v/>
      </c>
      <c r="I29" s="219" t="str">
        <f t="shared" si="1"/>
        <v/>
      </c>
      <c r="J29" s="216"/>
      <c r="K29" s="573"/>
      <c r="L29" s="573"/>
      <c r="M29" s="573"/>
    </row>
    <row r="30" spans="1:13">
      <c r="A30" s="55">
        <f t="shared" si="2"/>
        <v>1</v>
      </c>
      <c r="B30" s="88"/>
      <c r="C30" s="199"/>
      <c r="D30" s="202"/>
      <c r="E30" s="193"/>
      <c r="F30" s="193">
        <f t="shared" si="0"/>
        <v>0</v>
      </c>
      <c r="G30" s="193" t="str">
        <f>IF(IFERROR(IF(Str_TypeDonneesCpt6=Cpt_Index,Tab_Compteur_6[[#This Row],[Index]]-E29,Tab_Compteur_6[[#This Row],[Quantité]])/Tab_Compteur_6[[#This Row],[Delta Jour]],"")&lt;0,"",IFERROR(IF(Str_TypeDonneesCpt6=Cpt_Index,Tab_Compteur_6[[#This Row],[Index]]-E29,Tab_Compteur_6[[#This Row],[Quantité]])/Tab_Compteur_6[[#This Row],[Delta Jour]],""))</f>
        <v/>
      </c>
      <c r="H30" s="193" t="str">
        <f>IFERROR(Tab_Compteur_6[[#This Row],[Montant]]/Tab_Compteur_6[[#This Row],[Delta Jour]],"")</f>
        <v/>
      </c>
      <c r="I30" s="219" t="str">
        <f t="shared" si="1"/>
        <v/>
      </c>
      <c r="J30" s="216"/>
      <c r="K30" s="573"/>
      <c r="L30" s="573"/>
      <c r="M30" s="573"/>
    </row>
    <row r="31" spans="1:13">
      <c r="A31" s="55">
        <f t="shared" si="2"/>
        <v>1</v>
      </c>
      <c r="B31" s="88"/>
      <c r="C31" s="199"/>
      <c r="D31" s="202"/>
      <c r="E31" s="193"/>
      <c r="F31" s="193">
        <f t="shared" si="0"/>
        <v>0</v>
      </c>
      <c r="G31" s="193" t="str">
        <f>IF(IFERROR(IF(Str_TypeDonneesCpt6=Cpt_Index,Tab_Compteur_6[[#This Row],[Index]]-E30,Tab_Compteur_6[[#This Row],[Quantité]])/Tab_Compteur_6[[#This Row],[Delta Jour]],"")&lt;0,"",IFERROR(IF(Str_TypeDonneesCpt6=Cpt_Index,Tab_Compteur_6[[#This Row],[Index]]-E30,Tab_Compteur_6[[#This Row],[Quantité]])/Tab_Compteur_6[[#This Row],[Delta Jour]],""))</f>
        <v/>
      </c>
      <c r="H31" s="193" t="str">
        <f>IFERROR(Tab_Compteur_6[[#This Row],[Montant]]/Tab_Compteur_6[[#This Row],[Delta Jour]],"")</f>
        <v/>
      </c>
      <c r="I31" s="219" t="str">
        <f t="shared" si="1"/>
        <v/>
      </c>
      <c r="J31" s="216"/>
      <c r="K31" s="573"/>
      <c r="L31" s="573"/>
      <c r="M31" s="573"/>
    </row>
    <row r="32" spans="1:13">
      <c r="A32" s="55">
        <f t="shared" si="2"/>
        <v>1</v>
      </c>
      <c r="B32" s="88"/>
      <c r="C32" s="199"/>
      <c r="D32" s="202"/>
      <c r="E32" s="193"/>
      <c r="F32" s="193">
        <f t="shared" si="0"/>
        <v>0</v>
      </c>
      <c r="G32" s="193" t="str">
        <f>IF(IFERROR(IF(Str_TypeDonneesCpt6=Cpt_Index,Tab_Compteur_6[[#This Row],[Index]]-E31,Tab_Compteur_6[[#This Row],[Quantité]])/Tab_Compteur_6[[#This Row],[Delta Jour]],"")&lt;0,"",IFERROR(IF(Str_TypeDonneesCpt6=Cpt_Index,Tab_Compteur_6[[#This Row],[Index]]-E31,Tab_Compteur_6[[#This Row],[Quantité]])/Tab_Compteur_6[[#This Row],[Delta Jour]],""))</f>
        <v/>
      </c>
      <c r="H32" s="193" t="str">
        <f>IFERROR(Tab_Compteur_6[[#This Row],[Montant]]/Tab_Compteur_6[[#This Row],[Delta Jour]],"")</f>
        <v/>
      </c>
      <c r="I32" s="219" t="str">
        <f t="shared" si="1"/>
        <v/>
      </c>
      <c r="J32" s="216"/>
      <c r="K32" s="573"/>
      <c r="L32" s="573"/>
      <c r="M32" s="573"/>
    </row>
    <row r="33" spans="1:13">
      <c r="A33" s="55">
        <f t="shared" si="2"/>
        <v>1</v>
      </c>
      <c r="B33" s="88"/>
      <c r="C33" s="199"/>
      <c r="D33" s="202"/>
      <c r="E33" s="193"/>
      <c r="F33" s="193">
        <f t="shared" si="0"/>
        <v>0</v>
      </c>
      <c r="G33" s="193" t="str">
        <f>IF(IFERROR(IF(Str_TypeDonneesCpt6=Cpt_Index,Tab_Compteur_6[[#This Row],[Index]]-E32,Tab_Compteur_6[[#This Row],[Quantité]])/Tab_Compteur_6[[#This Row],[Delta Jour]],"")&lt;0,"",IFERROR(IF(Str_TypeDonneesCpt6=Cpt_Index,Tab_Compteur_6[[#This Row],[Index]]-E32,Tab_Compteur_6[[#This Row],[Quantité]])/Tab_Compteur_6[[#This Row],[Delta Jour]],""))</f>
        <v/>
      </c>
      <c r="H33" s="193" t="str">
        <f>IFERROR(Tab_Compteur_6[[#This Row],[Montant]]/Tab_Compteur_6[[#This Row],[Delta Jour]],"")</f>
        <v/>
      </c>
      <c r="I33" s="219" t="str">
        <f t="shared" si="1"/>
        <v/>
      </c>
      <c r="J33" s="216"/>
      <c r="K33" s="573"/>
      <c r="L33" s="573"/>
      <c r="M33" s="573"/>
    </row>
    <row r="34" spans="1:13">
      <c r="A34" s="55">
        <f t="shared" si="2"/>
        <v>1</v>
      </c>
      <c r="B34" s="88"/>
      <c r="C34" s="199"/>
      <c r="D34" s="202"/>
      <c r="E34" s="193"/>
      <c r="F34" s="193">
        <f t="shared" si="0"/>
        <v>0</v>
      </c>
      <c r="G34" s="193" t="str">
        <f>IF(IFERROR(IF(Str_TypeDonneesCpt6=Cpt_Index,Tab_Compteur_6[[#This Row],[Index]]-E33,Tab_Compteur_6[[#This Row],[Quantité]])/Tab_Compteur_6[[#This Row],[Delta Jour]],"")&lt;0,"",IFERROR(IF(Str_TypeDonneesCpt6=Cpt_Index,Tab_Compteur_6[[#This Row],[Index]]-E33,Tab_Compteur_6[[#This Row],[Quantité]])/Tab_Compteur_6[[#This Row],[Delta Jour]],""))</f>
        <v/>
      </c>
      <c r="H34" s="193" t="str">
        <f>IFERROR(Tab_Compteur_6[[#This Row],[Montant]]/Tab_Compteur_6[[#This Row],[Delta Jour]],"")</f>
        <v/>
      </c>
      <c r="I34" s="219" t="str">
        <f t="shared" si="1"/>
        <v/>
      </c>
      <c r="J34" s="216"/>
      <c r="K34" s="38"/>
      <c r="L34" s="38"/>
      <c r="M34" s="38"/>
    </row>
    <row r="35" spans="1:13">
      <c r="A35" s="55">
        <f t="shared" si="2"/>
        <v>1</v>
      </c>
      <c r="B35" s="88"/>
      <c r="C35" s="199"/>
      <c r="D35" s="202"/>
      <c r="E35" s="193"/>
      <c r="F35" s="193">
        <f t="shared" si="0"/>
        <v>0</v>
      </c>
      <c r="G35" s="193" t="str">
        <f>IF(IFERROR(IF(Str_TypeDonneesCpt6=Cpt_Index,Tab_Compteur_6[[#This Row],[Index]]-E34,Tab_Compteur_6[[#This Row],[Quantité]])/Tab_Compteur_6[[#This Row],[Delta Jour]],"")&lt;0,"",IFERROR(IF(Str_TypeDonneesCpt6=Cpt_Index,Tab_Compteur_6[[#This Row],[Index]]-E34,Tab_Compteur_6[[#This Row],[Quantité]])/Tab_Compteur_6[[#This Row],[Delta Jour]],""))</f>
        <v/>
      </c>
      <c r="H35" s="193" t="str">
        <f>IFERROR(Tab_Compteur_6[[#This Row],[Montant]]/Tab_Compteur_6[[#This Row],[Delta Jour]],"")</f>
        <v/>
      </c>
      <c r="I35" s="219" t="str">
        <f t="shared" si="1"/>
        <v/>
      </c>
      <c r="J35" s="216"/>
      <c r="K35" s="38"/>
      <c r="L35" s="38"/>
      <c r="M35" s="38"/>
    </row>
    <row r="36" spans="1:13">
      <c r="A36" s="55">
        <f t="shared" si="2"/>
        <v>1</v>
      </c>
      <c r="B36" s="88"/>
      <c r="C36" s="199"/>
      <c r="D36" s="202"/>
      <c r="E36" s="193"/>
      <c r="F36" s="193">
        <f t="shared" si="0"/>
        <v>0</v>
      </c>
      <c r="G36" s="193" t="str">
        <f>IF(IFERROR(IF(Str_TypeDonneesCpt6=Cpt_Index,Tab_Compteur_6[[#This Row],[Index]]-E35,Tab_Compteur_6[[#This Row],[Quantité]])/Tab_Compteur_6[[#This Row],[Delta Jour]],"")&lt;0,"",IFERROR(IF(Str_TypeDonneesCpt6=Cpt_Index,Tab_Compteur_6[[#This Row],[Index]]-E35,Tab_Compteur_6[[#This Row],[Quantité]])/Tab_Compteur_6[[#This Row],[Delta Jour]],""))</f>
        <v/>
      </c>
      <c r="H36" s="193" t="str">
        <f>IFERROR(Tab_Compteur_6[[#This Row],[Montant]]/Tab_Compteur_6[[#This Row],[Delta Jour]],"")</f>
        <v/>
      </c>
      <c r="I36" s="219" t="str">
        <f t="shared" si="1"/>
        <v/>
      </c>
      <c r="J36" s="216"/>
      <c r="K36" s="38"/>
      <c r="L36" s="38"/>
      <c r="M36" s="38"/>
    </row>
    <row r="37" spans="1:13">
      <c r="A37" s="55">
        <f t="shared" si="2"/>
        <v>1</v>
      </c>
      <c r="B37" s="88"/>
      <c r="C37" s="199"/>
      <c r="D37" s="202"/>
      <c r="E37" s="193"/>
      <c r="F37" s="193">
        <f t="shared" si="0"/>
        <v>0</v>
      </c>
      <c r="G37" s="193" t="str">
        <f>IF(IFERROR(IF(Str_TypeDonneesCpt6=Cpt_Index,Tab_Compteur_6[[#This Row],[Index]]-E36,Tab_Compteur_6[[#This Row],[Quantité]])/Tab_Compteur_6[[#This Row],[Delta Jour]],"")&lt;0,"",IFERROR(IF(Str_TypeDonneesCpt6=Cpt_Index,Tab_Compteur_6[[#This Row],[Index]]-E36,Tab_Compteur_6[[#This Row],[Quantité]])/Tab_Compteur_6[[#This Row],[Delta Jour]],""))</f>
        <v/>
      </c>
      <c r="H37" s="193" t="str">
        <f>IFERROR(Tab_Compteur_6[[#This Row],[Montant]]/Tab_Compteur_6[[#This Row],[Delta Jour]],"")</f>
        <v/>
      </c>
      <c r="I37" s="219" t="str">
        <f t="shared" si="1"/>
        <v/>
      </c>
      <c r="J37" s="216"/>
      <c r="K37" s="38"/>
      <c r="L37" s="38"/>
      <c r="M37" s="38"/>
    </row>
    <row r="38" spans="1:13">
      <c r="A38" s="55">
        <f t="shared" si="2"/>
        <v>1</v>
      </c>
      <c r="B38" s="88"/>
      <c r="C38" s="199"/>
      <c r="D38" s="202"/>
      <c r="E38" s="193"/>
      <c r="F38" s="193">
        <f t="shared" si="0"/>
        <v>0</v>
      </c>
      <c r="G38" s="193" t="str">
        <f>IF(IFERROR(IF(Str_TypeDonneesCpt6=Cpt_Index,Tab_Compteur_6[[#This Row],[Index]]-E37,Tab_Compteur_6[[#This Row],[Quantité]])/Tab_Compteur_6[[#This Row],[Delta Jour]],"")&lt;0,"",IFERROR(IF(Str_TypeDonneesCpt6=Cpt_Index,Tab_Compteur_6[[#This Row],[Index]]-E37,Tab_Compteur_6[[#This Row],[Quantité]])/Tab_Compteur_6[[#This Row],[Delta Jour]],""))</f>
        <v/>
      </c>
      <c r="H38" s="193" t="str">
        <f>IFERROR(Tab_Compteur_6[[#This Row],[Montant]]/Tab_Compteur_6[[#This Row],[Delta Jour]],"")</f>
        <v/>
      </c>
      <c r="I38" s="219" t="str">
        <f t="shared" si="1"/>
        <v/>
      </c>
      <c r="J38" s="216"/>
      <c r="K38" s="38"/>
      <c r="L38" s="38"/>
      <c r="M38" s="38"/>
    </row>
    <row r="39" spans="1:13">
      <c r="A39" s="55">
        <f t="shared" si="2"/>
        <v>1</v>
      </c>
      <c r="B39" s="88"/>
      <c r="C39" s="199"/>
      <c r="D39" s="202"/>
      <c r="E39" s="193"/>
      <c r="F39" s="193">
        <f t="shared" si="0"/>
        <v>0</v>
      </c>
      <c r="G39" s="193" t="str">
        <f>IF(IFERROR(IF(Str_TypeDonneesCpt6=Cpt_Index,Tab_Compteur_6[[#This Row],[Index]]-E38,Tab_Compteur_6[[#This Row],[Quantité]])/Tab_Compteur_6[[#This Row],[Delta Jour]],"")&lt;0,"",IFERROR(IF(Str_TypeDonneesCpt6=Cpt_Index,Tab_Compteur_6[[#This Row],[Index]]-E38,Tab_Compteur_6[[#This Row],[Quantité]])/Tab_Compteur_6[[#This Row],[Delta Jour]],""))</f>
        <v/>
      </c>
      <c r="H39" s="193" t="str">
        <f>IFERROR(Tab_Compteur_6[[#This Row],[Montant]]/Tab_Compteur_6[[#This Row],[Delta Jour]],"")</f>
        <v/>
      </c>
      <c r="I39" s="219" t="str">
        <f t="shared" si="1"/>
        <v/>
      </c>
      <c r="J39" s="216"/>
      <c r="K39" s="38"/>
      <c r="L39" s="38"/>
      <c r="M39" s="38"/>
    </row>
    <row r="40" spans="1:13">
      <c r="A40" s="55">
        <f t="shared" si="2"/>
        <v>1</v>
      </c>
      <c r="B40" s="88"/>
      <c r="C40" s="199"/>
      <c r="D40" s="202"/>
      <c r="E40" s="193"/>
      <c r="F40" s="193">
        <f t="shared" si="0"/>
        <v>0</v>
      </c>
      <c r="G40" s="193" t="str">
        <f>IF(IFERROR(IF(Str_TypeDonneesCpt6=Cpt_Index,Tab_Compteur_6[[#This Row],[Index]]-E39,Tab_Compteur_6[[#This Row],[Quantité]])/Tab_Compteur_6[[#This Row],[Delta Jour]],"")&lt;0,"",IFERROR(IF(Str_TypeDonneesCpt6=Cpt_Index,Tab_Compteur_6[[#This Row],[Index]]-E39,Tab_Compteur_6[[#This Row],[Quantité]])/Tab_Compteur_6[[#This Row],[Delta Jour]],""))</f>
        <v/>
      </c>
      <c r="H40" s="193" t="str">
        <f>IFERROR(Tab_Compteur_6[[#This Row],[Montant]]/Tab_Compteur_6[[#This Row],[Delta Jour]],"")</f>
        <v/>
      </c>
      <c r="I40" s="219" t="str">
        <f t="shared" si="1"/>
        <v/>
      </c>
      <c r="J40" s="216"/>
      <c r="K40" s="38"/>
      <c r="L40" s="38"/>
      <c r="M40" s="38"/>
    </row>
    <row r="41" spans="1:13">
      <c r="A41" s="55">
        <f t="shared" si="2"/>
        <v>1</v>
      </c>
      <c r="B41" s="88"/>
      <c r="C41" s="199"/>
      <c r="D41" s="202"/>
      <c r="E41" s="193"/>
      <c r="F41" s="193">
        <f t="shared" si="0"/>
        <v>0</v>
      </c>
      <c r="G41" s="193" t="str">
        <f>IF(IFERROR(IF(Str_TypeDonneesCpt6=Cpt_Index,Tab_Compteur_6[[#This Row],[Index]]-E40,Tab_Compteur_6[[#This Row],[Quantité]])/Tab_Compteur_6[[#This Row],[Delta Jour]],"")&lt;0,"",IFERROR(IF(Str_TypeDonneesCpt6=Cpt_Index,Tab_Compteur_6[[#This Row],[Index]]-E40,Tab_Compteur_6[[#This Row],[Quantité]])/Tab_Compteur_6[[#This Row],[Delta Jour]],""))</f>
        <v/>
      </c>
      <c r="H41" s="193" t="str">
        <f>IFERROR(Tab_Compteur_6[[#This Row],[Montant]]/Tab_Compteur_6[[#This Row],[Delta Jour]],"")</f>
        <v/>
      </c>
      <c r="I41" s="219" t="str">
        <f t="shared" si="1"/>
        <v/>
      </c>
      <c r="J41" s="216"/>
      <c r="K41" s="38"/>
      <c r="L41" s="38"/>
      <c r="M41" s="38"/>
    </row>
    <row r="42" spans="1:13">
      <c r="A42" s="55">
        <f t="shared" si="2"/>
        <v>1</v>
      </c>
      <c r="B42" s="88"/>
      <c r="C42" s="199"/>
      <c r="D42" s="202"/>
      <c r="E42" s="193"/>
      <c r="F42" s="193">
        <f t="shared" si="0"/>
        <v>0</v>
      </c>
      <c r="G42" s="193" t="str">
        <f>IF(IFERROR(IF(Str_TypeDonneesCpt6=Cpt_Index,Tab_Compteur_6[[#This Row],[Index]]-E41,Tab_Compteur_6[[#This Row],[Quantité]])/Tab_Compteur_6[[#This Row],[Delta Jour]],"")&lt;0,"",IFERROR(IF(Str_TypeDonneesCpt6=Cpt_Index,Tab_Compteur_6[[#This Row],[Index]]-E41,Tab_Compteur_6[[#This Row],[Quantité]])/Tab_Compteur_6[[#This Row],[Delta Jour]],""))</f>
        <v/>
      </c>
      <c r="H42" s="193" t="str">
        <f>IFERROR(Tab_Compteur_6[[#This Row],[Montant]]/Tab_Compteur_6[[#This Row],[Delta Jour]],"")</f>
        <v/>
      </c>
      <c r="I42" s="219" t="str">
        <f t="shared" si="1"/>
        <v/>
      </c>
      <c r="J42" s="216"/>
      <c r="K42" s="38"/>
      <c r="L42" s="38"/>
      <c r="M42" s="38"/>
    </row>
    <row r="43" spans="1:13">
      <c r="A43" s="55">
        <f t="shared" si="2"/>
        <v>1</v>
      </c>
      <c r="B43" s="88"/>
      <c r="C43" s="199"/>
      <c r="D43" s="202"/>
      <c r="E43" s="193"/>
      <c r="F43" s="193">
        <f t="shared" si="0"/>
        <v>0</v>
      </c>
      <c r="G43" s="193" t="str">
        <f>IF(IFERROR(IF(Str_TypeDonneesCpt6=Cpt_Index,Tab_Compteur_6[[#This Row],[Index]]-E42,Tab_Compteur_6[[#This Row],[Quantité]])/Tab_Compteur_6[[#This Row],[Delta Jour]],"")&lt;0,"",IFERROR(IF(Str_TypeDonneesCpt6=Cpt_Index,Tab_Compteur_6[[#This Row],[Index]]-E42,Tab_Compteur_6[[#This Row],[Quantité]])/Tab_Compteur_6[[#This Row],[Delta Jour]],""))</f>
        <v/>
      </c>
      <c r="H43" s="193" t="str">
        <f>IFERROR(Tab_Compteur_6[[#This Row],[Montant]]/Tab_Compteur_6[[#This Row],[Delta Jour]],"")</f>
        <v/>
      </c>
      <c r="I43" s="219" t="str">
        <f t="shared" si="1"/>
        <v/>
      </c>
      <c r="J43" s="216"/>
      <c r="K43" s="38"/>
      <c r="L43" s="38"/>
      <c r="M43" s="38"/>
    </row>
    <row r="44" spans="1:13">
      <c r="A44" s="55">
        <f t="shared" si="2"/>
        <v>1</v>
      </c>
      <c r="B44" s="88"/>
      <c r="C44" s="199"/>
      <c r="D44" s="202"/>
      <c r="E44" s="193"/>
      <c r="F44" s="193">
        <f t="shared" si="0"/>
        <v>0</v>
      </c>
      <c r="G44" s="193" t="str">
        <f>IF(IFERROR(IF(Str_TypeDonneesCpt6=Cpt_Index,Tab_Compteur_6[[#This Row],[Index]]-E43,Tab_Compteur_6[[#This Row],[Quantité]])/Tab_Compteur_6[[#This Row],[Delta Jour]],"")&lt;0,"",IFERROR(IF(Str_TypeDonneesCpt6=Cpt_Index,Tab_Compteur_6[[#This Row],[Index]]-E43,Tab_Compteur_6[[#This Row],[Quantité]])/Tab_Compteur_6[[#This Row],[Delta Jour]],""))</f>
        <v/>
      </c>
      <c r="H44" s="193" t="str">
        <f>IFERROR(Tab_Compteur_6[[#This Row],[Montant]]/Tab_Compteur_6[[#This Row],[Delta Jour]],"")</f>
        <v/>
      </c>
      <c r="I44" s="219" t="str">
        <f t="shared" si="1"/>
        <v/>
      </c>
      <c r="J44" s="216"/>
      <c r="K44" s="38"/>
      <c r="L44" s="38"/>
      <c r="M44" s="38"/>
    </row>
    <row r="45" spans="1:13">
      <c r="A45" s="55">
        <f t="shared" si="2"/>
        <v>1</v>
      </c>
      <c r="B45" s="88"/>
      <c r="C45" s="199"/>
      <c r="D45" s="202"/>
      <c r="E45" s="193"/>
      <c r="F45" s="193">
        <f t="shared" si="0"/>
        <v>0</v>
      </c>
      <c r="G45" s="193" t="str">
        <f>IF(IFERROR(IF(Str_TypeDonneesCpt6=Cpt_Index,Tab_Compteur_6[[#This Row],[Index]]-E44,Tab_Compteur_6[[#This Row],[Quantité]])/Tab_Compteur_6[[#This Row],[Delta Jour]],"")&lt;0,"",IFERROR(IF(Str_TypeDonneesCpt6=Cpt_Index,Tab_Compteur_6[[#This Row],[Index]]-E44,Tab_Compteur_6[[#This Row],[Quantité]])/Tab_Compteur_6[[#This Row],[Delta Jour]],""))</f>
        <v/>
      </c>
      <c r="H45" s="193" t="str">
        <f>IFERROR(Tab_Compteur_6[[#This Row],[Montant]]/Tab_Compteur_6[[#This Row],[Delta Jour]],"")</f>
        <v/>
      </c>
      <c r="I45" s="219" t="str">
        <f t="shared" si="1"/>
        <v/>
      </c>
      <c r="J45" s="216"/>
      <c r="K45" s="38"/>
      <c r="L45" s="38"/>
      <c r="M45" s="38"/>
    </row>
    <row r="46" spans="1:13">
      <c r="A46" s="55">
        <f t="shared" si="2"/>
        <v>1</v>
      </c>
      <c r="B46" s="88"/>
      <c r="C46" s="199"/>
      <c r="D46" s="202"/>
      <c r="E46" s="193"/>
      <c r="F46" s="193">
        <f t="shared" si="0"/>
        <v>0</v>
      </c>
      <c r="G46" s="193" t="str">
        <f>IF(IFERROR(IF(Str_TypeDonneesCpt6=Cpt_Index,Tab_Compteur_6[[#This Row],[Index]]-E45,Tab_Compteur_6[[#This Row],[Quantité]])/Tab_Compteur_6[[#This Row],[Delta Jour]],"")&lt;0,"",IFERROR(IF(Str_TypeDonneesCpt6=Cpt_Index,Tab_Compteur_6[[#This Row],[Index]]-E45,Tab_Compteur_6[[#This Row],[Quantité]])/Tab_Compteur_6[[#This Row],[Delta Jour]],""))</f>
        <v/>
      </c>
      <c r="H46" s="193" t="str">
        <f>IFERROR(Tab_Compteur_6[[#This Row],[Montant]]/Tab_Compteur_6[[#This Row],[Delta Jour]],"")</f>
        <v/>
      </c>
      <c r="I46" s="219" t="str">
        <f t="shared" si="1"/>
        <v/>
      </c>
      <c r="J46" s="216"/>
      <c r="K46" s="38"/>
      <c r="L46" s="38"/>
      <c r="M46" s="38"/>
    </row>
    <row r="47" spans="1:13">
      <c r="A47" s="55">
        <f t="shared" si="2"/>
        <v>1</v>
      </c>
      <c r="B47" s="88"/>
      <c r="C47" s="199"/>
      <c r="D47" s="202"/>
      <c r="E47" s="193"/>
      <c r="F47" s="193">
        <f t="shared" si="0"/>
        <v>0</v>
      </c>
      <c r="G47" s="193" t="str">
        <f>IF(IFERROR(IF(Str_TypeDonneesCpt6=Cpt_Index,Tab_Compteur_6[[#This Row],[Index]]-E46,Tab_Compteur_6[[#This Row],[Quantité]])/Tab_Compteur_6[[#This Row],[Delta Jour]],"")&lt;0,"",IFERROR(IF(Str_TypeDonneesCpt6=Cpt_Index,Tab_Compteur_6[[#This Row],[Index]]-E46,Tab_Compteur_6[[#This Row],[Quantité]])/Tab_Compteur_6[[#This Row],[Delta Jour]],""))</f>
        <v/>
      </c>
      <c r="H47" s="193" t="str">
        <f>IFERROR(Tab_Compteur_6[[#This Row],[Montant]]/Tab_Compteur_6[[#This Row],[Delta Jour]],"")</f>
        <v/>
      </c>
      <c r="I47" s="219" t="str">
        <f t="shared" si="1"/>
        <v/>
      </c>
      <c r="J47" s="216"/>
      <c r="K47" s="38"/>
      <c r="L47" s="38"/>
      <c r="M47" s="38"/>
    </row>
    <row r="48" spans="1:13">
      <c r="A48" s="55">
        <f t="shared" si="2"/>
        <v>1</v>
      </c>
      <c r="B48" s="88"/>
      <c r="C48" s="199"/>
      <c r="D48" s="202"/>
      <c r="E48" s="193"/>
      <c r="F48" s="193">
        <f t="shared" si="0"/>
        <v>0</v>
      </c>
      <c r="G48" s="193" t="str">
        <f>IF(IFERROR(IF(Str_TypeDonneesCpt6=Cpt_Index,Tab_Compteur_6[[#This Row],[Index]]-E47,Tab_Compteur_6[[#This Row],[Quantité]])/Tab_Compteur_6[[#This Row],[Delta Jour]],"")&lt;0,"",IFERROR(IF(Str_TypeDonneesCpt6=Cpt_Index,Tab_Compteur_6[[#This Row],[Index]]-E47,Tab_Compteur_6[[#This Row],[Quantité]])/Tab_Compteur_6[[#This Row],[Delta Jour]],""))</f>
        <v/>
      </c>
      <c r="H48" s="193" t="str">
        <f>IFERROR(Tab_Compteur_6[[#This Row],[Montant]]/Tab_Compteur_6[[#This Row],[Delta Jour]],"")</f>
        <v/>
      </c>
      <c r="I48" s="219" t="str">
        <f t="shared" si="1"/>
        <v/>
      </c>
      <c r="J48" s="216"/>
      <c r="K48" s="38"/>
      <c r="L48" s="38"/>
      <c r="M48" s="38"/>
    </row>
    <row r="49" spans="1:13">
      <c r="A49" s="55">
        <f t="shared" si="2"/>
        <v>1</v>
      </c>
      <c r="B49" s="88"/>
      <c r="C49" s="199"/>
      <c r="D49" s="202"/>
      <c r="E49" s="193"/>
      <c r="F49" s="193">
        <f t="shared" si="0"/>
        <v>0</v>
      </c>
      <c r="G49" s="193" t="str">
        <f>IF(IFERROR(IF(Str_TypeDonneesCpt6=Cpt_Index,Tab_Compteur_6[[#This Row],[Index]]-E48,Tab_Compteur_6[[#This Row],[Quantité]])/Tab_Compteur_6[[#This Row],[Delta Jour]],"")&lt;0,"",IFERROR(IF(Str_TypeDonneesCpt6=Cpt_Index,Tab_Compteur_6[[#This Row],[Index]]-E48,Tab_Compteur_6[[#This Row],[Quantité]])/Tab_Compteur_6[[#This Row],[Delta Jour]],""))</f>
        <v/>
      </c>
      <c r="H49" s="193" t="str">
        <f>IFERROR(Tab_Compteur_6[[#This Row],[Montant]]/Tab_Compteur_6[[#This Row],[Delta Jour]],"")</f>
        <v/>
      </c>
      <c r="I49" s="219" t="str">
        <f t="shared" si="1"/>
        <v/>
      </c>
      <c r="J49" s="216"/>
      <c r="K49" s="38"/>
      <c r="L49" s="38"/>
      <c r="M49" s="38"/>
    </row>
    <row r="50" spans="1:13">
      <c r="A50" s="55">
        <f t="shared" si="2"/>
        <v>1</v>
      </c>
      <c r="B50" s="88"/>
      <c r="C50" s="199"/>
      <c r="D50" s="202"/>
      <c r="E50" s="193"/>
      <c r="F50" s="193">
        <f t="shared" si="0"/>
        <v>0</v>
      </c>
      <c r="G50" s="193" t="str">
        <f>IF(IFERROR(IF(Str_TypeDonneesCpt6=Cpt_Index,Tab_Compteur_6[[#This Row],[Index]]-E49,Tab_Compteur_6[[#This Row],[Quantité]])/Tab_Compteur_6[[#This Row],[Delta Jour]],"")&lt;0,"",IFERROR(IF(Str_TypeDonneesCpt6=Cpt_Index,Tab_Compteur_6[[#This Row],[Index]]-E49,Tab_Compteur_6[[#This Row],[Quantité]])/Tab_Compteur_6[[#This Row],[Delta Jour]],""))</f>
        <v/>
      </c>
      <c r="H50" s="193" t="str">
        <f>IFERROR(Tab_Compteur_6[[#This Row],[Montant]]/Tab_Compteur_6[[#This Row],[Delta Jour]],"")</f>
        <v/>
      </c>
      <c r="I50" s="219" t="str">
        <f t="shared" si="1"/>
        <v/>
      </c>
      <c r="J50" s="216"/>
      <c r="K50" s="38"/>
      <c r="L50" s="38"/>
      <c r="M50" s="38"/>
    </row>
    <row r="51" spans="1:13">
      <c r="A51" s="55">
        <f t="shared" si="2"/>
        <v>1</v>
      </c>
      <c r="B51" s="88"/>
      <c r="C51" s="199"/>
      <c r="D51" s="202"/>
      <c r="E51" s="193"/>
      <c r="F51" s="193">
        <f t="shared" si="0"/>
        <v>0</v>
      </c>
      <c r="G51" s="193" t="str">
        <f>IF(IFERROR(IF(Str_TypeDonneesCpt6=Cpt_Index,Tab_Compteur_6[[#This Row],[Index]]-E50,Tab_Compteur_6[[#This Row],[Quantité]])/Tab_Compteur_6[[#This Row],[Delta Jour]],"")&lt;0,"",IFERROR(IF(Str_TypeDonneesCpt6=Cpt_Index,Tab_Compteur_6[[#This Row],[Index]]-E50,Tab_Compteur_6[[#This Row],[Quantité]])/Tab_Compteur_6[[#This Row],[Delta Jour]],""))</f>
        <v/>
      </c>
      <c r="H51" s="193" t="str">
        <f>IFERROR(Tab_Compteur_6[[#This Row],[Montant]]/Tab_Compteur_6[[#This Row],[Delta Jour]],"")</f>
        <v/>
      </c>
      <c r="I51" s="219" t="str">
        <f t="shared" si="1"/>
        <v/>
      </c>
      <c r="J51" s="216"/>
      <c r="K51" s="38"/>
      <c r="L51" s="38"/>
      <c r="M51" s="38"/>
    </row>
    <row r="52" spans="1:13">
      <c r="A52" s="55">
        <f t="shared" si="2"/>
        <v>1</v>
      </c>
      <c r="B52" s="88"/>
      <c r="C52" s="199"/>
      <c r="D52" s="202"/>
      <c r="E52" s="193"/>
      <c r="F52" s="193">
        <f t="shared" si="0"/>
        <v>0</v>
      </c>
      <c r="G52" s="193" t="str">
        <f>IF(IFERROR(IF(Str_TypeDonneesCpt6=Cpt_Index,Tab_Compteur_6[[#This Row],[Index]]-E51,Tab_Compteur_6[[#This Row],[Quantité]])/Tab_Compteur_6[[#This Row],[Delta Jour]],"")&lt;0,"",IFERROR(IF(Str_TypeDonneesCpt6=Cpt_Index,Tab_Compteur_6[[#This Row],[Index]]-E51,Tab_Compteur_6[[#This Row],[Quantité]])/Tab_Compteur_6[[#This Row],[Delta Jour]],""))</f>
        <v/>
      </c>
      <c r="H52" s="193" t="str">
        <f>IFERROR(Tab_Compteur_6[[#This Row],[Montant]]/Tab_Compteur_6[[#This Row],[Delta Jour]],"")</f>
        <v/>
      </c>
      <c r="I52" s="219" t="str">
        <f t="shared" si="1"/>
        <v/>
      </c>
      <c r="J52" s="216"/>
      <c r="K52" s="38"/>
      <c r="L52" s="38"/>
      <c r="M52" s="38"/>
    </row>
    <row r="53" spans="1:13">
      <c r="A53" s="55">
        <f t="shared" si="2"/>
        <v>1</v>
      </c>
      <c r="B53" s="88"/>
      <c r="C53" s="199"/>
      <c r="D53" s="202"/>
      <c r="E53" s="193"/>
      <c r="F53" s="193">
        <f t="shared" si="0"/>
        <v>0</v>
      </c>
      <c r="G53" s="193" t="str">
        <f>IF(IFERROR(IF(Str_TypeDonneesCpt6=Cpt_Index,Tab_Compteur_6[[#This Row],[Index]]-E52,Tab_Compteur_6[[#This Row],[Quantité]])/Tab_Compteur_6[[#This Row],[Delta Jour]],"")&lt;0,"",IFERROR(IF(Str_TypeDonneesCpt6=Cpt_Index,Tab_Compteur_6[[#This Row],[Index]]-E52,Tab_Compteur_6[[#This Row],[Quantité]])/Tab_Compteur_6[[#This Row],[Delta Jour]],""))</f>
        <v/>
      </c>
      <c r="H53" s="193" t="str">
        <f>IFERROR(Tab_Compteur_6[[#This Row],[Montant]]/Tab_Compteur_6[[#This Row],[Delta Jour]],"")</f>
        <v/>
      </c>
      <c r="I53" s="219" t="str">
        <f t="shared" si="1"/>
        <v/>
      </c>
      <c r="J53" s="216"/>
      <c r="K53" s="38"/>
      <c r="L53" s="38"/>
      <c r="M53" s="38"/>
    </row>
    <row r="54" spans="1:13">
      <c r="A54" s="55">
        <f t="shared" si="2"/>
        <v>1</v>
      </c>
      <c r="B54" s="88"/>
      <c r="C54" s="199"/>
      <c r="D54" s="202"/>
      <c r="E54" s="193"/>
      <c r="F54" s="193">
        <f t="shared" si="0"/>
        <v>0</v>
      </c>
      <c r="G54" s="193" t="str">
        <f>IF(IFERROR(IF(Str_TypeDonneesCpt6=Cpt_Index,Tab_Compteur_6[[#This Row],[Index]]-E53,Tab_Compteur_6[[#This Row],[Quantité]])/Tab_Compteur_6[[#This Row],[Delta Jour]],"")&lt;0,"",IFERROR(IF(Str_TypeDonneesCpt6=Cpt_Index,Tab_Compteur_6[[#This Row],[Index]]-E53,Tab_Compteur_6[[#This Row],[Quantité]])/Tab_Compteur_6[[#This Row],[Delta Jour]],""))</f>
        <v/>
      </c>
      <c r="H54" s="193" t="str">
        <f>IFERROR(Tab_Compteur_6[[#This Row],[Montant]]/Tab_Compteur_6[[#This Row],[Delta Jour]],"")</f>
        <v/>
      </c>
      <c r="I54" s="219" t="str">
        <f t="shared" si="1"/>
        <v/>
      </c>
      <c r="J54" s="216"/>
      <c r="K54" s="38"/>
      <c r="L54" s="38"/>
      <c r="M54" s="38"/>
    </row>
    <row r="55" spans="1:13">
      <c r="A55" s="55">
        <f t="shared" si="2"/>
        <v>1</v>
      </c>
      <c r="B55" s="88"/>
      <c r="C55" s="199"/>
      <c r="D55" s="202"/>
      <c r="E55" s="193"/>
      <c r="F55" s="193">
        <f t="shared" si="0"/>
        <v>0</v>
      </c>
      <c r="G55" s="193" t="str">
        <f>IF(IFERROR(IF(Str_TypeDonneesCpt6=Cpt_Index,Tab_Compteur_6[[#This Row],[Index]]-E54,Tab_Compteur_6[[#This Row],[Quantité]])/Tab_Compteur_6[[#This Row],[Delta Jour]],"")&lt;0,"",IFERROR(IF(Str_TypeDonneesCpt6=Cpt_Index,Tab_Compteur_6[[#This Row],[Index]]-E54,Tab_Compteur_6[[#This Row],[Quantité]])/Tab_Compteur_6[[#This Row],[Delta Jour]],""))</f>
        <v/>
      </c>
      <c r="H55" s="193" t="str">
        <f>IFERROR(Tab_Compteur_6[[#This Row],[Montant]]/Tab_Compteur_6[[#This Row],[Delta Jour]],"")</f>
        <v/>
      </c>
      <c r="I55" s="219" t="str">
        <f t="shared" si="1"/>
        <v/>
      </c>
      <c r="J55" s="216"/>
      <c r="K55" s="38"/>
      <c r="L55" s="38"/>
      <c r="M55" s="38"/>
    </row>
    <row r="56" spans="1:13">
      <c r="A56" s="55">
        <f t="shared" si="2"/>
        <v>1</v>
      </c>
      <c r="B56" s="88"/>
      <c r="C56" s="199"/>
      <c r="D56" s="202"/>
      <c r="E56" s="193"/>
      <c r="F56" s="193">
        <f t="shared" si="0"/>
        <v>0</v>
      </c>
      <c r="G56" s="193" t="str">
        <f>IF(IFERROR(IF(Str_TypeDonneesCpt6=Cpt_Index,Tab_Compteur_6[[#This Row],[Index]]-E55,Tab_Compteur_6[[#This Row],[Quantité]])/Tab_Compteur_6[[#This Row],[Delta Jour]],"")&lt;0,"",IFERROR(IF(Str_TypeDonneesCpt6=Cpt_Index,Tab_Compteur_6[[#This Row],[Index]]-E55,Tab_Compteur_6[[#This Row],[Quantité]])/Tab_Compteur_6[[#This Row],[Delta Jour]],""))</f>
        <v/>
      </c>
      <c r="H56" s="193" t="str">
        <f>IFERROR(Tab_Compteur_6[[#This Row],[Montant]]/Tab_Compteur_6[[#This Row],[Delta Jour]],"")</f>
        <v/>
      </c>
      <c r="I56" s="219" t="str">
        <f t="shared" si="1"/>
        <v/>
      </c>
      <c r="J56" s="216"/>
      <c r="K56" s="38"/>
      <c r="L56" s="38"/>
      <c r="M56" s="38"/>
    </row>
    <row r="57" spans="1:13">
      <c r="A57" s="55">
        <f t="shared" si="2"/>
        <v>1</v>
      </c>
      <c r="B57" s="88"/>
      <c r="C57" s="199"/>
      <c r="D57" s="202"/>
      <c r="E57" s="193"/>
      <c r="F57" s="193">
        <f t="shared" si="0"/>
        <v>0</v>
      </c>
      <c r="G57" s="193" t="str">
        <f>IF(IFERROR(IF(Str_TypeDonneesCpt6=Cpt_Index,Tab_Compteur_6[[#This Row],[Index]]-E56,Tab_Compteur_6[[#This Row],[Quantité]])/Tab_Compteur_6[[#This Row],[Delta Jour]],"")&lt;0,"",IFERROR(IF(Str_TypeDonneesCpt6=Cpt_Index,Tab_Compteur_6[[#This Row],[Index]]-E56,Tab_Compteur_6[[#This Row],[Quantité]])/Tab_Compteur_6[[#This Row],[Delta Jour]],""))</f>
        <v/>
      </c>
      <c r="H57" s="193" t="str">
        <f>IFERROR(Tab_Compteur_6[[#This Row],[Montant]]/Tab_Compteur_6[[#This Row],[Delta Jour]],"")</f>
        <v/>
      </c>
      <c r="I57" s="219" t="str">
        <f t="shared" si="1"/>
        <v/>
      </c>
      <c r="J57" s="216"/>
      <c r="K57" s="38"/>
      <c r="L57" s="38"/>
      <c r="M57" s="38"/>
    </row>
    <row r="58" spans="1:13">
      <c r="A58" s="55">
        <f t="shared" si="2"/>
        <v>1</v>
      </c>
      <c r="B58" s="88"/>
      <c r="C58" s="199"/>
      <c r="D58" s="202"/>
      <c r="E58" s="193"/>
      <c r="F58" s="193">
        <f t="shared" si="0"/>
        <v>0</v>
      </c>
      <c r="G58" s="193" t="str">
        <f>IF(IFERROR(IF(Str_TypeDonneesCpt6=Cpt_Index,Tab_Compteur_6[[#This Row],[Index]]-E57,Tab_Compteur_6[[#This Row],[Quantité]])/Tab_Compteur_6[[#This Row],[Delta Jour]],"")&lt;0,"",IFERROR(IF(Str_TypeDonneesCpt6=Cpt_Index,Tab_Compteur_6[[#This Row],[Index]]-E57,Tab_Compteur_6[[#This Row],[Quantité]])/Tab_Compteur_6[[#This Row],[Delta Jour]],""))</f>
        <v/>
      </c>
      <c r="H58" s="193" t="str">
        <f>IFERROR(Tab_Compteur_6[[#This Row],[Montant]]/Tab_Compteur_6[[#This Row],[Delta Jour]],"")</f>
        <v/>
      </c>
      <c r="I58" s="219" t="str">
        <f t="shared" si="1"/>
        <v/>
      </c>
      <c r="J58" s="216"/>
      <c r="K58" s="38"/>
      <c r="L58" s="38"/>
      <c r="M58" s="38"/>
    </row>
    <row r="59" spans="1:13">
      <c r="A59" s="55">
        <f t="shared" si="2"/>
        <v>1</v>
      </c>
      <c r="B59" s="88"/>
      <c r="C59" s="199"/>
      <c r="D59" s="202"/>
      <c r="E59" s="193"/>
      <c r="F59" s="193">
        <f t="shared" si="0"/>
        <v>0</v>
      </c>
      <c r="G59" s="193" t="str">
        <f>IF(IFERROR(IF(Str_TypeDonneesCpt6=Cpt_Index,Tab_Compteur_6[[#This Row],[Index]]-E58,Tab_Compteur_6[[#This Row],[Quantité]])/Tab_Compteur_6[[#This Row],[Delta Jour]],"")&lt;0,"",IFERROR(IF(Str_TypeDonneesCpt6=Cpt_Index,Tab_Compteur_6[[#This Row],[Index]]-E58,Tab_Compteur_6[[#This Row],[Quantité]])/Tab_Compteur_6[[#This Row],[Delta Jour]],""))</f>
        <v/>
      </c>
      <c r="H59" s="193" t="str">
        <f>IFERROR(Tab_Compteur_6[[#This Row],[Montant]]/Tab_Compteur_6[[#This Row],[Delta Jour]],"")</f>
        <v/>
      </c>
      <c r="I59" s="219" t="str">
        <f t="shared" si="1"/>
        <v/>
      </c>
      <c r="J59" s="216"/>
      <c r="K59" s="38"/>
      <c r="L59" s="38"/>
      <c r="M59" s="38"/>
    </row>
    <row r="60" spans="1:13">
      <c r="A60" s="55">
        <f t="shared" si="2"/>
        <v>1</v>
      </c>
      <c r="B60" s="88"/>
      <c r="C60" s="199"/>
      <c r="D60" s="202"/>
      <c r="E60" s="193"/>
      <c r="F60" s="193">
        <f t="shared" si="0"/>
        <v>0</v>
      </c>
      <c r="G60" s="193" t="str">
        <f>IF(IFERROR(IF(Str_TypeDonneesCpt6=Cpt_Index,Tab_Compteur_6[[#This Row],[Index]]-E59,Tab_Compteur_6[[#This Row],[Quantité]])/Tab_Compteur_6[[#This Row],[Delta Jour]],"")&lt;0,"",IFERROR(IF(Str_TypeDonneesCpt6=Cpt_Index,Tab_Compteur_6[[#This Row],[Index]]-E59,Tab_Compteur_6[[#This Row],[Quantité]])/Tab_Compteur_6[[#This Row],[Delta Jour]],""))</f>
        <v/>
      </c>
      <c r="H60" s="193" t="str">
        <f>IFERROR(Tab_Compteur_6[[#This Row],[Montant]]/Tab_Compteur_6[[#This Row],[Delta Jour]],"")</f>
        <v/>
      </c>
      <c r="I60" s="219" t="str">
        <f t="shared" si="1"/>
        <v/>
      </c>
      <c r="J60" s="216"/>
      <c r="K60" s="38"/>
      <c r="L60" s="38"/>
      <c r="M60" s="38"/>
    </row>
    <row r="61" spans="1:13">
      <c r="A61" s="55">
        <f t="shared" si="2"/>
        <v>1</v>
      </c>
      <c r="B61" s="88"/>
      <c r="C61" s="199"/>
      <c r="D61" s="202"/>
      <c r="E61" s="193"/>
      <c r="F61" s="193">
        <f t="shared" si="0"/>
        <v>0</v>
      </c>
      <c r="G61" s="193" t="str">
        <f>IF(IFERROR(IF(Str_TypeDonneesCpt6=Cpt_Index,Tab_Compteur_6[[#This Row],[Index]]-E60,Tab_Compteur_6[[#This Row],[Quantité]])/Tab_Compteur_6[[#This Row],[Delta Jour]],"")&lt;0,"",IFERROR(IF(Str_TypeDonneesCpt6=Cpt_Index,Tab_Compteur_6[[#This Row],[Index]]-E60,Tab_Compteur_6[[#This Row],[Quantité]])/Tab_Compteur_6[[#This Row],[Delta Jour]],""))</f>
        <v/>
      </c>
      <c r="H61" s="193" t="str">
        <f>IFERROR(Tab_Compteur_6[[#This Row],[Montant]]/Tab_Compteur_6[[#This Row],[Delta Jour]],"")</f>
        <v/>
      </c>
      <c r="I61" s="219" t="str">
        <f t="shared" si="1"/>
        <v/>
      </c>
      <c r="J61" s="216"/>
      <c r="K61" s="38"/>
      <c r="L61" s="38"/>
      <c r="M61" s="38"/>
    </row>
    <row r="62" spans="1:13">
      <c r="A62" s="55">
        <f t="shared" si="2"/>
        <v>1</v>
      </c>
      <c r="B62" s="88"/>
      <c r="C62" s="199"/>
      <c r="D62" s="202"/>
      <c r="E62" s="193"/>
      <c r="F62" s="193">
        <f t="shared" si="0"/>
        <v>0</v>
      </c>
      <c r="G62" s="193" t="str">
        <f>IF(IFERROR(IF(Str_TypeDonneesCpt6=Cpt_Index,Tab_Compteur_6[[#This Row],[Index]]-E61,Tab_Compteur_6[[#This Row],[Quantité]])/Tab_Compteur_6[[#This Row],[Delta Jour]],"")&lt;0,"",IFERROR(IF(Str_TypeDonneesCpt6=Cpt_Index,Tab_Compteur_6[[#This Row],[Index]]-E61,Tab_Compteur_6[[#This Row],[Quantité]])/Tab_Compteur_6[[#This Row],[Delta Jour]],""))</f>
        <v/>
      </c>
      <c r="H62" s="193" t="str">
        <f>IFERROR(Tab_Compteur_6[[#This Row],[Montant]]/Tab_Compteur_6[[#This Row],[Delta Jour]],"")</f>
        <v/>
      </c>
      <c r="I62" s="219" t="str">
        <f t="shared" si="1"/>
        <v/>
      </c>
      <c r="J62" s="216"/>
      <c r="K62" s="38"/>
      <c r="L62" s="38"/>
      <c r="M62" s="38"/>
    </row>
    <row r="63" spans="1:13">
      <c r="A63" s="55">
        <f t="shared" si="2"/>
        <v>1</v>
      </c>
      <c r="B63" s="88"/>
      <c r="C63" s="199"/>
      <c r="D63" s="202"/>
      <c r="E63" s="193"/>
      <c r="F63" s="193">
        <f t="shared" si="0"/>
        <v>0</v>
      </c>
      <c r="G63" s="193" t="str">
        <f>IF(IFERROR(IF(Str_TypeDonneesCpt6=Cpt_Index,Tab_Compteur_6[[#This Row],[Index]]-E62,Tab_Compteur_6[[#This Row],[Quantité]])/Tab_Compteur_6[[#This Row],[Delta Jour]],"")&lt;0,"",IFERROR(IF(Str_TypeDonneesCpt6=Cpt_Index,Tab_Compteur_6[[#This Row],[Index]]-E62,Tab_Compteur_6[[#This Row],[Quantité]])/Tab_Compteur_6[[#This Row],[Delta Jour]],""))</f>
        <v/>
      </c>
      <c r="H63" s="193" t="str">
        <f>IFERROR(Tab_Compteur_6[[#This Row],[Montant]]/Tab_Compteur_6[[#This Row],[Delta Jour]],"")</f>
        <v/>
      </c>
      <c r="I63" s="219" t="str">
        <f t="shared" si="1"/>
        <v/>
      </c>
      <c r="J63" s="216"/>
      <c r="K63" s="38"/>
      <c r="L63" s="38"/>
      <c r="M63" s="38"/>
    </row>
    <row r="64" spans="1:13">
      <c r="A64" s="55">
        <f t="shared" si="2"/>
        <v>1</v>
      </c>
      <c r="B64" s="88"/>
      <c r="C64" s="199"/>
      <c r="D64" s="202"/>
      <c r="E64" s="193"/>
      <c r="F64" s="193">
        <f t="shared" si="0"/>
        <v>0</v>
      </c>
      <c r="G64" s="193" t="str">
        <f>IF(IFERROR(IF(Str_TypeDonneesCpt6=Cpt_Index,Tab_Compteur_6[[#This Row],[Index]]-E63,Tab_Compteur_6[[#This Row],[Quantité]])/Tab_Compteur_6[[#This Row],[Delta Jour]],"")&lt;0,"",IFERROR(IF(Str_TypeDonneesCpt6=Cpt_Index,Tab_Compteur_6[[#This Row],[Index]]-E63,Tab_Compteur_6[[#This Row],[Quantité]])/Tab_Compteur_6[[#This Row],[Delta Jour]],""))</f>
        <v/>
      </c>
      <c r="H64" s="193" t="str">
        <f>IFERROR(Tab_Compteur_6[[#This Row],[Montant]]/Tab_Compteur_6[[#This Row],[Delta Jour]],"")</f>
        <v/>
      </c>
      <c r="I64" s="219" t="str">
        <f t="shared" si="1"/>
        <v/>
      </c>
      <c r="J64" s="216"/>
      <c r="K64" s="38"/>
      <c r="L64" s="38"/>
      <c r="M64" s="38"/>
    </row>
    <row r="65" spans="1:13">
      <c r="A65" s="55">
        <f t="shared" si="2"/>
        <v>1</v>
      </c>
      <c r="B65" s="88"/>
      <c r="C65" s="199"/>
      <c r="D65" s="202"/>
      <c r="E65" s="193"/>
      <c r="F65" s="193">
        <f t="shared" si="0"/>
        <v>0</v>
      </c>
      <c r="G65" s="193" t="str">
        <f>IF(IFERROR(IF(Str_TypeDonneesCpt6=Cpt_Index,Tab_Compteur_6[[#This Row],[Index]]-E64,Tab_Compteur_6[[#This Row],[Quantité]])/Tab_Compteur_6[[#This Row],[Delta Jour]],"")&lt;0,"",IFERROR(IF(Str_TypeDonneesCpt6=Cpt_Index,Tab_Compteur_6[[#This Row],[Index]]-E64,Tab_Compteur_6[[#This Row],[Quantité]])/Tab_Compteur_6[[#This Row],[Delta Jour]],""))</f>
        <v/>
      </c>
      <c r="H65" s="193" t="str">
        <f>IFERROR(Tab_Compteur_6[[#This Row],[Montant]]/Tab_Compteur_6[[#This Row],[Delta Jour]],"")</f>
        <v/>
      </c>
      <c r="I65" s="219" t="str">
        <f t="shared" si="1"/>
        <v/>
      </c>
      <c r="J65" s="216"/>
      <c r="K65" s="38"/>
      <c r="L65" s="38"/>
      <c r="M65" s="38"/>
    </row>
    <row r="66" spans="1:13">
      <c r="A66" s="55">
        <f t="shared" si="2"/>
        <v>1</v>
      </c>
      <c r="B66" s="88"/>
      <c r="C66" s="199"/>
      <c r="D66" s="202"/>
      <c r="E66" s="193"/>
      <c r="F66" s="193">
        <f t="shared" si="0"/>
        <v>0</v>
      </c>
      <c r="G66" s="193" t="str">
        <f>IF(IFERROR(IF(Str_TypeDonneesCpt6=Cpt_Index,Tab_Compteur_6[[#This Row],[Index]]-E65,Tab_Compteur_6[[#This Row],[Quantité]])/Tab_Compteur_6[[#This Row],[Delta Jour]],"")&lt;0,"",IFERROR(IF(Str_TypeDonneesCpt6=Cpt_Index,Tab_Compteur_6[[#This Row],[Index]]-E65,Tab_Compteur_6[[#This Row],[Quantité]])/Tab_Compteur_6[[#This Row],[Delta Jour]],""))</f>
        <v/>
      </c>
      <c r="H66" s="193" t="str">
        <f>IFERROR(Tab_Compteur_6[[#This Row],[Montant]]/Tab_Compteur_6[[#This Row],[Delta Jour]],"")</f>
        <v/>
      </c>
      <c r="I66" s="219" t="str">
        <f t="shared" si="1"/>
        <v/>
      </c>
      <c r="J66" s="216"/>
      <c r="K66" s="38"/>
      <c r="L66" s="38"/>
      <c r="M66" s="38"/>
    </row>
    <row r="67" spans="1:13">
      <c r="A67" s="55">
        <f t="shared" si="2"/>
        <v>1</v>
      </c>
      <c r="B67" s="88"/>
      <c r="C67" s="199"/>
      <c r="D67" s="202"/>
      <c r="E67" s="193"/>
      <c r="F67" s="193">
        <f t="shared" ref="F67:F130" si="3">IFERROR(B67-A67+1,"")</f>
        <v>0</v>
      </c>
      <c r="G67" s="193" t="str">
        <f>IF(IFERROR(IF(Str_TypeDonneesCpt6=Cpt_Index,Tab_Compteur_6[[#This Row],[Index]]-E66,Tab_Compteur_6[[#This Row],[Quantité]])/Tab_Compteur_6[[#This Row],[Delta Jour]],"")&lt;0,"",IFERROR(IF(Str_TypeDonneesCpt6=Cpt_Index,Tab_Compteur_6[[#This Row],[Index]]-E66,Tab_Compteur_6[[#This Row],[Quantité]])/Tab_Compteur_6[[#This Row],[Delta Jour]],""))</f>
        <v/>
      </c>
      <c r="H67" s="193" t="str">
        <f>IFERROR(Tab_Compteur_6[[#This Row],[Montant]]/Tab_Compteur_6[[#This Row],[Delta Jour]],"")</f>
        <v/>
      </c>
      <c r="I67" s="219" t="str">
        <f t="shared" ref="I67:I130" si="4">G67</f>
        <v/>
      </c>
      <c r="J67" s="216"/>
      <c r="K67" s="38"/>
      <c r="L67" s="38"/>
      <c r="M67" s="38"/>
    </row>
    <row r="68" spans="1:13">
      <c r="A68" s="55">
        <f t="shared" si="2"/>
        <v>1</v>
      </c>
      <c r="B68" s="88"/>
      <c r="C68" s="199"/>
      <c r="D68" s="202"/>
      <c r="E68" s="193"/>
      <c r="F68" s="193">
        <f t="shared" si="3"/>
        <v>0</v>
      </c>
      <c r="G68" s="193" t="str">
        <f>IF(IFERROR(IF(Str_TypeDonneesCpt6=Cpt_Index,Tab_Compteur_6[[#This Row],[Index]]-E67,Tab_Compteur_6[[#This Row],[Quantité]])/Tab_Compteur_6[[#This Row],[Delta Jour]],"")&lt;0,"",IFERROR(IF(Str_TypeDonneesCpt6=Cpt_Index,Tab_Compteur_6[[#This Row],[Index]]-E67,Tab_Compteur_6[[#This Row],[Quantité]])/Tab_Compteur_6[[#This Row],[Delta Jour]],""))</f>
        <v/>
      </c>
      <c r="H68" s="193" t="str">
        <f>IFERROR(Tab_Compteur_6[[#This Row],[Montant]]/Tab_Compteur_6[[#This Row],[Delta Jour]],"")</f>
        <v/>
      </c>
      <c r="I68" s="219" t="str">
        <f t="shared" si="4"/>
        <v/>
      </c>
      <c r="J68" s="216"/>
      <c r="K68" s="38"/>
      <c r="L68" s="38"/>
      <c r="M68" s="38"/>
    </row>
    <row r="69" spans="1:13">
      <c r="A69" s="55">
        <f t="shared" si="2"/>
        <v>1</v>
      </c>
      <c r="B69" s="88"/>
      <c r="C69" s="199"/>
      <c r="D69" s="202"/>
      <c r="E69" s="193"/>
      <c r="F69" s="193">
        <f t="shared" si="3"/>
        <v>0</v>
      </c>
      <c r="G69" s="193" t="str">
        <f>IF(IFERROR(IF(Str_TypeDonneesCpt6=Cpt_Index,Tab_Compteur_6[[#This Row],[Index]]-E68,Tab_Compteur_6[[#This Row],[Quantité]])/Tab_Compteur_6[[#This Row],[Delta Jour]],"")&lt;0,"",IFERROR(IF(Str_TypeDonneesCpt6=Cpt_Index,Tab_Compteur_6[[#This Row],[Index]]-E68,Tab_Compteur_6[[#This Row],[Quantité]])/Tab_Compteur_6[[#This Row],[Delta Jour]],""))</f>
        <v/>
      </c>
      <c r="H69" s="193" t="str">
        <f>IFERROR(Tab_Compteur_6[[#This Row],[Montant]]/Tab_Compteur_6[[#This Row],[Delta Jour]],"")</f>
        <v/>
      </c>
      <c r="I69" s="219" t="str">
        <f t="shared" si="4"/>
        <v/>
      </c>
      <c r="J69" s="216"/>
      <c r="K69" s="38"/>
      <c r="L69" s="38"/>
      <c r="M69" s="38"/>
    </row>
    <row r="70" spans="1:13">
      <c r="A70" s="55">
        <f t="shared" ref="A70:A133" si="5">IFERROR(B69+1,0)</f>
        <v>1</v>
      </c>
      <c r="B70" s="88"/>
      <c r="C70" s="199"/>
      <c r="D70" s="202"/>
      <c r="E70" s="193"/>
      <c r="F70" s="193">
        <f t="shared" si="3"/>
        <v>0</v>
      </c>
      <c r="G70" s="193" t="str">
        <f>IF(IFERROR(IF(Str_TypeDonneesCpt6=Cpt_Index,Tab_Compteur_6[[#This Row],[Index]]-E69,Tab_Compteur_6[[#This Row],[Quantité]])/Tab_Compteur_6[[#This Row],[Delta Jour]],"")&lt;0,"",IFERROR(IF(Str_TypeDonneesCpt6=Cpt_Index,Tab_Compteur_6[[#This Row],[Index]]-E69,Tab_Compteur_6[[#This Row],[Quantité]])/Tab_Compteur_6[[#This Row],[Delta Jour]],""))</f>
        <v/>
      </c>
      <c r="H70" s="193" t="str">
        <f>IFERROR(Tab_Compteur_6[[#This Row],[Montant]]/Tab_Compteur_6[[#This Row],[Delta Jour]],"")</f>
        <v/>
      </c>
      <c r="I70" s="219" t="str">
        <f t="shared" si="4"/>
        <v/>
      </c>
      <c r="J70" s="216"/>
      <c r="K70" s="38"/>
      <c r="L70" s="38"/>
      <c r="M70" s="38"/>
    </row>
    <row r="71" spans="1:13">
      <c r="A71" s="55">
        <f t="shared" si="5"/>
        <v>1</v>
      </c>
      <c r="B71" s="88"/>
      <c r="C71" s="199"/>
      <c r="D71" s="202"/>
      <c r="E71" s="193"/>
      <c r="F71" s="193">
        <f t="shared" si="3"/>
        <v>0</v>
      </c>
      <c r="G71" s="193" t="str">
        <f>IF(IFERROR(IF(Str_TypeDonneesCpt6=Cpt_Index,Tab_Compteur_6[[#This Row],[Index]]-E70,Tab_Compteur_6[[#This Row],[Quantité]])/Tab_Compteur_6[[#This Row],[Delta Jour]],"")&lt;0,"",IFERROR(IF(Str_TypeDonneesCpt6=Cpt_Index,Tab_Compteur_6[[#This Row],[Index]]-E70,Tab_Compteur_6[[#This Row],[Quantité]])/Tab_Compteur_6[[#This Row],[Delta Jour]],""))</f>
        <v/>
      </c>
      <c r="H71" s="193" t="str">
        <f>IFERROR(Tab_Compteur_6[[#This Row],[Montant]]/Tab_Compteur_6[[#This Row],[Delta Jour]],"")</f>
        <v/>
      </c>
      <c r="I71" s="219" t="str">
        <f t="shared" si="4"/>
        <v/>
      </c>
      <c r="J71" s="216"/>
      <c r="K71" s="38"/>
      <c r="L71" s="38"/>
      <c r="M71" s="38"/>
    </row>
    <row r="72" spans="1:13">
      <c r="A72" s="55">
        <f t="shared" si="5"/>
        <v>1</v>
      </c>
      <c r="B72" s="88"/>
      <c r="C72" s="199"/>
      <c r="D72" s="202"/>
      <c r="E72" s="193"/>
      <c r="F72" s="193">
        <f t="shared" si="3"/>
        <v>0</v>
      </c>
      <c r="G72" s="193" t="str">
        <f>IF(IFERROR(IF(Str_TypeDonneesCpt6=Cpt_Index,Tab_Compteur_6[[#This Row],[Index]]-E71,Tab_Compteur_6[[#This Row],[Quantité]])/Tab_Compteur_6[[#This Row],[Delta Jour]],"")&lt;0,"",IFERROR(IF(Str_TypeDonneesCpt6=Cpt_Index,Tab_Compteur_6[[#This Row],[Index]]-E71,Tab_Compteur_6[[#This Row],[Quantité]])/Tab_Compteur_6[[#This Row],[Delta Jour]],""))</f>
        <v/>
      </c>
      <c r="H72" s="193" t="str">
        <f>IFERROR(Tab_Compteur_6[[#This Row],[Montant]]/Tab_Compteur_6[[#This Row],[Delta Jour]],"")</f>
        <v/>
      </c>
      <c r="I72" s="219" t="str">
        <f t="shared" si="4"/>
        <v/>
      </c>
      <c r="J72" s="216"/>
      <c r="K72" s="38"/>
      <c r="L72" s="38"/>
      <c r="M72" s="38"/>
    </row>
    <row r="73" spans="1:13">
      <c r="A73" s="55">
        <f t="shared" si="5"/>
        <v>1</v>
      </c>
      <c r="B73" s="88"/>
      <c r="C73" s="199"/>
      <c r="D73" s="202"/>
      <c r="E73" s="193"/>
      <c r="F73" s="193">
        <f t="shared" si="3"/>
        <v>0</v>
      </c>
      <c r="G73" s="193" t="str">
        <f>IF(IFERROR(IF(Str_TypeDonneesCpt6=Cpt_Index,Tab_Compteur_6[[#This Row],[Index]]-E72,Tab_Compteur_6[[#This Row],[Quantité]])/Tab_Compteur_6[[#This Row],[Delta Jour]],"")&lt;0,"",IFERROR(IF(Str_TypeDonneesCpt6=Cpt_Index,Tab_Compteur_6[[#This Row],[Index]]-E72,Tab_Compteur_6[[#This Row],[Quantité]])/Tab_Compteur_6[[#This Row],[Delta Jour]],""))</f>
        <v/>
      </c>
      <c r="H73" s="193" t="str">
        <f>IFERROR(Tab_Compteur_6[[#This Row],[Montant]]/Tab_Compteur_6[[#This Row],[Delta Jour]],"")</f>
        <v/>
      </c>
      <c r="I73" s="219" t="str">
        <f t="shared" si="4"/>
        <v/>
      </c>
      <c r="J73" s="216"/>
      <c r="K73" s="38"/>
      <c r="L73" s="38"/>
      <c r="M73" s="38"/>
    </row>
    <row r="74" spans="1:13">
      <c r="A74" s="55">
        <f t="shared" si="5"/>
        <v>1</v>
      </c>
      <c r="B74" s="88"/>
      <c r="C74" s="199"/>
      <c r="D74" s="202"/>
      <c r="E74" s="193"/>
      <c r="F74" s="193">
        <f t="shared" si="3"/>
        <v>0</v>
      </c>
      <c r="G74" s="193" t="str">
        <f>IF(IFERROR(IF(Str_TypeDonneesCpt6=Cpt_Index,Tab_Compteur_6[[#This Row],[Index]]-E73,Tab_Compteur_6[[#This Row],[Quantité]])/Tab_Compteur_6[[#This Row],[Delta Jour]],"")&lt;0,"",IFERROR(IF(Str_TypeDonneesCpt6=Cpt_Index,Tab_Compteur_6[[#This Row],[Index]]-E73,Tab_Compteur_6[[#This Row],[Quantité]])/Tab_Compteur_6[[#This Row],[Delta Jour]],""))</f>
        <v/>
      </c>
      <c r="H74" s="193" t="str">
        <f>IFERROR(Tab_Compteur_6[[#This Row],[Montant]]/Tab_Compteur_6[[#This Row],[Delta Jour]],"")</f>
        <v/>
      </c>
      <c r="I74" s="219" t="str">
        <f t="shared" si="4"/>
        <v/>
      </c>
      <c r="J74" s="216"/>
      <c r="K74" s="38"/>
      <c r="L74" s="38"/>
      <c r="M74" s="38"/>
    </row>
    <row r="75" spans="1:13">
      <c r="A75" s="55">
        <f t="shared" si="5"/>
        <v>1</v>
      </c>
      <c r="B75" s="88"/>
      <c r="C75" s="199"/>
      <c r="D75" s="202"/>
      <c r="E75" s="193"/>
      <c r="F75" s="193">
        <f t="shared" si="3"/>
        <v>0</v>
      </c>
      <c r="G75" s="193" t="str">
        <f>IF(IFERROR(IF(Str_TypeDonneesCpt6=Cpt_Index,Tab_Compteur_6[[#This Row],[Index]]-E74,Tab_Compteur_6[[#This Row],[Quantité]])/Tab_Compteur_6[[#This Row],[Delta Jour]],"")&lt;0,"",IFERROR(IF(Str_TypeDonneesCpt6=Cpt_Index,Tab_Compteur_6[[#This Row],[Index]]-E74,Tab_Compteur_6[[#This Row],[Quantité]])/Tab_Compteur_6[[#This Row],[Delta Jour]],""))</f>
        <v/>
      </c>
      <c r="H75" s="193" t="str">
        <f>IFERROR(Tab_Compteur_6[[#This Row],[Montant]]/Tab_Compteur_6[[#This Row],[Delta Jour]],"")</f>
        <v/>
      </c>
      <c r="I75" s="219" t="str">
        <f t="shared" si="4"/>
        <v/>
      </c>
      <c r="J75" s="216"/>
      <c r="K75" s="38"/>
      <c r="L75" s="38"/>
      <c r="M75" s="38"/>
    </row>
    <row r="76" spans="1:13">
      <c r="A76" s="55">
        <f t="shared" si="5"/>
        <v>1</v>
      </c>
      <c r="B76" s="88"/>
      <c r="C76" s="199"/>
      <c r="D76" s="202"/>
      <c r="E76" s="193"/>
      <c r="F76" s="193">
        <f t="shared" si="3"/>
        <v>0</v>
      </c>
      <c r="G76" s="193" t="str">
        <f>IF(IFERROR(IF(Str_TypeDonneesCpt6=Cpt_Index,Tab_Compteur_6[[#This Row],[Index]]-E75,Tab_Compteur_6[[#This Row],[Quantité]])/Tab_Compteur_6[[#This Row],[Delta Jour]],"")&lt;0,"",IFERROR(IF(Str_TypeDonneesCpt6=Cpt_Index,Tab_Compteur_6[[#This Row],[Index]]-E75,Tab_Compteur_6[[#This Row],[Quantité]])/Tab_Compteur_6[[#This Row],[Delta Jour]],""))</f>
        <v/>
      </c>
      <c r="H76" s="193" t="str">
        <f>IFERROR(Tab_Compteur_6[[#This Row],[Montant]]/Tab_Compteur_6[[#This Row],[Delta Jour]],"")</f>
        <v/>
      </c>
      <c r="I76" s="219" t="str">
        <f t="shared" si="4"/>
        <v/>
      </c>
      <c r="J76" s="216"/>
      <c r="K76" s="38"/>
      <c r="L76" s="38"/>
      <c r="M76" s="38"/>
    </row>
    <row r="77" spans="1:13">
      <c r="A77" s="55">
        <f t="shared" si="5"/>
        <v>1</v>
      </c>
      <c r="B77" s="88"/>
      <c r="C77" s="199"/>
      <c r="D77" s="202"/>
      <c r="E77" s="193"/>
      <c r="F77" s="193">
        <f t="shared" si="3"/>
        <v>0</v>
      </c>
      <c r="G77" s="193" t="str">
        <f>IF(IFERROR(IF(Str_TypeDonneesCpt6=Cpt_Index,Tab_Compteur_6[[#This Row],[Index]]-E76,Tab_Compteur_6[[#This Row],[Quantité]])/Tab_Compteur_6[[#This Row],[Delta Jour]],"")&lt;0,"",IFERROR(IF(Str_TypeDonneesCpt6=Cpt_Index,Tab_Compteur_6[[#This Row],[Index]]-E76,Tab_Compteur_6[[#This Row],[Quantité]])/Tab_Compteur_6[[#This Row],[Delta Jour]],""))</f>
        <v/>
      </c>
      <c r="H77" s="193" t="str">
        <f>IFERROR(Tab_Compteur_6[[#This Row],[Montant]]/Tab_Compteur_6[[#This Row],[Delta Jour]],"")</f>
        <v/>
      </c>
      <c r="I77" s="219" t="str">
        <f t="shared" si="4"/>
        <v/>
      </c>
      <c r="J77" s="216"/>
      <c r="K77" s="38"/>
      <c r="L77" s="38"/>
      <c r="M77" s="38"/>
    </row>
    <row r="78" spans="1:13">
      <c r="A78" s="55">
        <f t="shared" si="5"/>
        <v>1</v>
      </c>
      <c r="B78" s="88"/>
      <c r="C78" s="199"/>
      <c r="D78" s="202"/>
      <c r="E78" s="193"/>
      <c r="F78" s="193">
        <f t="shared" si="3"/>
        <v>0</v>
      </c>
      <c r="G78" s="193" t="str">
        <f>IF(IFERROR(IF(Str_TypeDonneesCpt6=Cpt_Index,Tab_Compteur_6[[#This Row],[Index]]-E77,Tab_Compteur_6[[#This Row],[Quantité]])/Tab_Compteur_6[[#This Row],[Delta Jour]],"")&lt;0,"",IFERROR(IF(Str_TypeDonneesCpt6=Cpt_Index,Tab_Compteur_6[[#This Row],[Index]]-E77,Tab_Compteur_6[[#This Row],[Quantité]])/Tab_Compteur_6[[#This Row],[Delta Jour]],""))</f>
        <v/>
      </c>
      <c r="H78" s="193" t="str">
        <f>IFERROR(Tab_Compteur_6[[#This Row],[Montant]]/Tab_Compteur_6[[#This Row],[Delta Jour]],"")</f>
        <v/>
      </c>
      <c r="I78" s="219" t="str">
        <f t="shared" si="4"/>
        <v/>
      </c>
      <c r="J78" s="216"/>
      <c r="K78" s="38"/>
      <c r="L78" s="38"/>
      <c r="M78" s="38"/>
    </row>
    <row r="79" spans="1:13">
      <c r="A79" s="55">
        <f t="shared" si="5"/>
        <v>1</v>
      </c>
      <c r="B79" s="88"/>
      <c r="C79" s="199"/>
      <c r="D79" s="202"/>
      <c r="E79" s="193"/>
      <c r="F79" s="193">
        <f t="shared" si="3"/>
        <v>0</v>
      </c>
      <c r="G79" s="193" t="str">
        <f>IF(IFERROR(IF(Str_TypeDonneesCpt6=Cpt_Index,Tab_Compteur_6[[#This Row],[Index]]-E78,Tab_Compteur_6[[#This Row],[Quantité]])/Tab_Compteur_6[[#This Row],[Delta Jour]],"")&lt;0,"",IFERROR(IF(Str_TypeDonneesCpt6=Cpt_Index,Tab_Compteur_6[[#This Row],[Index]]-E78,Tab_Compteur_6[[#This Row],[Quantité]])/Tab_Compteur_6[[#This Row],[Delta Jour]],""))</f>
        <v/>
      </c>
      <c r="H79" s="193" t="str">
        <f>IFERROR(Tab_Compteur_6[[#This Row],[Montant]]/Tab_Compteur_6[[#This Row],[Delta Jour]],"")</f>
        <v/>
      </c>
      <c r="I79" s="219" t="str">
        <f t="shared" si="4"/>
        <v/>
      </c>
      <c r="J79" s="216"/>
      <c r="K79" s="38"/>
      <c r="L79" s="38"/>
      <c r="M79" s="38"/>
    </row>
    <row r="80" spans="1:13">
      <c r="A80" s="55">
        <f t="shared" si="5"/>
        <v>1</v>
      </c>
      <c r="B80" s="88"/>
      <c r="C80" s="199"/>
      <c r="D80" s="202"/>
      <c r="E80" s="193"/>
      <c r="F80" s="193">
        <f t="shared" si="3"/>
        <v>0</v>
      </c>
      <c r="G80" s="193" t="str">
        <f>IF(IFERROR(IF(Str_TypeDonneesCpt6=Cpt_Index,Tab_Compteur_6[[#This Row],[Index]]-E79,Tab_Compteur_6[[#This Row],[Quantité]])/Tab_Compteur_6[[#This Row],[Delta Jour]],"")&lt;0,"",IFERROR(IF(Str_TypeDonneesCpt6=Cpt_Index,Tab_Compteur_6[[#This Row],[Index]]-E79,Tab_Compteur_6[[#This Row],[Quantité]])/Tab_Compteur_6[[#This Row],[Delta Jour]],""))</f>
        <v/>
      </c>
      <c r="H80" s="193" t="str">
        <f>IFERROR(Tab_Compteur_6[[#This Row],[Montant]]/Tab_Compteur_6[[#This Row],[Delta Jour]],"")</f>
        <v/>
      </c>
      <c r="I80" s="219" t="str">
        <f t="shared" si="4"/>
        <v/>
      </c>
      <c r="J80" s="216"/>
      <c r="K80" s="38"/>
      <c r="L80" s="38"/>
      <c r="M80" s="38"/>
    </row>
    <row r="81" spans="1:13">
      <c r="A81" s="55">
        <f t="shared" si="5"/>
        <v>1</v>
      </c>
      <c r="B81" s="88"/>
      <c r="C81" s="199"/>
      <c r="D81" s="202"/>
      <c r="E81" s="193"/>
      <c r="F81" s="193">
        <f t="shared" si="3"/>
        <v>0</v>
      </c>
      <c r="G81" s="193" t="str">
        <f>IF(IFERROR(IF(Str_TypeDonneesCpt6=Cpt_Index,Tab_Compteur_6[[#This Row],[Index]]-E80,Tab_Compteur_6[[#This Row],[Quantité]])/Tab_Compteur_6[[#This Row],[Delta Jour]],"")&lt;0,"",IFERROR(IF(Str_TypeDonneesCpt6=Cpt_Index,Tab_Compteur_6[[#This Row],[Index]]-E80,Tab_Compteur_6[[#This Row],[Quantité]])/Tab_Compteur_6[[#This Row],[Delta Jour]],""))</f>
        <v/>
      </c>
      <c r="H81" s="193" t="str">
        <f>IFERROR(Tab_Compteur_6[[#This Row],[Montant]]/Tab_Compteur_6[[#This Row],[Delta Jour]],"")</f>
        <v/>
      </c>
      <c r="I81" s="219" t="str">
        <f t="shared" si="4"/>
        <v/>
      </c>
      <c r="J81" s="216"/>
      <c r="K81" s="38"/>
      <c r="L81" s="38"/>
      <c r="M81" s="38"/>
    </row>
    <row r="82" spans="1:13">
      <c r="A82" s="55">
        <f t="shared" si="5"/>
        <v>1</v>
      </c>
      <c r="B82" s="88"/>
      <c r="C82" s="199"/>
      <c r="D82" s="202"/>
      <c r="E82" s="193"/>
      <c r="F82" s="193">
        <f t="shared" si="3"/>
        <v>0</v>
      </c>
      <c r="G82" s="193" t="str">
        <f>IF(IFERROR(IF(Str_TypeDonneesCpt6=Cpt_Index,Tab_Compteur_6[[#This Row],[Index]]-E81,Tab_Compteur_6[[#This Row],[Quantité]])/Tab_Compteur_6[[#This Row],[Delta Jour]],"")&lt;0,"",IFERROR(IF(Str_TypeDonneesCpt6=Cpt_Index,Tab_Compteur_6[[#This Row],[Index]]-E81,Tab_Compteur_6[[#This Row],[Quantité]])/Tab_Compteur_6[[#This Row],[Delta Jour]],""))</f>
        <v/>
      </c>
      <c r="H82" s="193" t="str">
        <f>IFERROR(Tab_Compteur_6[[#This Row],[Montant]]/Tab_Compteur_6[[#This Row],[Delta Jour]],"")</f>
        <v/>
      </c>
      <c r="I82" s="219" t="str">
        <f t="shared" si="4"/>
        <v/>
      </c>
      <c r="J82" s="216"/>
      <c r="K82" s="38"/>
      <c r="L82" s="38"/>
      <c r="M82" s="38"/>
    </row>
    <row r="83" spans="1:13">
      <c r="A83" s="55">
        <f t="shared" si="5"/>
        <v>1</v>
      </c>
      <c r="B83" s="88"/>
      <c r="C83" s="199"/>
      <c r="D83" s="202"/>
      <c r="E83" s="193"/>
      <c r="F83" s="193">
        <f t="shared" si="3"/>
        <v>0</v>
      </c>
      <c r="G83" s="193" t="str">
        <f>IF(IFERROR(IF(Str_TypeDonneesCpt6=Cpt_Index,Tab_Compteur_6[[#This Row],[Index]]-E82,Tab_Compteur_6[[#This Row],[Quantité]])/Tab_Compteur_6[[#This Row],[Delta Jour]],"")&lt;0,"",IFERROR(IF(Str_TypeDonneesCpt6=Cpt_Index,Tab_Compteur_6[[#This Row],[Index]]-E82,Tab_Compteur_6[[#This Row],[Quantité]])/Tab_Compteur_6[[#This Row],[Delta Jour]],""))</f>
        <v/>
      </c>
      <c r="H83" s="193" t="str">
        <f>IFERROR(Tab_Compteur_6[[#This Row],[Montant]]/Tab_Compteur_6[[#This Row],[Delta Jour]],"")</f>
        <v/>
      </c>
      <c r="I83" s="219" t="str">
        <f t="shared" si="4"/>
        <v/>
      </c>
      <c r="J83" s="216"/>
      <c r="K83" s="38"/>
      <c r="L83" s="38"/>
      <c r="M83" s="38"/>
    </row>
    <row r="84" spans="1:13">
      <c r="A84" s="55">
        <f t="shared" si="5"/>
        <v>1</v>
      </c>
      <c r="B84" s="88"/>
      <c r="C84" s="199"/>
      <c r="D84" s="202"/>
      <c r="E84" s="193"/>
      <c r="F84" s="193">
        <f t="shared" si="3"/>
        <v>0</v>
      </c>
      <c r="G84" s="193" t="str">
        <f>IF(IFERROR(IF(Str_TypeDonneesCpt6=Cpt_Index,Tab_Compteur_6[[#This Row],[Index]]-E83,Tab_Compteur_6[[#This Row],[Quantité]])/Tab_Compteur_6[[#This Row],[Delta Jour]],"")&lt;0,"",IFERROR(IF(Str_TypeDonneesCpt6=Cpt_Index,Tab_Compteur_6[[#This Row],[Index]]-E83,Tab_Compteur_6[[#This Row],[Quantité]])/Tab_Compteur_6[[#This Row],[Delta Jour]],""))</f>
        <v/>
      </c>
      <c r="H84" s="193" t="str">
        <f>IFERROR(Tab_Compteur_6[[#This Row],[Montant]]/Tab_Compteur_6[[#This Row],[Delta Jour]],"")</f>
        <v/>
      </c>
      <c r="I84" s="219" t="str">
        <f t="shared" si="4"/>
        <v/>
      </c>
      <c r="J84" s="216"/>
      <c r="K84" s="38"/>
      <c r="L84" s="38"/>
      <c r="M84" s="38"/>
    </row>
    <row r="85" spans="1:13">
      <c r="A85" s="55">
        <f t="shared" si="5"/>
        <v>1</v>
      </c>
      <c r="B85" s="88"/>
      <c r="C85" s="199"/>
      <c r="D85" s="202"/>
      <c r="E85" s="193"/>
      <c r="F85" s="193">
        <f t="shared" si="3"/>
        <v>0</v>
      </c>
      <c r="G85" s="193" t="str">
        <f>IF(IFERROR(IF(Str_TypeDonneesCpt6=Cpt_Index,Tab_Compteur_6[[#This Row],[Index]]-E84,Tab_Compteur_6[[#This Row],[Quantité]])/Tab_Compteur_6[[#This Row],[Delta Jour]],"")&lt;0,"",IFERROR(IF(Str_TypeDonneesCpt6=Cpt_Index,Tab_Compteur_6[[#This Row],[Index]]-E84,Tab_Compteur_6[[#This Row],[Quantité]])/Tab_Compteur_6[[#This Row],[Delta Jour]],""))</f>
        <v/>
      </c>
      <c r="H85" s="193" t="str">
        <f>IFERROR(Tab_Compteur_6[[#This Row],[Montant]]/Tab_Compteur_6[[#This Row],[Delta Jour]],"")</f>
        <v/>
      </c>
      <c r="I85" s="219" t="str">
        <f t="shared" si="4"/>
        <v/>
      </c>
      <c r="J85" s="216"/>
      <c r="K85" s="38"/>
      <c r="L85" s="38"/>
      <c r="M85" s="38"/>
    </row>
    <row r="86" spans="1:13">
      <c r="A86" s="55">
        <f t="shared" si="5"/>
        <v>1</v>
      </c>
      <c r="B86" s="88"/>
      <c r="C86" s="199"/>
      <c r="D86" s="202"/>
      <c r="E86" s="193"/>
      <c r="F86" s="193">
        <f t="shared" si="3"/>
        <v>0</v>
      </c>
      <c r="G86" s="193" t="str">
        <f>IF(IFERROR(IF(Str_TypeDonneesCpt6=Cpt_Index,Tab_Compteur_6[[#This Row],[Index]]-E85,Tab_Compteur_6[[#This Row],[Quantité]])/Tab_Compteur_6[[#This Row],[Delta Jour]],"")&lt;0,"",IFERROR(IF(Str_TypeDonneesCpt6=Cpt_Index,Tab_Compteur_6[[#This Row],[Index]]-E85,Tab_Compteur_6[[#This Row],[Quantité]])/Tab_Compteur_6[[#This Row],[Delta Jour]],""))</f>
        <v/>
      </c>
      <c r="H86" s="193" t="str">
        <f>IFERROR(Tab_Compteur_6[[#This Row],[Montant]]/Tab_Compteur_6[[#This Row],[Delta Jour]],"")</f>
        <v/>
      </c>
      <c r="I86" s="219" t="str">
        <f t="shared" si="4"/>
        <v/>
      </c>
      <c r="J86" s="216"/>
      <c r="K86" s="38"/>
      <c r="L86" s="38"/>
      <c r="M86" s="38"/>
    </row>
    <row r="87" spans="1:13">
      <c r="A87" s="55">
        <f t="shared" si="5"/>
        <v>1</v>
      </c>
      <c r="B87" s="88"/>
      <c r="C87" s="199"/>
      <c r="D87" s="202"/>
      <c r="E87" s="193"/>
      <c r="F87" s="193">
        <f t="shared" si="3"/>
        <v>0</v>
      </c>
      <c r="G87" s="193" t="str">
        <f>IF(IFERROR(IF(Str_TypeDonneesCpt6=Cpt_Index,Tab_Compteur_6[[#This Row],[Index]]-E86,Tab_Compteur_6[[#This Row],[Quantité]])/Tab_Compteur_6[[#This Row],[Delta Jour]],"")&lt;0,"",IFERROR(IF(Str_TypeDonneesCpt6=Cpt_Index,Tab_Compteur_6[[#This Row],[Index]]-E86,Tab_Compteur_6[[#This Row],[Quantité]])/Tab_Compteur_6[[#This Row],[Delta Jour]],""))</f>
        <v/>
      </c>
      <c r="H87" s="193" t="str">
        <f>IFERROR(Tab_Compteur_6[[#This Row],[Montant]]/Tab_Compteur_6[[#This Row],[Delta Jour]],"")</f>
        <v/>
      </c>
      <c r="I87" s="219" t="str">
        <f t="shared" si="4"/>
        <v/>
      </c>
      <c r="J87" s="216"/>
      <c r="K87" s="38"/>
      <c r="L87" s="38"/>
      <c r="M87" s="38"/>
    </row>
    <row r="88" spans="1:13">
      <c r="A88" s="55">
        <f t="shared" si="5"/>
        <v>1</v>
      </c>
      <c r="B88" s="88"/>
      <c r="C88" s="199"/>
      <c r="D88" s="202"/>
      <c r="E88" s="193"/>
      <c r="F88" s="193">
        <f t="shared" si="3"/>
        <v>0</v>
      </c>
      <c r="G88" s="193" t="str">
        <f>IF(IFERROR(IF(Str_TypeDonneesCpt6=Cpt_Index,Tab_Compteur_6[[#This Row],[Index]]-E87,Tab_Compteur_6[[#This Row],[Quantité]])/Tab_Compteur_6[[#This Row],[Delta Jour]],"")&lt;0,"",IFERROR(IF(Str_TypeDonneesCpt6=Cpt_Index,Tab_Compteur_6[[#This Row],[Index]]-E87,Tab_Compteur_6[[#This Row],[Quantité]])/Tab_Compteur_6[[#This Row],[Delta Jour]],""))</f>
        <v/>
      </c>
      <c r="H88" s="193" t="str">
        <f>IFERROR(Tab_Compteur_6[[#This Row],[Montant]]/Tab_Compteur_6[[#This Row],[Delta Jour]],"")</f>
        <v/>
      </c>
      <c r="I88" s="219" t="str">
        <f t="shared" si="4"/>
        <v/>
      </c>
      <c r="J88" s="216"/>
      <c r="K88" s="38"/>
      <c r="L88" s="38"/>
      <c r="M88" s="38"/>
    </row>
    <row r="89" spans="1:13">
      <c r="A89" s="55">
        <f t="shared" si="5"/>
        <v>1</v>
      </c>
      <c r="B89" s="88"/>
      <c r="C89" s="199"/>
      <c r="D89" s="202"/>
      <c r="E89" s="193"/>
      <c r="F89" s="193">
        <f t="shared" si="3"/>
        <v>0</v>
      </c>
      <c r="G89" s="193" t="str">
        <f>IF(IFERROR(IF(Str_TypeDonneesCpt6=Cpt_Index,Tab_Compteur_6[[#This Row],[Index]]-E88,Tab_Compteur_6[[#This Row],[Quantité]])/Tab_Compteur_6[[#This Row],[Delta Jour]],"")&lt;0,"",IFERROR(IF(Str_TypeDonneesCpt6=Cpt_Index,Tab_Compteur_6[[#This Row],[Index]]-E88,Tab_Compteur_6[[#This Row],[Quantité]])/Tab_Compteur_6[[#This Row],[Delta Jour]],""))</f>
        <v/>
      </c>
      <c r="H89" s="193" t="str">
        <f>IFERROR(Tab_Compteur_6[[#This Row],[Montant]]/Tab_Compteur_6[[#This Row],[Delta Jour]],"")</f>
        <v/>
      </c>
      <c r="I89" s="219" t="str">
        <f t="shared" si="4"/>
        <v/>
      </c>
      <c r="J89" s="216"/>
      <c r="K89" s="38"/>
      <c r="L89" s="38"/>
      <c r="M89" s="38"/>
    </row>
    <row r="90" spans="1:13">
      <c r="A90" s="55">
        <f t="shared" si="5"/>
        <v>1</v>
      </c>
      <c r="B90" s="88"/>
      <c r="C90" s="199"/>
      <c r="D90" s="202"/>
      <c r="E90" s="193"/>
      <c r="F90" s="193">
        <f t="shared" si="3"/>
        <v>0</v>
      </c>
      <c r="G90" s="193" t="str">
        <f>IF(IFERROR(IF(Str_TypeDonneesCpt6=Cpt_Index,Tab_Compteur_6[[#This Row],[Index]]-E89,Tab_Compteur_6[[#This Row],[Quantité]])/Tab_Compteur_6[[#This Row],[Delta Jour]],"")&lt;0,"",IFERROR(IF(Str_TypeDonneesCpt6=Cpt_Index,Tab_Compteur_6[[#This Row],[Index]]-E89,Tab_Compteur_6[[#This Row],[Quantité]])/Tab_Compteur_6[[#This Row],[Delta Jour]],""))</f>
        <v/>
      </c>
      <c r="H90" s="193" t="str">
        <f>IFERROR(Tab_Compteur_6[[#This Row],[Montant]]/Tab_Compteur_6[[#This Row],[Delta Jour]],"")</f>
        <v/>
      </c>
      <c r="I90" s="219" t="str">
        <f t="shared" si="4"/>
        <v/>
      </c>
      <c r="J90" s="216"/>
      <c r="K90" s="38"/>
      <c r="L90" s="38"/>
      <c r="M90" s="38"/>
    </row>
    <row r="91" spans="1:13">
      <c r="A91" s="55">
        <f t="shared" si="5"/>
        <v>1</v>
      </c>
      <c r="B91" s="88"/>
      <c r="C91" s="199"/>
      <c r="D91" s="202"/>
      <c r="E91" s="193"/>
      <c r="F91" s="193">
        <f t="shared" si="3"/>
        <v>0</v>
      </c>
      <c r="G91" s="193" t="str">
        <f>IF(IFERROR(IF(Str_TypeDonneesCpt6=Cpt_Index,Tab_Compteur_6[[#This Row],[Index]]-E90,Tab_Compteur_6[[#This Row],[Quantité]])/Tab_Compteur_6[[#This Row],[Delta Jour]],"")&lt;0,"",IFERROR(IF(Str_TypeDonneesCpt6=Cpt_Index,Tab_Compteur_6[[#This Row],[Index]]-E90,Tab_Compteur_6[[#This Row],[Quantité]])/Tab_Compteur_6[[#This Row],[Delta Jour]],""))</f>
        <v/>
      </c>
      <c r="H91" s="193" t="str">
        <f>IFERROR(Tab_Compteur_6[[#This Row],[Montant]]/Tab_Compteur_6[[#This Row],[Delta Jour]],"")</f>
        <v/>
      </c>
      <c r="I91" s="219" t="str">
        <f t="shared" si="4"/>
        <v/>
      </c>
      <c r="J91" s="216"/>
      <c r="K91" s="38"/>
      <c r="L91" s="38"/>
      <c r="M91" s="38"/>
    </row>
    <row r="92" spans="1:13">
      <c r="A92" s="55">
        <f t="shared" si="5"/>
        <v>1</v>
      </c>
      <c r="B92" s="88"/>
      <c r="C92" s="199"/>
      <c r="D92" s="202"/>
      <c r="E92" s="193"/>
      <c r="F92" s="193">
        <f t="shared" si="3"/>
        <v>0</v>
      </c>
      <c r="G92" s="193" t="str">
        <f>IF(IFERROR(IF(Str_TypeDonneesCpt6=Cpt_Index,Tab_Compteur_6[[#This Row],[Index]]-E91,Tab_Compteur_6[[#This Row],[Quantité]])/Tab_Compteur_6[[#This Row],[Delta Jour]],"")&lt;0,"",IFERROR(IF(Str_TypeDonneesCpt6=Cpt_Index,Tab_Compteur_6[[#This Row],[Index]]-E91,Tab_Compteur_6[[#This Row],[Quantité]])/Tab_Compteur_6[[#This Row],[Delta Jour]],""))</f>
        <v/>
      </c>
      <c r="H92" s="193" t="str">
        <f>IFERROR(Tab_Compteur_6[[#This Row],[Montant]]/Tab_Compteur_6[[#This Row],[Delta Jour]],"")</f>
        <v/>
      </c>
      <c r="I92" s="219" t="str">
        <f t="shared" si="4"/>
        <v/>
      </c>
      <c r="J92" s="216"/>
      <c r="K92" s="38"/>
      <c r="L92" s="38"/>
      <c r="M92" s="38"/>
    </row>
    <row r="93" spans="1:13">
      <c r="A93" s="55">
        <f t="shared" si="5"/>
        <v>1</v>
      </c>
      <c r="B93" s="88"/>
      <c r="C93" s="199"/>
      <c r="D93" s="202"/>
      <c r="E93" s="193"/>
      <c r="F93" s="193">
        <f t="shared" si="3"/>
        <v>0</v>
      </c>
      <c r="G93" s="193" t="str">
        <f>IF(IFERROR(IF(Str_TypeDonneesCpt6=Cpt_Index,Tab_Compteur_6[[#This Row],[Index]]-E92,Tab_Compteur_6[[#This Row],[Quantité]])/Tab_Compteur_6[[#This Row],[Delta Jour]],"")&lt;0,"",IFERROR(IF(Str_TypeDonneesCpt6=Cpt_Index,Tab_Compteur_6[[#This Row],[Index]]-E92,Tab_Compteur_6[[#This Row],[Quantité]])/Tab_Compteur_6[[#This Row],[Delta Jour]],""))</f>
        <v/>
      </c>
      <c r="H93" s="193" t="str">
        <f>IFERROR(Tab_Compteur_6[[#This Row],[Montant]]/Tab_Compteur_6[[#This Row],[Delta Jour]],"")</f>
        <v/>
      </c>
      <c r="I93" s="219" t="str">
        <f t="shared" si="4"/>
        <v/>
      </c>
      <c r="J93" s="216"/>
      <c r="K93" s="38"/>
      <c r="L93" s="38"/>
      <c r="M93" s="38"/>
    </row>
    <row r="94" spans="1:13">
      <c r="A94" s="55">
        <f t="shared" si="5"/>
        <v>1</v>
      </c>
      <c r="B94" s="88"/>
      <c r="C94" s="199"/>
      <c r="D94" s="202"/>
      <c r="E94" s="193"/>
      <c r="F94" s="193">
        <f t="shared" si="3"/>
        <v>0</v>
      </c>
      <c r="G94" s="193" t="str">
        <f>IF(IFERROR(IF(Str_TypeDonneesCpt6=Cpt_Index,Tab_Compteur_6[[#This Row],[Index]]-E93,Tab_Compteur_6[[#This Row],[Quantité]])/Tab_Compteur_6[[#This Row],[Delta Jour]],"")&lt;0,"",IFERROR(IF(Str_TypeDonneesCpt6=Cpt_Index,Tab_Compteur_6[[#This Row],[Index]]-E93,Tab_Compteur_6[[#This Row],[Quantité]])/Tab_Compteur_6[[#This Row],[Delta Jour]],""))</f>
        <v/>
      </c>
      <c r="H94" s="193" t="str">
        <f>IFERROR(Tab_Compteur_6[[#This Row],[Montant]]/Tab_Compteur_6[[#This Row],[Delta Jour]],"")</f>
        <v/>
      </c>
      <c r="I94" s="219" t="str">
        <f t="shared" si="4"/>
        <v/>
      </c>
      <c r="J94" s="216"/>
      <c r="K94" s="38"/>
      <c r="L94" s="38"/>
      <c r="M94" s="38"/>
    </row>
    <row r="95" spans="1:13">
      <c r="A95" s="55">
        <f t="shared" si="5"/>
        <v>1</v>
      </c>
      <c r="B95" s="88"/>
      <c r="C95" s="199"/>
      <c r="D95" s="202"/>
      <c r="E95" s="193"/>
      <c r="F95" s="193">
        <f t="shared" si="3"/>
        <v>0</v>
      </c>
      <c r="G95" s="193" t="str">
        <f>IF(IFERROR(IF(Str_TypeDonneesCpt6=Cpt_Index,Tab_Compteur_6[[#This Row],[Index]]-E94,Tab_Compteur_6[[#This Row],[Quantité]])/Tab_Compteur_6[[#This Row],[Delta Jour]],"")&lt;0,"",IFERROR(IF(Str_TypeDonneesCpt6=Cpt_Index,Tab_Compteur_6[[#This Row],[Index]]-E94,Tab_Compteur_6[[#This Row],[Quantité]])/Tab_Compteur_6[[#This Row],[Delta Jour]],""))</f>
        <v/>
      </c>
      <c r="H95" s="193" t="str">
        <f>IFERROR(Tab_Compteur_6[[#This Row],[Montant]]/Tab_Compteur_6[[#This Row],[Delta Jour]],"")</f>
        <v/>
      </c>
      <c r="I95" s="219" t="str">
        <f t="shared" si="4"/>
        <v/>
      </c>
      <c r="J95" s="216"/>
      <c r="K95" s="38"/>
      <c r="L95" s="38"/>
      <c r="M95" s="38"/>
    </row>
    <row r="96" spans="1:13">
      <c r="A96" s="55">
        <f t="shared" si="5"/>
        <v>1</v>
      </c>
      <c r="B96" s="88"/>
      <c r="C96" s="199"/>
      <c r="D96" s="202"/>
      <c r="E96" s="193"/>
      <c r="F96" s="193">
        <f t="shared" si="3"/>
        <v>0</v>
      </c>
      <c r="G96" s="193" t="str">
        <f>IF(IFERROR(IF(Str_TypeDonneesCpt6=Cpt_Index,Tab_Compteur_6[[#This Row],[Index]]-E95,Tab_Compteur_6[[#This Row],[Quantité]])/Tab_Compteur_6[[#This Row],[Delta Jour]],"")&lt;0,"",IFERROR(IF(Str_TypeDonneesCpt6=Cpt_Index,Tab_Compteur_6[[#This Row],[Index]]-E95,Tab_Compteur_6[[#This Row],[Quantité]])/Tab_Compteur_6[[#This Row],[Delta Jour]],""))</f>
        <v/>
      </c>
      <c r="H96" s="193" t="str">
        <f>IFERROR(Tab_Compteur_6[[#This Row],[Montant]]/Tab_Compteur_6[[#This Row],[Delta Jour]],"")</f>
        <v/>
      </c>
      <c r="I96" s="219" t="str">
        <f t="shared" si="4"/>
        <v/>
      </c>
      <c r="J96" s="216"/>
      <c r="K96" s="38"/>
      <c r="L96" s="38"/>
      <c r="M96" s="38"/>
    </row>
    <row r="97" spans="1:13">
      <c r="A97" s="55">
        <f t="shared" si="5"/>
        <v>1</v>
      </c>
      <c r="B97" s="88"/>
      <c r="C97" s="199"/>
      <c r="D97" s="202"/>
      <c r="E97" s="193"/>
      <c r="F97" s="193">
        <f t="shared" si="3"/>
        <v>0</v>
      </c>
      <c r="G97" s="193" t="str">
        <f>IF(IFERROR(IF(Str_TypeDonneesCpt6=Cpt_Index,Tab_Compteur_6[[#This Row],[Index]]-E96,Tab_Compteur_6[[#This Row],[Quantité]])/Tab_Compteur_6[[#This Row],[Delta Jour]],"")&lt;0,"",IFERROR(IF(Str_TypeDonneesCpt6=Cpt_Index,Tab_Compteur_6[[#This Row],[Index]]-E96,Tab_Compteur_6[[#This Row],[Quantité]])/Tab_Compteur_6[[#This Row],[Delta Jour]],""))</f>
        <v/>
      </c>
      <c r="H97" s="193" t="str">
        <f>IFERROR(Tab_Compteur_6[[#This Row],[Montant]]/Tab_Compteur_6[[#This Row],[Delta Jour]],"")</f>
        <v/>
      </c>
      <c r="I97" s="219" t="str">
        <f t="shared" si="4"/>
        <v/>
      </c>
      <c r="J97" s="216"/>
      <c r="K97" s="38"/>
      <c r="L97" s="38"/>
      <c r="M97" s="38"/>
    </row>
    <row r="98" spans="1:13">
      <c r="A98" s="55">
        <f t="shared" si="5"/>
        <v>1</v>
      </c>
      <c r="B98" s="88"/>
      <c r="C98" s="199"/>
      <c r="D98" s="202"/>
      <c r="E98" s="193"/>
      <c r="F98" s="193">
        <f t="shared" si="3"/>
        <v>0</v>
      </c>
      <c r="G98" s="193" t="str">
        <f>IF(IFERROR(IF(Str_TypeDonneesCpt6=Cpt_Index,Tab_Compteur_6[[#This Row],[Index]]-E97,Tab_Compteur_6[[#This Row],[Quantité]])/Tab_Compteur_6[[#This Row],[Delta Jour]],"")&lt;0,"",IFERROR(IF(Str_TypeDonneesCpt6=Cpt_Index,Tab_Compteur_6[[#This Row],[Index]]-E97,Tab_Compteur_6[[#This Row],[Quantité]])/Tab_Compteur_6[[#This Row],[Delta Jour]],""))</f>
        <v/>
      </c>
      <c r="H98" s="193" t="str">
        <f>IFERROR(Tab_Compteur_6[[#This Row],[Montant]]/Tab_Compteur_6[[#This Row],[Delta Jour]],"")</f>
        <v/>
      </c>
      <c r="I98" s="219" t="str">
        <f t="shared" si="4"/>
        <v/>
      </c>
      <c r="J98" s="216"/>
      <c r="K98" s="38"/>
      <c r="L98" s="38"/>
      <c r="M98" s="38"/>
    </row>
    <row r="99" spans="1:13">
      <c r="A99" s="55">
        <f t="shared" si="5"/>
        <v>1</v>
      </c>
      <c r="B99" s="88"/>
      <c r="C99" s="199"/>
      <c r="D99" s="202"/>
      <c r="E99" s="193"/>
      <c r="F99" s="193">
        <f t="shared" si="3"/>
        <v>0</v>
      </c>
      <c r="G99" s="193" t="str">
        <f>IF(IFERROR(IF(Str_TypeDonneesCpt6=Cpt_Index,Tab_Compteur_6[[#This Row],[Index]]-E98,Tab_Compteur_6[[#This Row],[Quantité]])/Tab_Compteur_6[[#This Row],[Delta Jour]],"")&lt;0,"",IFERROR(IF(Str_TypeDonneesCpt6=Cpt_Index,Tab_Compteur_6[[#This Row],[Index]]-E98,Tab_Compteur_6[[#This Row],[Quantité]])/Tab_Compteur_6[[#This Row],[Delta Jour]],""))</f>
        <v/>
      </c>
      <c r="H99" s="193" t="str">
        <f>IFERROR(Tab_Compteur_6[[#This Row],[Montant]]/Tab_Compteur_6[[#This Row],[Delta Jour]],"")</f>
        <v/>
      </c>
      <c r="I99" s="219" t="str">
        <f t="shared" si="4"/>
        <v/>
      </c>
      <c r="J99" s="216"/>
      <c r="K99" s="38"/>
      <c r="L99" s="38"/>
      <c r="M99" s="38"/>
    </row>
    <row r="100" spans="1:13">
      <c r="A100" s="55">
        <f t="shared" si="5"/>
        <v>1</v>
      </c>
      <c r="B100" s="88"/>
      <c r="C100" s="199"/>
      <c r="D100" s="202"/>
      <c r="E100" s="193"/>
      <c r="F100" s="193">
        <f t="shared" si="3"/>
        <v>0</v>
      </c>
      <c r="G100" s="193" t="str">
        <f>IF(IFERROR(IF(Str_TypeDonneesCpt6=Cpt_Index,Tab_Compteur_6[[#This Row],[Index]]-E99,Tab_Compteur_6[[#This Row],[Quantité]])/Tab_Compteur_6[[#This Row],[Delta Jour]],"")&lt;0,"",IFERROR(IF(Str_TypeDonneesCpt6=Cpt_Index,Tab_Compteur_6[[#This Row],[Index]]-E99,Tab_Compteur_6[[#This Row],[Quantité]])/Tab_Compteur_6[[#This Row],[Delta Jour]],""))</f>
        <v/>
      </c>
      <c r="H100" s="193" t="str">
        <f>IFERROR(Tab_Compteur_6[[#This Row],[Montant]]/Tab_Compteur_6[[#This Row],[Delta Jour]],"")</f>
        <v/>
      </c>
      <c r="I100" s="219" t="str">
        <f t="shared" si="4"/>
        <v/>
      </c>
      <c r="J100" s="216"/>
      <c r="K100" s="38"/>
      <c r="L100" s="38"/>
      <c r="M100" s="38"/>
    </row>
    <row r="101" spans="1:13">
      <c r="A101" s="55">
        <f t="shared" si="5"/>
        <v>1</v>
      </c>
      <c r="B101" s="88"/>
      <c r="C101" s="199"/>
      <c r="D101" s="202"/>
      <c r="E101" s="193"/>
      <c r="F101" s="193">
        <f t="shared" si="3"/>
        <v>0</v>
      </c>
      <c r="G101" s="193" t="str">
        <f>IF(IFERROR(IF(Str_TypeDonneesCpt6=Cpt_Index,Tab_Compteur_6[[#This Row],[Index]]-E100,Tab_Compteur_6[[#This Row],[Quantité]])/Tab_Compteur_6[[#This Row],[Delta Jour]],"")&lt;0,"",IFERROR(IF(Str_TypeDonneesCpt6=Cpt_Index,Tab_Compteur_6[[#This Row],[Index]]-E100,Tab_Compteur_6[[#This Row],[Quantité]])/Tab_Compteur_6[[#This Row],[Delta Jour]],""))</f>
        <v/>
      </c>
      <c r="H101" s="193" t="str">
        <f>IFERROR(Tab_Compteur_6[[#This Row],[Montant]]/Tab_Compteur_6[[#This Row],[Delta Jour]],"")</f>
        <v/>
      </c>
      <c r="I101" s="219" t="str">
        <f t="shared" si="4"/>
        <v/>
      </c>
      <c r="J101" s="216"/>
      <c r="K101" s="38"/>
      <c r="L101" s="38"/>
      <c r="M101" s="38"/>
    </row>
    <row r="102" spans="1:13">
      <c r="A102" s="55">
        <f t="shared" si="5"/>
        <v>1</v>
      </c>
      <c r="B102" s="88"/>
      <c r="C102" s="199"/>
      <c r="D102" s="202"/>
      <c r="E102" s="193"/>
      <c r="F102" s="193">
        <f t="shared" si="3"/>
        <v>0</v>
      </c>
      <c r="G102" s="193" t="str">
        <f>IF(IFERROR(IF(Str_TypeDonneesCpt6=Cpt_Index,Tab_Compteur_6[[#This Row],[Index]]-E101,Tab_Compteur_6[[#This Row],[Quantité]])/Tab_Compteur_6[[#This Row],[Delta Jour]],"")&lt;0,"",IFERROR(IF(Str_TypeDonneesCpt6=Cpt_Index,Tab_Compteur_6[[#This Row],[Index]]-E101,Tab_Compteur_6[[#This Row],[Quantité]])/Tab_Compteur_6[[#This Row],[Delta Jour]],""))</f>
        <v/>
      </c>
      <c r="H102" s="193" t="str">
        <f>IFERROR(Tab_Compteur_6[[#This Row],[Montant]]/Tab_Compteur_6[[#This Row],[Delta Jour]],"")</f>
        <v/>
      </c>
      <c r="I102" s="219" t="str">
        <f t="shared" si="4"/>
        <v/>
      </c>
      <c r="J102" s="216"/>
      <c r="K102" s="38"/>
      <c r="L102" s="38"/>
      <c r="M102" s="38"/>
    </row>
    <row r="103" spans="1:13">
      <c r="A103" s="55">
        <f t="shared" si="5"/>
        <v>1</v>
      </c>
      <c r="B103" s="88"/>
      <c r="C103" s="199"/>
      <c r="D103" s="202"/>
      <c r="E103" s="193"/>
      <c r="F103" s="193">
        <f t="shared" si="3"/>
        <v>0</v>
      </c>
      <c r="G103" s="193" t="str">
        <f>IF(IFERROR(IF(Str_TypeDonneesCpt6=Cpt_Index,Tab_Compteur_6[[#This Row],[Index]]-E102,Tab_Compteur_6[[#This Row],[Quantité]])/Tab_Compteur_6[[#This Row],[Delta Jour]],"")&lt;0,"",IFERROR(IF(Str_TypeDonneesCpt6=Cpt_Index,Tab_Compteur_6[[#This Row],[Index]]-E102,Tab_Compteur_6[[#This Row],[Quantité]])/Tab_Compteur_6[[#This Row],[Delta Jour]],""))</f>
        <v/>
      </c>
      <c r="H103" s="193" t="str">
        <f>IFERROR(Tab_Compteur_6[[#This Row],[Montant]]/Tab_Compteur_6[[#This Row],[Delta Jour]],"")</f>
        <v/>
      </c>
      <c r="I103" s="219" t="str">
        <f t="shared" si="4"/>
        <v/>
      </c>
      <c r="J103" s="216"/>
      <c r="K103" s="38"/>
      <c r="L103" s="38"/>
      <c r="M103" s="38"/>
    </row>
    <row r="104" spans="1:13">
      <c r="A104" s="55">
        <f t="shared" si="5"/>
        <v>1</v>
      </c>
      <c r="B104" s="88"/>
      <c r="C104" s="199"/>
      <c r="D104" s="202"/>
      <c r="E104" s="193"/>
      <c r="F104" s="193">
        <f t="shared" si="3"/>
        <v>0</v>
      </c>
      <c r="G104" s="193" t="str">
        <f>IF(IFERROR(IF(Str_TypeDonneesCpt6=Cpt_Index,Tab_Compteur_6[[#This Row],[Index]]-E103,Tab_Compteur_6[[#This Row],[Quantité]])/Tab_Compteur_6[[#This Row],[Delta Jour]],"")&lt;0,"",IFERROR(IF(Str_TypeDonneesCpt6=Cpt_Index,Tab_Compteur_6[[#This Row],[Index]]-E103,Tab_Compteur_6[[#This Row],[Quantité]])/Tab_Compteur_6[[#This Row],[Delta Jour]],""))</f>
        <v/>
      </c>
      <c r="H104" s="193" t="str">
        <f>IFERROR(Tab_Compteur_6[[#This Row],[Montant]]/Tab_Compteur_6[[#This Row],[Delta Jour]],"")</f>
        <v/>
      </c>
      <c r="I104" s="219" t="str">
        <f t="shared" si="4"/>
        <v/>
      </c>
      <c r="J104" s="216"/>
      <c r="K104" s="38"/>
      <c r="L104" s="38"/>
      <c r="M104" s="38"/>
    </row>
    <row r="105" spans="1:13">
      <c r="A105" s="55">
        <f t="shared" si="5"/>
        <v>1</v>
      </c>
      <c r="B105" s="88"/>
      <c r="C105" s="199"/>
      <c r="D105" s="202"/>
      <c r="E105" s="193"/>
      <c r="F105" s="193">
        <f t="shared" si="3"/>
        <v>0</v>
      </c>
      <c r="G105" s="193" t="str">
        <f>IF(IFERROR(IF(Str_TypeDonneesCpt6=Cpt_Index,Tab_Compteur_6[[#This Row],[Index]]-E104,Tab_Compteur_6[[#This Row],[Quantité]])/Tab_Compteur_6[[#This Row],[Delta Jour]],"")&lt;0,"",IFERROR(IF(Str_TypeDonneesCpt6=Cpt_Index,Tab_Compteur_6[[#This Row],[Index]]-E104,Tab_Compteur_6[[#This Row],[Quantité]])/Tab_Compteur_6[[#This Row],[Delta Jour]],""))</f>
        <v/>
      </c>
      <c r="H105" s="193" t="str">
        <f>IFERROR(Tab_Compteur_6[[#This Row],[Montant]]/Tab_Compteur_6[[#This Row],[Delta Jour]],"")</f>
        <v/>
      </c>
      <c r="I105" s="219" t="str">
        <f t="shared" si="4"/>
        <v/>
      </c>
      <c r="J105" s="216"/>
      <c r="K105" s="38"/>
      <c r="L105" s="38"/>
      <c r="M105" s="38"/>
    </row>
    <row r="106" spans="1:13">
      <c r="A106" s="55">
        <f t="shared" si="5"/>
        <v>1</v>
      </c>
      <c r="B106" s="88"/>
      <c r="C106" s="199"/>
      <c r="D106" s="202"/>
      <c r="E106" s="193"/>
      <c r="F106" s="193">
        <f t="shared" si="3"/>
        <v>0</v>
      </c>
      <c r="G106" s="193" t="str">
        <f>IF(IFERROR(IF(Str_TypeDonneesCpt6=Cpt_Index,Tab_Compteur_6[[#This Row],[Index]]-E105,Tab_Compteur_6[[#This Row],[Quantité]])/Tab_Compteur_6[[#This Row],[Delta Jour]],"")&lt;0,"",IFERROR(IF(Str_TypeDonneesCpt6=Cpt_Index,Tab_Compteur_6[[#This Row],[Index]]-E105,Tab_Compteur_6[[#This Row],[Quantité]])/Tab_Compteur_6[[#This Row],[Delta Jour]],""))</f>
        <v/>
      </c>
      <c r="H106" s="193" t="str">
        <f>IFERROR(Tab_Compteur_6[[#This Row],[Montant]]/Tab_Compteur_6[[#This Row],[Delta Jour]],"")</f>
        <v/>
      </c>
      <c r="I106" s="219" t="str">
        <f t="shared" si="4"/>
        <v/>
      </c>
      <c r="J106" s="216"/>
      <c r="K106" s="38"/>
      <c r="L106" s="38"/>
      <c r="M106" s="38"/>
    </row>
    <row r="107" spans="1:13">
      <c r="A107" s="55">
        <f t="shared" si="5"/>
        <v>1</v>
      </c>
      <c r="B107" s="88"/>
      <c r="C107" s="199"/>
      <c r="D107" s="202"/>
      <c r="E107" s="193"/>
      <c r="F107" s="193">
        <f t="shared" si="3"/>
        <v>0</v>
      </c>
      <c r="G107" s="193" t="str">
        <f>IF(IFERROR(IF(Str_TypeDonneesCpt6=Cpt_Index,Tab_Compteur_6[[#This Row],[Index]]-E106,Tab_Compteur_6[[#This Row],[Quantité]])/Tab_Compteur_6[[#This Row],[Delta Jour]],"")&lt;0,"",IFERROR(IF(Str_TypeDonneesCpt6=Cpt_Index,Tab_Compteur_6[[#This Row],[Index]]-E106,Tab_Compteur_6[[#This Row],[Quantité]])/Tab_Compteur_6[[#This Row],[Delta Jour]],""))</f>
        <v/>
      </c>
      <c r="H107" s="193" t="str">
        <f>IFERROR(Tab_Compteur_6[[#This Row],[Montant]]/Tab_Compteur_6[[#This Row],[Delta Jour]],"")</f>
        <v/>
      </c>
      <c r="I107" s="219" t="str">
        <f t="shared" si="4"/>
        <v/>
      </c>
      <c r="J107" s="216"/>
      <c r="K107" s="38"/>
      <c r="L107" s="38"/>
      <c r="M107" s="38"/>
    </row>
    <row r="108" spans="1:13">
      <c r="A108" s="55">
        <f t="shared" si="5"/>
        <v>1</v>
      </c>
      <c r="B108" s="88"/>
      <c r="C108" s="199"/>
      <c r="D108" s="202"/>
      <c r="E108" s="193"/>
      <c r="F108" s="193">
        <f t="shared" si="3"/>
        <v>0</v>
      </c>
      <c r="G108" s="193" t="str">
        <f>IF(IFERROR(IF(Str_TypeDonneesCpt6=Cpt_Index,Tab_Compteur_6[[#This Row],[Index]]-E107,Tab_Compteur_6[[#This Row],[Quantité]])/Tab_Compteur_6[[#This Row],[Delta Jour]],"")&lt;0,"",IFERROR(IF(Str_TypeDonneesCpt6=Cpt_Index,Tab_Compteur_6[[#This Row],[Index]]-E107,Tab_Compteur_6[[#This Row],[Quantité]])/Tab_Compteur_6[[#This Row],[Delta Jour]],""))</f>
        <v/>
      </c>
      <c r="H108" s="193" t="str">
        <f>IFERROR(Tab_Compteur_6[[#This Row],[Montant]]/Tab_Compteur_6[[#This Row],[Delta Jour]],"")</f>
        <v/>
      </c>
      <c r="I108" s="219" t="str">
        <f t="shared" si="4"/>
        <v/>
      </c>
      <c r="J108" s="216"/>
      <c r="K108" s="38"/>
      <c r="L108" s="38"/>
      <c r="M108" s="38"/>
    </row>
    <row r="109" spans="1:13">
      <c r="A109" s="55">
        <f t="shared" si="5"/>
        <v>1</v>
      </c>
      <c r="B109" s="88"/>
      <c r="C109" s="199"/>
      <c r="D109" s="202"/>
      <c r="E109" s="193"/>
      <c r="F109" s="193">
        <f t="shared" si="3"/>
        <v>0</v>
      </c>
      <c r="G109" s="193" t="str">
        <f>IF(IFERROR(IF(Str_TypeDonneesCpt6=Cpt_Index,Tab_Compteur_6[[#This Row],[Index]]-E108,Tab_Compteur_6[[#This Row],[Quantité]])/Tab_Compteur_6[[#This Row],[Delta Jour]],"")&lt;0,"",IFERROR(IF(Str_TypeDonneesCpt6=Cpt_Index,Tab_Compteur_6[[#This Row],[Index]]-E108,Tab_Compteur_6[[#This Row],[Quantité]])/Tab_Compteur_6[[#This Row],[Delta Jour]],""))</f>
        <v/>
      </c>
      <c r="H109" s="193" t="str">
        <f>IFERROR(Tab_Compteur_6[[#This Row],[Montant]]/Tab_Compteur_6[[#This Row],[Delta Jour]],"")</f>
        <v/>
      </c>
      <c r="I109" s="219" t="str">
        <f t="shared" si="4"/>
        <v/>
      </c>
      <c r="J109" s="216"/>
      <c r="K109" s="38"/>
      <c r="L109" s="38"/>
      <c r="M109" s="38"/>
    </row>
    <row r="110" spans="1:13">
      <c r="A110" s="55">
        <f t="shared" si="5"/>
        <v>1</v>
      </c>
      <c r="B110" s="88"/>
      <c r="C110" s="199"/>
      <c r="D110" s="202"/>
      <c r="E110" s="193"/>
      <c r="F110" s="193">
        <f t="shared" si="3"/>
        <v>0</v>
      </c>
      <c r="G110" s="193" t="str">
        <f>IF(IFERROR(IF(Str_TypeDonneesCpt6=Cpt_Index,Tab_Compteur_6[[#This Row],[Index]]-E109,Tab_Compteur_6[[#This Row],[Quantité]])/Tab_Compteur_6[[#This Row],[Delta Jour]],"")&lt;0,"",IFERROR(IF(Str_TypeDonneesCpt6=Cpt_Index,Tab_Compteur_6[[#This Row],[Index]]-E109,Tab_Compteur_6[[#This Row],[Quantité]])/Tab_Compteur_6[[#This Row],[Delta Jour]],""))</f>
        <v/>
      </c>
      <c r="H110" s="193" t="str">
        <f>IFERROR(Tab_Compteur_6[[#This Row],[Montant]]/Tab_Compteur_6[[#This Row],[Delta Jour]],"")</f>
        <v/>
      </c>
      <c r="I110" s="219" t="str">
        <f t="shared" si="4"/>
        <v/>
      </c>
      <c r="J110" s="216"/>
      <c r="K110" s="38"/>
      <c r="L110" s="38"/>
      <c r="M110" s="38"/>
    </row>
    <row r="111" spans="1:13">
      <c r="A111" s="55">
        <f t="shared" si="5"/>
        <v>1</v>
      </c>
      <c r="B111" s="88"/>
      <c r="C111" s="199"/>
      <c r="D111" s="202"/>
      <c r="E111" s="193"/>
      <c r="F111" s="193">
        <f t="shared" si="3"/>
        <v>0</v>
      </c>
      <c r="G111" s="193" t="str">
        <f>IF(IFERROR(IF(Str_TypeDonneesCpt6=Cpt_Index,Tab_Compteur_6[[#This Row],[Index]]-E110,Tab_Compteur_6[[#This Row],[Quantité]])/Tab_Compteur_6[[#This Row],[Delta Jour]],"")&lt;0,"",IFERROR(IF(Str_TypeDonneesCpt6=Cpt_Index,Tab_Compteur_6[[#This Row],[Index]]-E110,Tab_Compteur_6[[#This Row],[Quantité]])/Tab_Compteur_6[[#This Row],[Delta Jour]],""))</f>
        <v/>
      </c>
      <c r="H111" s="193" t="str">
        <f>IFERROR(Tab_Compteur_6[[#This Row],[Montant]]/Tab_Compteur_6[[#This Row],[Delta Jour]],"")</f>
        <v/>
      </c>
      <c r="I111" s="219" t="str">
        <f t="shared" si="4"/>
        <v/>
      </c>
      <c r="J111" s="216"/>
      <c r="K111" s="38"/>
      <c r="L111" s="38"/>
      <c r="M111" s="38"/>
    </row>
    <row r="112" spans="1:13">
      <c r="A112" s="55">
        <f t="shared" si="5"/>
        <v>1</v>
      </c>
      <c r="B112" s="88"/>
      <c r="C112" s="199"/>
      <c r="D112" s="202"/>
      <c r="E112" s="193"/>
      <c r="F112" s="193">
        <f t="shared" si="3"/>
        <v>0</v>
      </c>
      <c r="G112" s="193" t="str">
        <f>IF(IFERROR(IF(Str_TypeDonneesCpt6=Cpt_Index,Tab_Compteur_6[[#This Row],[Index]]-E111,Tab_Compteur_6[[#This Row],[Quantité]])/Tab_Compteur_6[[#This Row],[Delta Jour]],"")&lt;0,"",IFERROR(IF(Str_TypeDonneesCpt6=Cpt_Index,Tab_Compteur_6[[#This Row],[Index]]-E111,Tab_Compteur_6[[#This Row],[Quantité]])/Tab_Compteur_6[[#This Row],[Delta Jour]],""))</f>
        <v/>
      </c>
      <c r="H112" s="193" t="str">
        <f>IFERROR(Tab_Compteur_6[[#This Row],[Montant]]/Tab_Compteur_6[[#This Row],[Delta Jour]],"")</f>
        <v/>
      </c>
      <c r="I112" s="219" t="str">
        <f t="shared" si="4"/>
        <v/>
      </c>
      <c r="J112" s="216"/>
      <c r="K112" s="38"/>
      <c r="L112" s="38"/>
      <c r="M112" s="38"/>
    </row>
    <row r="113" spans="1:13">
      <c r="A113" s="55">
        <f t="shared" si="5"/>
        <v>1</v>
      </c>
      <c r="B113" s="88"/>
      <c r="C113" s="199"/>
      <c r="D113" s="202"/>
      <c r="E113" s="193"/>
      <c r="F113" s="193">
        <f t="shared" si="3"/>
        <v>0</v>
      </c>
      <c r="G113" s="193" t="str">
        <f>IF(IFERROR(IF(Str_TypeDonneesCpt6=Cpt_Index,Tab_Compteur_6[[#This Row],[Index]]-E112,Tab_Compteur_6[[#This Row],[Quantité]])/Tab_Compteur_6[[#This Row],[Delta Jour]],"")&lt;0,"",IFERROR(IF(Str_TypeDonneesCpt6=Cpt_Index,Tab_Compteur_6[[#This Row],[Index]]-E112,Tab_Compteur_6[[#This Row],[Quantité]])/Tab_Compteur_6[[#This Row],[Delta Jour]],""))</f>
        <v/>
      </c>
      <c r="H113" s="193" t="str">
        <f>IFERROR(Tab_Compteur_6[[#This Row],[Montant]]/Tab_Compteur_6[[#This Row],[Delta Jour]],"")</f>
        <v/>
      </c>
      <c r="I113" s="219" t="str">
        <f t="shared" si="4"/>
        <v/>
      </c>
      <c r="J113" s="216"/>
      <c r="K113" s="38"/>
      <c r="L113" s="38"/>
      <c r="M113" s="38"/>
    </row>
    <row r="114" spans="1:13">
      <c r="A114" s="55">
        <f t="shared" si="5"/>
        <v>1</v>
      </c>
      <c r="B114" s="88"/>
      <c r="C114" s="199"/>
      <c r="D114" s="202"/>
      <c r="E114" s="193"/>
      <c r="F114" s="193">
        <f t="shared" si="3"/>
        <v>0</v>
      </c>
      <c r="G114" s="193" t="str">
        <f>IF(IFERROR(IF(Str_TypeDonneesCpt6=Cpt_Index,Tab_Compteur_6[[#This Row],[Index]]-E113,Tab_Compteur_6[[#This Row],[Quantité]])/Tab_Compteur_6[[#This Row],[Delta Jour]],"")&lt;0,"",IFERROR(IF(Str_TypeDonneesCpt6=Cpt_Index,Tab_Compteur_6[[#This Row],[Index]]-E113,Tab_Compteur_6[[#This Row],[Quantité]])/Tab_Compteur_6[[#This Row],[Delta Jour]],""))</f>
        <v/>
      </c>
      <c r="H114" s="193" t="str">
        <f>IFERROR(Tab_Compteur_6[[#This Row],[Montant]]/Tab_Compteur_6[[#This Row],[Delta Jour]],"")</f>
        <v/>
      </c>
      <c r="I114" s="219" t="str">
        <f t="shared" si="4"/>
        <v/>
      </c>
      <c r="J114" s="216"/>
      <c r="K114" s="38"/>
      <c r="L114" s="38"/>
      <c r="M114" s="38"/>
    </row>
    <row r="115" spans="1:13">
      <c r="A115" s="55">
        <f t="shared" si="5"/>
        <v>1</v>
      </c>
      <c r="B115" s="88"/>
      <c r="C115" s="199"/>
      <c r="D115" s="202"/>
      <c r="E115" s="193"/>
      <c r="F115" s="193">
        <f t="shared" si="3"/>
        <v>0</v>
      </c>
      <c r="G115" s="193" t="str">
        <f>IF(IFERROR(IF(Str_TypeDonneesCpt6=Cpt_Index,Tab_Compteur_6[[#This Row],[Index]]-E114,Tab_Compteur_6[[#This Row],[Quantité]])/Tab_Compteur_6[[#This Row],[Delta Jour]],"")&lt;0,"",IFERROR(IF(Str_TypeDonneesCpt6=Cpt_Index,Tab_Compteur_6[[#This Row],[Index]]-E114,Tab_Compteur_6[[#This Row],[Quantité]])/Tab_Compteur_6[[#This Row],[Delta Jour]],""))</f>
        <v/>
      </c>
      <c r="H115" s="193" t="str">
        <f>IFERROR(Tab_Compteur_6[[#This Row],[Montant]]/Tab_Compteur_6[[#This Row],[Delta Jour]],"")</f>
        <v/>
      </c>
      <c r="I115" s="219" t="str">
        <f t="shared" si="4"/>
        <v/>
      </c>
      <c r="J115" s="216"/>
      <c r="K115" s="38"/>
      <c r="L115" s="38"/>
      <c r="M115" s="38"/>
    </row>
    <row r="116" spans="1:13">
      <c r="A116" s="55">
        <f t="shared" si="5"/>
        <v>1</v>
      </c>
      <c r="B116" s="88"/>
      <c r="C116" s="199"/>
      <c r="D116" s="202"/>
      <c r="E116" s="193"/>
      <c r="F116" s="193">
        <f t="shared" si="3"/>
        <v>0</v>
      </c>
      <c r="G116" s="193" t="str">
        <f>IF(IFERROR(IF(Str_TypeDonneesCpt6=Cpt_Index,Tab_Compteur_6[[#This Row],[Index]]-E115,Tab_Compteur_6[[#This Row],[Quantité]])/Tab_Compteur_6[[#This Row],[Delta Jour]],"")&lt;0,"",IFERROR(IF(Str_TypeDonneesCpt6=Cpt_Index,Tab_Compteur_6[[#This Row],[Index]]-E115,Tab_Compteur_6[[#This Row],[Quantité]])/Tab_Compteur_6[[#This Row],[Delta Jour]],""))</f>
        <v/>
      </c>
      <c r="H116" s="193" t="str">
        <f>IFERROR(Tab_Compteur_6[[#This Row],[Montant]]/Tab_Compteur_6[[#This Row],[Delta Jour]],"")</f>
        <v/>
      </c>
      <c r="I116" s="219" t="str">
        <f t="shared" si="4"/>
        <v/>
      </c>
      <c r="J116" s="216"/>
      <c r="K116" s="38"/>
      <c r="L116" s="38"/>
      <c r="M116" s="38"/>
    </row>
    <row r="117" spans="1:13">
      <c r="A117" s="55">
        <f t="shared" si="5"/>
        <v>1</v>
      </c>
      <c r="B117" s="88"/>
      <c r="C117" s="199"/>
      <c r="D117" s="202"/>
      <c r="E117" s="193"/>
      <c r="F117" s="193">
        <f t="shared" si="3"/>
        <v>0</v>
      </c>
      <c r="G117" s="193" t="str">
        <f>IF(IFERROR(IF(Str_TypeDonneesCpt6=Cpt_Index,Tab_Compteur_6[[#This Row],[Index]]-E116,Tab_Compteur_6[[#This Row],[Quantité]])/Tab_Compteur_6[[#This Row],[Delta Jour]],"")&lt;0,"",IFERROR(IF(Str_TypeDonneesCpt6=Cpt_Index,Tab_Compteur_6[[#This Row],[Index]]-E116,Tab_Compteur_6[[#This Row],[Quantité]])/Tab_Compteur_6[[#This Row],[Delta Jour]],""))</f>
        <v/>
      </c>
      <c r="H117" s="193" t="str">
        <f>IFERROR(Tab_Compteur_6[[#This Row],[Montant]]/Tab_Compteur_6[[#This Row],[Delta Jour]],"")</f>
        <v/>
      </c>
      <c r="I117" s="219" t="str">
        <f t="shared" si="4"/>
        <v/>
      </c>
      <c r="J117" s="216"/>
      <c r="K117" s="38"/>
      <c r="L117" s="38"/>
      <c r="M117" s="38"/>
    </row>
    <row r="118" spans="1:13">
      <c r="A118" s="55">
        <f t="shared" si="5"/>
        <v>1</v>
      </c>
      <c r="B118" s="88"/>
      <c r="C118" s="199"/>
      <c r="D118" s="202"/>
      <c r="E118" s="193"/>
      <c r="F118" s="193">
        <f t="shared" si="3"/>
        <v>0</v>
      </c>
      <c r="G118" s="193" t="str">
        <f>IF(IFERROR(IF(Str_TypeDonneesCpt6=Cpt_Index,Tab_Compteur_6[[#This Row],[Index]]-E117,Tab_Compteur_6[[#This Row],[Quantité]])/Tab_Compteur_6[[#This Row],[Delta Jour]],"")&lt;0,"",IFERROR(IF(Str_TypeDonneesCpt6=Cpt_Index,Tab_Compteur_6[[#This Row],[Index]]-E117,Tab_Compteur_6[[#This Row],[Quantité]])/Tab_Compteur_6[[#This Row],[Delta Jour]],""))</f>
        <v/>
      </c>
      <c r="H118" s="193" t="str">
        <f>IFERROR(Tab_Compteur_6[[#This Row],[Montant]]/Tab_Compteur_6[[#This Row],[Delta Jour]],"")</f>
        <v/>
      </c>
      <c r="I118" s="219" t="str">
        <f t="shared" si="4"/>
        <v/>
      </c>
      <c r="J118" s="216"/>
      <c r="K118" s="38"/>
      <c r="L118" s="38"/>
      <c r="M118" s="38"/>
    </row>
    <row r="119" spans="1:13">
      <c r="A119" s="55">
        <f t="shared" si="5"/>
        <v>1</v>
      </c>
      <c r="B119" s="88"/>
      <c r="C119" s="199"/>
      <c r="D119" s="202"/>
      <c r="E119" s="193"/>
      <c r="F119" s="193">
        <f t="shared" si="3"/>
        <v>0</v>
      </c>
      <c r="G119" s="193" t="str">
        <f>IF(IFERROR(IF(Str_TypeDonneesCpt6=Cpt_Index,Tab_Compteur_6[[#This Row],[Index]]-E118,Tab_Compteur_6[[#This Row],[Quantité]])/Tab_Compteur_6[[#This Row],[Delta Jour]],"")&lt;0,"",IFERROR(IF(Str_TypeDonneesCpt6=Cpt_Index,Tab_Compteur_6[[#This Row],[Index]]-E118,Tab_Compteur_6[[#This Row],[Quantité]])/Tab_Compteur_6[[#This Row],[Delta Jour]],""))</f>
        <v/>
      </c>
      <c r="H119" s="193" t="str">
        <f>IFERROR(Tab_Compteur_6[[#This Row],[Montant]]/Tab_Compteur_6[[#This Row],[Delta Jour]],"")</f>
        <v/>
      </c>
      <c r="I119" s="219" t="str">
        <f t="shared" si="4"/>
        <v/>
      </c>
      <c r="J119" s="216"/>
      <c r="K119" s="38"/>
      <c r="L119" s="38"/>
      <c r="M119" s="38"/>
    </row>
    <row r="120" spans="1:13">
      <c r="A120" s="55">
        <f t="shared" si="5"/>
        <v>1</v>
      </c>
      <c r="B120" s="88"/>
      <c r="C120" s="199"/>
      <c r="D120" s="202"/>
      <c r="E120" s="193"/>
      <c r="F120" s="193">
        <f t="shared" si="3"/>
        <v>0</v>
      </c>
      <c r="G120" s="193" t="str">
        <f>IF(IFERROR(IF(Str_TypeDonneesCpt6=Cpt_Index,Tab_Compteur_6[[#This Row],[Index]]-E119,Tab_Compteur_6[[#This Row],[Quantité]])/Tab_Compteur_6[[#This Row],[Delta Jour]],"")&lt;0,"",IFERROR(IF(Str_TypeDonneesCpt6=Cpt_Index,Tab_Compteur_6[[#This Row],[Index]]-E119,Tab_Compteur_6[[#This Row],[Quantité]])/Tab_Compteur_6[[#This Row],[Delta Jour]],""))</f>
        <v/>
      </c>
      <c r="H120" s="193" t="str">
        <f>IFERROR(Tab_Compteur_6[[#This Row],[Montant]]/Tab_Compteur_6[[#This Row],[Delta Jour]],"")</f>
        <v/>
      </c>
      <c r="I120" s="219" t="str">
        <f t="shared" si="4"/>
        <v/>
      </c>
      <c r="J120" s="216"/>
      <c r="K120" s="38"/>
      <c r="L120" s="38"/>
      <c r="M120" s="38"/>
    </row>
    <row r="121" spans="1:13">
      <c r="A121" s="55">
        <f t="shared" si="5"/>
        <v>1</v>
      </c>
      <c r="B121" s="88"/>
      <c r="C121" s="199"/>
      <c r="D121" s="202"/>
      <c r="E121" s="193"/>
      <c r="F121" s="193">
        <f t="shared" si="3"/>
        <v>0</v>
      </c>
      <c r="G121" s="193" t="str">
        <f>IF(IFERROR(IF(Str_TypeDonneesCpt6=Cpt_Index,Tab_Compteur_6[[#This Row],[Index]]-E120,Tab_Compteur_6[[#This Row],[Quantité]])/Tab_Compteur_6[[#This Row],[Delta Jour]],"")&lt;0,"",IFERROR(IF(Str_TypeDonneesCpt6=Cpt_Index,Tab_Compteur_6[[#This Row],[Index]]-E120,Tab_Compteur_6[[#This Row],[Quantité]])/Tab_Compteur_6[[#This Row],[Delta Jour]],""))</f>
        <v/>
      </c>
      <c r="H121" s="193" t="str">
        <f>IFERROR(Tab_Compteur_6[[#This Row],[Montant]]/Tab_Compteur_6[[#This Row],[Delta Jour]],"")</f>
        <v/>
      </c>
      <c r="I121" s="219" t="str">
        <f t="shared" si="4"/>
        <v/>
      </c>
      <c r="J121" s="216"/>
      <c r="K121" s="38"/>
      <c r="L121" s="38"/>
      <c r="M121" s="38"/>
    </row>
    <row r="122" spans="1:13">
      <c r="A122" s="55">
        <f t="shared" si="5"/>
        <v>1</v>
      </c>
      <c r="B122" s="88"/>
      <c r="C122" s="199"/>
      <c r="D122" s="202"/>
      <c r="E122" s="193"/>
      <c r="F122" s="193">
        <f t="shared" si="3"/>
        <v>0</v>
      </c>
      <c r="G122" s="193" t="str">
        <f>IF(IFERROR(IF(Str_TypeDonneesCpt6=Cpt_Index,Tab_Compteur_6[[#This Row],[Index]]-E121,Tab_Compteur_6[[#This Row],[Quantité]])/Tab_Compteur_6[[#This Row],[Delta Jour]],"")&lt;0,"",IFERROR(IF(Str_TypeDonneesCpt6=Cpt_Index,Tab_Compteur_6[[#This Row],[Index]]-E121,Tab_Compteur_6[[#This Row],[Quantité]])/Tab_Compteur_6[[#This Row],[Delta Jour]],""))</f>
        <v/>
      </c>
      <c r="H122" s="193" t="str">
        <f>IFERROR(Tab_Compteur_6[[#This Row],[Montant]]/Tab_Compteur_6[[#This Row],[Delta Jour]],"")</f>
        <v/>
      </c>
      <c r="I122" s="219" t="str">
        <f t="shared" si="4"/>
        <v/>
      </c>
      <c r="J122" s="216"/>
      <c r="K122" s="38"/>
      <c r="L122" s="38"/>
      <c r="M122" s="38"/>
    </row>
    <row r="123" spans="1:13">
      <c r="A123" s="55">
        <f t="shared" si="5"/>
        <v>1</v>
      </c>
      <c r="B123" s="88"/>
      <c r="C123" s="199"/>
      <c r="D123" s="202"/>
      <c r="E123" s="193"/>
      <c r="F123" s="193">
        <f t="shared" si="3"/>
        <v>0</v>
      </c>
      <c r="G123" s="193" t="str">
        <f>IF(IFERROR(IF(Str_TypeDonneesCpt6=Cpt_Index,Tab_Compteur_6[[#This Row],[Index]]-E122,Tab_Compteur_6[[#This Row],[Quantité]])/Tab_Compteur_6[[#This Row],[Delta Jour]],"")&lt;0,"",IFERROR(IF(Str_TypeDonneesCpt6=Cpt_Index,Tab_Compteur_6[[#This Row],[Index]]-E122,Tab_Compteur_6[[#This Row],[Quantité]])/Tab_Compteur_6[[#This Row],[Delta Jour]],""))</f>
        <v/>
      </c>
      <c r="H123" s="193" t="str">
        <f>IFERROR(Tab_Compteur_6[[#This Row],[Montant]]/Tab_Compteur_6[[#This Row],[Delta Jour]],"")</f>
        <v/>
      </c>
      <c r="I123" s="219" t="str">
        <f t="shared" si="4"/>
        <v/>
      </c>
      <c r="J123" s="216"/>
      <c r="K123" s="38"/>
      <c r="L123" s="38"/>
      <c r="M123" s="38"/>
    </row>
    <row r="124" spans="1:13">
      <c r="A124" s="55">
        <f t="shared" si="5"/>
        <v>1</v>
      </c>
      <c r="B124" s="88"/>
      <c r="C124" s="199"/>
      <c r="D124" s="202"/>
      <c r="E124" s="193"/>
      <c r="F124" s="193">
        <f t="shared" si="3"/>
        <v>0</v>
      </c>
      <c r="G124" s="193" t="str">
        <f>IF(IFERROR(IF(Str_TypeDonneesCpt6=Cpt_Index,Tab_Compteur_6[[#This Row],[Index]]-E123,Tab_Compteur_6[[#This Row],[Quantité]])/Tab_Compteur_6[[#This Row],[Delta Jour]],"")&lt;0,"",IFERROR(IF(Str_TypeDonneesCpt6=Cpt_Index,Tab_Compteur_6[[#This Row],[Index]]-E123,Tab_Compteur_6[[#This Row],[Quantité]])/Tab_Compteur_6[[#This Row],[Delta Jour]],""))</f>
        <v/>
      </c>
      <c r="H124" s="193" t="str">
        <f>IFERROR(Tab_Compteur_6[[#This Row],[Montant]]/Tab_Compteur_6[[#This Row],[Delta Jour]],"")</f>
        <v/>
      </c>
      <c r="I124" s="219" t="str">
        <f t="shared" si="4"/>
        <v/>
      </c>
      <c r="J124" s="216"/>
      <c r="K124" s="38"/>
      <c r="L124" s="38"/>
      <c r="M124" s="38"/>
    </row>
    <row r="125" spans="1:13">
      <c r="A125" s="55">
        <f t="shared" si="5"/>
        <v>1</v>
      </c>
      <c r="B125" s="88"/>
      <c r="C125" s="199"/>
      <c r="D125" s="202"/>
      <c r="E125" s="193"/>
      <c r="F125" s="193">
        <f t="shared" si="3"/>
        <v>0</v>
      </c>
      <c r="G125" s="193" t="str">
        <f>IF(IFERROR(IF(Str_TypeDonneesCpt6=Cpt_Index,Tab_Compteur_6[[#This Row],[Index]]-E124,Tab_Compteur_6[[#This Row],[Quantité]])/Tab_Compteur_6[[#This Row],[Delta Jour]],"")&lt;0,"",IFERROR(IF(Str_TypeDonneesCpt6=Cpt_Index,Tab_Compteur_6[[#This Row],[Index]]-E124,Tab_Compteur_6[[#This Row],[Quantité]])/Tab_Compteur_6[[#This Row],[Delta Jour]],""))</f>
        <v/>
      </c>
      <c r="H125" s="193" t="str">
        <f>IFERROR(Tab_Compteur_6[[#This Row],[Montant]]/Tab_Compteur_6[[#This Row],[Delta Jour]],"")</f>
        <v/>
      </c>
      <c r="I125" s="219" t="str">
        <f t="shared" si="4"/>
        <v/>
      </c>
      <c r="J125" s="216"/>
      <c r="K125" s="38"/>
      <c r="L125" s="38"/>
      <c r="M125" s="38"/>
    </row>
    <row r="126" spans="1:13">
      <c r="A126" s="55">
        <f t="shared" si="5"/>
        <v>1</v>
      </c>
      <c r="B126" s="88"/>
      <c r="C126" s="199"/>
      <c r="D126" s="202"/>
      <c r="E126" s="193"/>
      <c r="F126" s="193">
        <f t="shared" si="3"/>
        <v>0</v>
      </c>
      <c r="G126" s="193" t="str">
        <f>IF(IFERROR(IF(Str_TypeDonneesCpt6=Cpt_Index,Tab_Compteur_6[[#This Row],[Index]]-E125,Tab_Compteur_6[[#This Row],[Quantité]])/Tab_Compteur_6[[#This Row],[Delta Jour]],"")&lt;0,"",IFERROR(IF(Str_TypeDonneesCpt6=Cpt_Index,Tab_Compteur_6[[#This Row],[Index]]-E125,Tab_Compteur_6[[#This Row],[Quantité]])/Tab_Compteur_6[[#This Row],[Delta Jour]],""))</f>
        <v/>
      </c>
      <c r="H126" s="193" t="str">
        <f>IFERROR(Tab_Compteur_6[[#This Row],[Montant]]/Tab_Compteur_6[[#This Row],[Delta Jour]],"")</f>
        <v/>
      </c>
      <c r="I126" s="219" t="str">
        <f t="shared" si="4"/>
        <v/>
      </c>
      <c r="J126" s="216"/>
      <c r="K126" s="38"/>
      <c r="L126" s="38"/>
      <c r="M126" s="38"/>
    </row>
    <row r="127" spans="1:13">
      <c r="A127" s="55">
        <f t="shared" si="5"/>
        <v>1</v>
      </c>
      <c r="B127" s="88"/>
      <c r="C127" s="199"/>
      <c r="D127" s="202"/>
      <c r="E127" s="193"/>
      <c r="F127" s="193">
        <f t="shared" si="3"/>
        <v>0</v>
      </c>
      <c r="G127" s="193" t="str">
        <f>IF(IFERROR(IF(Str_TypeDonneesCpt6=Cpt_Index,Tab_Compteur_6[[#This Row],[Index]]-E126,Tab_Compteur_6[[#This Row],[Quantité]])/Tab_Compteur_6[[#This Row],[Delta Jour]],"")&lt;0,"",IFERROR(IF(Str_TypeDonneesCpt6=Cpt_Index,Tab_Compteur_6[[#This Row],[Index]]-E126,Tab_Compteur_6[[#This Row],[Quantité]])/Tab_Compteur_6[[#This Row],[Delta Jour]],""))</f>
        <v/>
      </c>
      <c r="H127" s="193" t="str">
        <f>IFERROR(Tab_Compteur_6[[#This Row],[Montant]]/Tab_Compteur_6[[#This Row],[Delta Jour]],"")</f>
        <v/>
      </c>
      <c r="I127" s="219" t="str">
        <f t="shared" si="4"/>
        <v/>
      </c>
      <c r="J127" s="216"/>
      <c r="K127" s="38"/>
      <c r="L127" s="38"/>
      <c r="M127" s="38"/>
    </row>
    <row r="128" spans="1:13">
      <c r="A128" s="55">
        <f t="shared" si="5"/>
        <v>1</v>
      </c>
      <c r="B128" s="88"/>
      <c r="C128" s="199"/>
      <c r="D128" s="202"/>
      <c r="E128" s="193"/>
      <c r="F128" s="193">
        <f t="shared" si="3"/>
        <v>0</v>
      </c>
      <c r="G128" s="193" t="str">
        <f>IF(IFERROR(IF(Str_TypeDonneesCpt6=Cpt_Index,Tab_Compteur_6[[#This Row],[Index]]-E127,Tab_Compteur_6[[#This Row],[Quantité]])/Tab_Compteur_6[[#This Row],[Delta Jour]],"")&lt;0,"",IFERROR(IF(Str_TypeDonneesCpt6=Cpt_Index,Tab_Compteur_6[[#This Row],[Index]]-E127,Tab_Compteur_6[[#This Row],[Quantité]])/Tab_Compteur_6[[#This Row],[Delta Jour]],""))</f>
        <v/>
      </c>
      <c r="H128" s="193" t="str">
        <f>IFERROR(Tab_Compteur_6[[#This Row],[Montant]]/Tab_Compteur_6[[#This Row],[Delta Jour]],"")</f>
        <v/>
      </c>
      <c r="I128" s="219" t="str">
        <f t="shared" si="4"/>
        <v/>
      </c>
      <c r="J128" s="216"/>
      <c r="K128" s="38"/>
      <c r="L128" s="38"/>
      <c r="M128" s="38"/>
    </row>
    <row r="129" spans="1:13">
      <c r="A129" s="55">
        <f t="shared" si="5"/>
        <v>1</v>
      </c>
      <c r="B129" s="88"/>
      <c r="C129" s="199"/>
      <c r="D129" s="202"/>
      <c r="E129" s="193"/>
      <c r="F129" s="193">
        <f t="shared" si="3"/>
        <v>0</v>
      </c>
      <c r="G129" s="193" t="str">
        <f>IF(IFERROR(IF(Str_TypeDonneesCpt6=Cpt_Index,Tab_Compteur_6[[#This Row],[Index]]-E128,Tab_Compteur_6[[#This Row],[Quantité]])/Tab_Compteur_6[[#This Row],[Delta Jour]],"")&lt;0,"",IFERROR(IF(Str_TypeDonneesCpt6=Cpt_Index,Tab_Compteur_6[[#This Row],[Index]]-E128,Tab_Compteur_6[[#This Row],[Quantité]])/Tab_Compteur_6[[#This Row],[Delta Jour]],""))</f>
        <v/>
      </c>
      <c r="H129" s="193" t="str">
        <f>IFERROR(Tab_Compteur_6[[#This Row],[Montant]]/Tab_Compteur_6[[#This Row],[Delta Jour]],"")</f>
        <v/>
      </c>
      <c r="I129" s="219" t="str">
        <f t="shared" si="4"/>
        <v/>
      </c>
      <c r="J129" s="216"/>
      <c r="K129" s="38"/>
      <c r="L129" s="38"/>
      <c r="M129" s="38"/>
    </row>
    <row r="130" spans="1:13">
      <c r="A130" s="55">
        <f t="shared" si="5"/>
        <v>1</v>
      </c>
      <c r="B130" s="88"/>
      <c r="C130" s="199"/>
      <c r="D130" s="202"/>
      <c r="E130" s="193"/>
      <c r="F130" s="193">
        <f t="shared" si="3"/>
        <v>0</v>
      </c>
      <c r="G130" s="193" t="str">
        <f>IF(IFERROR(IF(Str_TypeDonneesCpt6=Cpt_Index,Tab_Compteur_6[[#This Row],[Index]]-E129,Tab_Compteur_6[[#This Row],[Quantité]])/Tab_Compteur_6[[#This Row],[Delta Jour]],"")&lt;0,"",IFERROR(IF(Str_TypeDonneesCpt6=Cpt_Index,Tab_Compteur_6[[#This Row],[Index]]-E129,Tab_Compteur_6[[#This Row],[Quantité]])/Tab_Compteur_6[[#This Row],[Delta Jour]],""))</f>
        <v/>
      </c>
      <c r="H130" s="193" t="str">
        <f>IFERROR(Tab_Compteur_6[[#This Row],[Montant]]/Tab_Compteur_6[[#This Row],[Delta Jour]],"")</f>
        <v/>
      </c>
      <c r="I130" s="219" t="str">
        <f t="shared" si="4"/>
        <v/>
      </c>
      <c r="J130" s="216"/>
      <c r="K130" s="38"/>
      <c r="L130" s="38"/>
      <c r="M130" s="38"/>
    </row>
    <row r="131" spans="1:13">
      <c r="A131" s="55">
        <f t="shared" si="5"/>
        <v>1</v>
      </c>
      <c r="B131" s="88"/>
      <c r="C131" s="199"/>
      <c r="D131" s="202"/>
      <c r="E131" s="193"/>
      <c r="F131" s="193">
        <f t="shared" ref="F131:F194" si="6">IFERROR(B131-A131+1,"")</f>
        <v>0</v>
      </c>
      <c r="G131" s="193" t="str">
        <f>IF(IFERROR(IF(Str_TypeDonneesCpt6=Cpt_Index,Tab_Compteur_6[[#This Row],[Index]]-E130,Tab_Compteur_6[[#This Row],[Quantité]])/Tab_Compteur_6[[#This Row],[Delta Jour]],"")&lt;0,"",IFERROR(IF(Str_TypeDonneesCpt6=Cpt_Index,Tab_Compteur_6[[#This Row],[Index]]-E130,Tab_Compteur_6[[#This Row],[Quantité]])/Tab_Compteur_6[[#This Row],[Delta Jour]],""))</f>
        <v/>
      </c>
      <c r="H131" s="193" t="str">
        <f>IFERROR(Tab_Compteur_6[[#This Row],[Montant]]/Tab_Compteur_6[[#This Row],[Delta Jour]],"")</f>
        <v/>
      </c>
      <c r="I131" s="219" t="str">
        <f t="shared" ref="I131:I194" si="7">G131</f>
        <v/>
      </c>
      <c r="J131" s="216"/>
      <c r="K131" s="38"/>
      <c r="L131" s="38"/>
      <c r="M131" s="38"/>
    </row>
    <row r="132" spans="1:13">
      <c r="A132" s="55">
        <f t="shared" si="5"/>
        <v>1</v>
      </c>
      <c r="B132" s="88"/>
      <c r="C132" s="199"/>
      <c r="D132" s="202"/>
      <c r="E132" s="193"/>
      <c r="F132" s="193">
        <f t="shared" si="6"/>
        <v>0</v>
      </c>
      <c r="G132" s="193" t="str">
        <f>IF(IFERROR(IF(Str_TypeDonneesCpt6=Cpt_Index,Tab_Compteur_6[[#This Row],[Index]]-E131,Tab_Compteur_6[[#This Row],[Quantité]])/Tab_Compteur_6[[#This Row],[Delta Jour]],"")&lt;0,"",IFERROR(IF(Str_TypeDonneesCpt6=Cpt_Index,Tab_Compteur_6[[#This Row],[Index]]-E131,Tab_Compteur_6[[#This Row],[Quantité]])/Tab_Compteur_6[[#This Row],[Delta Jour]],""))</f>
        <v/>
      </c>
      <c r="H132" s="193" t="str">
        <f>IFERROR(Tab_Compteur_6[[#This Row],[Montant]]/Tab_Compteur_6[[#This Row],[Delta Jour]],"")</f>
        <v/>
      </c>
      <c r="I132" s="219" t="str">
        <f t="shared" si="7"/>
        <v/>
      </c>
      <c r="J132" s="216"/>
      <c r="K132" s="38"/>
      <c r="L132" s="38"/>
      <c r="M132" s="38"/>
    </row>
    <row r="133" spans="1:13">
      <c r="A133" s="55">
        <f t="shared" si="5"/>
        <v>1</v>
      </c>
      <c r="B133" s="88"/>
      <c r="C133" s="199"/>
      <c r="D133" s="202"/>
      <c r="E133" s="193"/>
      <c r="F133" s="193">
        <f t="shared" si="6"/>
        <v>0</v>
      </c>
      <c r="G133" s="193" t="str">
        <f>IF(IFERROR(IF(Str_TypeDonneesCpt6=Cpt_Index,Tab_Compteur_6[[#This Row],[Index]]-E132,Tab_Compteur_6[[#This Row],[Quantité]])/Tab_Compteur_6[[#This Row],[Delta Jour]],"")&lt;0,"",IFERROR(IF(Str_TypeDonneesCpt6=Cpt_Index,Tab_Compteur_6[[#This Row],[Index]]-E132,Tab_Compteur_6[[#This Row],[Quantité]])/Tab_Compteur_6[[#This Row],[Delta Jour]],""))</f>
        <v/>
      </c>
      <c r="H133" s="193" t="str">
        <f>IFERROR(Tab_Compteur_6[[#This Row],[Montant]]/Tab_Compteur_6[[#This Row],[Delta Jour]],"")</f>
        <v/>
      </c>
      <c r="I133" s="219" t="str">
        <f t="shared" si="7"/>
        <v/>
      </c>
      <c r="J133" s="216"/>
      <c r="K133" s="38"/>
      <c r="L133" s="38"/>
      <c r="M133" s="38"/>
    </row>
    <row r="134" spans="1:13">
      <c r="A134" s="55">
        <f t="shared" ref="A134:A197" si="8">IFERROR(B133+1,0)</f>
        <v>1</v>
      </c>
      <c r="B134" s="88"/>
      <c r="C134" s="199"/>
      <c r="D134" s="202"/>
      <c r="E134" s="193"/>
      <c r="F134" s="193">
        <f t="shared" si="6"/>
        <v>0</v>
      </c>
      <c r="G134" s="193" t="str">
        <f>IF(IFERROR(IF(Str_TypeDonneesCpt6=Cpt_Index,Tab_Compteur_6[[#This Row],[Index]]-E133,Tab_Compteur_6[[#This Row],[Quantité]])/Tab_Compteur_6[[#This Row],[Delta Jour]],"")&lt;0,"",IFERROR(IF(Str_TypeDonneesCpt6=Cpt_Index,Tab_Compteur_6[[#This Row],[Index]]-E133,Tab_Compteur_6[[#This Row],[Quantité]])/Tab_Compteur_6[[#This Row],[Delta Jour]],""))</f>
        <v/>
      </c>
      <c r="H134" s="193" t="str">
        <f>IFERROR(Tab_Compteur_6[[#This Row],[Montant]]/Tab_Compteur_6[[#This Row],[Delta Jour]],"")</f>
        <v/>
      </c>
      <c r="I134" s="219" t="str">
        <f t="shared" si="7"/>
        <v/>
      </c>
      <c r="J134" s="216"/>
      <c r="K134" s="38"/>
      <c r="L134" s="38"/>
      <c r="M134" s="38"/>
    </row>
    <row r="135" spans="1:13">
      <c r="A135" s="55">
        <f t="shared" si="8"/>
        <v>1</v>
      </c>
      <c r="B135" s="88"/>
      <c r="C135" s="199"/>
      <c r="D135" s="202"/>
      <c r="E135" s="193"/>
      <c r="F135" s="193">
        <f t="shared" si="6"/>
        <v>0</v>
      </c>
      <c r="G135" s="193" t="str">
        <f>IF(IFERROR(IF(Str_TypeDonneesCpt6=Cpt_Index,Tab_Compteur_6[[#This Row],[Index]]-E134,Tab_Compteur_6[[#This Row],[Quantité]])/Tab_Compteur_6[[#This Row],[Delta Jour]],"")&lt;0,"",IFERROR(IF(Str_TypeDonneesCpt6=Cpt_Index,Tab_Compteur_6[[#This Row],[Index]]-E134,Tab_Compteur_6[[#This Row],[Quantité]])/Tab_Compteur_6[[#This Row],[Delta Jour]],""))</f>
        <v/>
      </c>
      <c r="H135" s="193" t="str">
        <f>IFERROR(Tab_Compteur_6[[#This Row],[Montant]]/Tab_Compteur_6[[#This Row],[Delta Jour]],"")</f>
        <v/>
      </c>
      <c r="I135" s="219" t="str">
        <f t="shared" si="7"/>
        <v/>
      </c>
      <c r="J135" s="216"/>
      <c r="K135" s="38"/>
      <c r="L135" s="38"/>
      <c r="M135" s="38"/>
    </row>
    <row r="136" spans="1:13">
      <c r="A136" s="55">
        <f t="shared" si="8"/>
        <v>1</v>
      </c>
      <c r="B136" s="88"/>
      <c r="C136" s="199"/>
      <c r="D136" s="202"/>
      <c r="E136" s="193"/>
      <c r="F136" s="193">
        <f t="shared" si="6"/>
        <v>0</v>
      </c>
      <c r="G136" s="193" t="str">
        <f>IF(IFERROR(IF(Str_TypeDonneesCpt6=Cpt_Index,Tab_Compteur_6[[#This Row],[Index]]-E135,Tab_Compteur_6[[#This Row],[Quantité]])/Tab_Compteur_6[[#This Row],[Delta Jour]],"")&lt;0,"",IFERROR(IF(Str_TypeDonneesCpt6=Cpt_Index,Tab_Compteur_6[[#This Row],[Index]]-E135,Tab_Compteur_6[[#This Row],[Quantité]])/Tab_Compteur_6[[#This Row],[Delta Jour]],""))</f>
        <v/>
      </c>
      <c r="H136" s="193" t="str">
        <f>IFERROR(Tab_Compteur_6[[#This Row],[Montant]]/Tab_Compteur_6[[#This Row],[Delta Jour]],"")</f>
        <v/>
      </c>
      <c r="I136" s="219" t="str">
        <f t="shared" si="7"/>
        <v/>
      </c>
      <c r="J136" s="216"/>
      <c r="K136" s="38"/>
      <c r="L136" s="38"/>
      <c r="M136" s="38"/>
    </row>
    <row r="137" spans="1:13">
      <c r="A137" s="55">
        <f t="shared" si="8"/>
        <v>1</v>
      </c>
      <c r="B137" s="88"/>
      <c r="C137" s="199"/>
      <c r="D137" s="202"/>
      <c r="E137" s="193"/>
      <c r="F137" s="193">
        <f t="shared" si="6"/>
        <v>0</v>
      </c>
      <c r="G137" s="193" t="str">
        <f>IF(IFERROR(IF(Str_TypeDonneesCpt6=Cpt_Index,Tab_Compteur_6[[#This Row],[Index]]-E136,Tab_Compteur_6[[#This Row],[Quantité]])/Tab_Compteur_6[[#This Row],[Delta Jour]],"")&lt;0,"",IFERROR(IF(Str_TypeDonneesCpt6=Cpt_Index,Tab_Compteur_6[[#This Row],[Index]]-E136,Tab_Compteur_6[[#This Row],[Quantité]])/Tab_Compteur_6[[#This Row],[Delta Jour]],""))</f>
        <v/>
      </c>
      <c r="H137" s="193" t="str">
        <f>IFERROR(Tab_Compteur_6[[#This Row],[Montant]]/Tab_Compteur_6[[#This Row],[Delta Jour]],"")</f>
        <v/>
      </c>
      <c r="I137" s="219" t="str">
        <f t="shared" si="7"/>
        <v/>
      </c>
      <c r="J137" s="216"/>
      <c r="K137" s="38"/>
      <c r="L137" s="38"/>
      <c r="M137" s="38"/>
    </row>
    <row r="138" spans="1:13">
      <c r="A138" s="55">
        <f t="shared" si="8"/>
        <v>1</v>
      </c>
      <c r="B138" s="88"/>
      <c r="C138" s="199"/>
      <c r="D138" s="202"/>
      <c r="E138" s="193"/>
      <c r="F138" s="193">
        <f t="shared" si="6"/>
        <v>0</v>
      </c>
      <c r="G138" s="193" t="str">
        <f>IF(IFERROR(IF(Str_TypeDonneesCpt6=Cpt_Index,Tab_Compteur_6[[#This Row],[Index]]-E137,Tab_Compteur_6[[#This Row],[Quantité]])/Tab_Compteur_6[[#This Row],[Delta Jour]],"")&lt;0,"",IFERROR(IF(Str_TypeDonneesCpt6=Cpt_Index,Tab_Compteur_6[[#This Row],[Index]]-E137,Tab_Compteur_6[[#This Row],[Quantité]])/Tab_Compteur_6[[#This Row],[Delta Jour]],""))</f>
        <v/>
      </c>
      <c r="H138" s="193" t="str">
        <f>IFERROR(Tab_Compteur_6[[#This Row],[Montant]]/Tab_Compteur_6[[#This Row],[Delta Jour]],"")</f>
        <v/>
      </c>
      <c r="I138" s="219" t="str">
        <f t="shared" si="7"/>
        <v/>
      </c>
      <c r="J138" s="216"/>
      <c r="K138" s="38"/>
      <c r="L138" s="38"/>
      <c r="M138" s="38"/>
    </row>
    <row r="139" spans="1:13">
      <c r="A139" s="55">
        <f t="shared" si="8"/>
        <v>1</v>
      </c>
      <c r="B139" s="88"/>
      <c r="C139" s="199"/>
      <c r="D139" s="202"/>
      <c r="E139" s="193"/>
      <c r="F139" s="193">
        <f t="shared" si="6"/>
        <v>0</v>
      </c>
      <c r="G139" s="193" t="str">
        <f>IF(IFERROR(IF(Str_TypeDonneesCpt6=Cpt_Index,Tab_Compteur_6[[#This Row],[Index]]-E138,Tab_Compteur_6[[#This Row],[Quantité]])/Tab_Compteur_6[[#This Row],[Delta Jour]],"")&lt;0,"",IFERROR(IF(Str_TypeDonneesCpt6=Cpt_Index,Tab_Compteur_6[[#This Row],[Index]]-E138,Tab_Compteur_6[[#This Row],[Quantité]])/Tab_Compteur_6[[#This Row],[Delta Jour]],""))</f>
        <v/>
      </c>
      <c r="H139" s="193" t="str">
        <f>IFERROR(Tab_Compteur_6[[#This Row],[Montant]]/Tab_Compteur_6[[#This Row],[Delta Jour]],"")</f>
        <v/>
      </c>
      <c r="I139" s="219" t="str">
        <f t="shared" si="7"/>
        <v/>
      </c>
      <c r="J139" s="216"/>
      <c r="K139" s="38"/>
      <c r="L139" s="38"/>
      <c r="M139" s="38"/>
    </row>
    <row r="140" spans="1:13">
      <c r="A140" s="55">
        <f t="shared" si="8"/>
        <v>1</v>
      </c>
      <c r="B140" s="88"/>
      <c r="C140" s="199"/>
      <c r="D140" s="202"/>
      <c r="E140" s="193"/>
      <c r="F140" s="193">
        <f t="shared" si="6"/>
        <v>0</v>
      </c>
      <c r="G140" s="193" t="str">
        <f>IF(IFERROR(IF(Str_TypeDonneesCpt6=Cpt_Index,Tab_Compteur_6[[#This Row],[Index]]-E139,Tab_Compteur_6[[#This Row],[Quantité]])/Tab_Compteur_6[[#This Row],[Delta Jour]],"")&lt;0,"",IFERROR(IF(Str_TypeDonneesCpt6=Cpt_Index,Tab_Compteur_6[[#This Row],[Index]]-E139,Tab_Compteur_6[[#This Row],[Quantité]])/Tab_Compteur_6[[#This Row],[Delta Jour]],""))</f>
        <v/>
      </c>
      <c r="H140" s="193" t="str">
        <f>IFERROR(Tab_Compteur_6[[#This Row],[Montant]]/Tab_Compteur_6[[#This Row],[Delta Jour]],"")</f>
        <v/>
      </c>
      <c r="I140" s="219" t="str">
        <f t="shared" si="7"/>
        <v/>
      </c>
      <c r="J140" s="216"/>
      <c r="K140" s="38"/>
      <c r="L140" s="38"/>
      <c r="M140" s="38"/>
    </row>
    <row r="141" spans="1:13">
      <c r="A141" s="55">
        <f t="shared" si="8"/>
        <v>1</v>
      </c>
      <c r="B141" s="88"/>
      <c r="C141" s="199"/>
      <c r="D141" s="202"/>
      <c r="E141" s="193"/>
      <c r="F141" s="193">
        <f t="shared" si="6"/>
        <v>0</v>
      </c>
      <c r="G141" s="193" t="str">
        <f>IF(IFERROR(IF(Str_TypeDonneesCpt6=Cpt_Index,Tab_Compteur_6[[#This Row],[Index]]-E140,Tab_Compteur_6[[#This Row],[Quantité]])/Tab_Compteur_6[[#This Row],[Delta Jour]],"")&lt;0,"",IFERROR(IF(Str_TypeDonneesCpt6=Cpt_Index,Tab_Compteur_6[[#This Row],[Index]]-E140,Tab_Compteur_6[[#This Row],[Quantité]])/Tab_Compteur_6[[#This Row],[Delta Jour]],""))</f>
        <v/>
      </c>
      <c r="H141" s="193" t="str">
        <f>IFERROR(Tab_Compteur_6[[#This Row],[Montant]]/Tab_Compteur_6[[#This Row],[Delta Jour]],"")</f>
        <v/>
      </c>
      <c r="I141" s="219" t="str">
        <f t="shared" si="7"/>
        <v/>
      </c>
      <c r="J141" s="216"/>
      <c r="K141" s="38"/>
      <c r="L141" s="38"/>
      <c r="M141" s="38"/>
    </row>
    <row r="142" spans="1:13">
      <c r="A142" s="55">
        <f t="shared" si="8"/>
        <v>1</v>
      </c>
      <c r="B142" s="88"/>
      <c r="C142" s="199"/>
      <c r="D142" s="202"/>
      <c r="E142" s="193"/>
      <c r="F142" s="193">
        <f t="shared" si="6"/>
        <v>0</v>
      </c>
      <c r="G142" s="193" t="str">
        <f>IF(IFERROR(IF(Str_TypeDonneesCpt6=Cpt_Index,Tab_Compteur_6[[#This Row],[Index]]-E141,Tab_Compteur_6[[#This Row],[Quantité]])/Tab_Compteur_6[[#This Row],[Delta Jour]],"")&lt;0,"",IFERROR(IF(Str_TypeDonneesCpt6=Cpt_Index,Tab_Compteur_6[[#This Row],[Index]]-E141,Tab_Compteur_6[[#This Row],[Quantité]])/Tab_Compteur_6[[#This Row],[Delta Jour]],""))</f>
        <v/>
      </c>
      <c r="H142" s="193" t="str">
        <f>IFERROR(Tab_Compteur_6[[#This Row],[Montant]]/Tab_Compteur_6[[#This Row],[Delta Jour]],"")</f>
        <v/>
      </c>
      <c r="I142" s="219" t="str">
        <f t="shared" si="7"/>
        <v/>
      </c>
      <c r="J142" s="216"/>
      <c r="K142" s="38"/>
      <c r="L142" s="38"/>
      <c r="M142" s="38"/>
    </row>
    <row r="143" spans="1:13">
      <c r="A143" s="55">
        <f t="shared" si="8"/>
        <v>1</v>
      </c>
      <c r="B143" s="88"/>
      <c r="C143" s="199"/>
      <c r="D143" s="202"/>
      <c r="E143" s="193"/>
      <c r="F143" s="193">
        <f t="shared" si="6"/>
        <v>0</v>
      </c>
      <c r="G143" s="193" t="str">
        <f>IF(IFERROR(IF(Str_TypeDonneesCpt6=Cpt_Index,Tab_Compteur_6[[#This Row],[Index]]-E142,Tab_Compteur_6[[#This Row],[Quantité]])/Tab_Compteur_6[[#This Row],[Delta Jour]],"")&lt;0,"",IFERROR(IF(Str_TypeDonneesCpt6=Cpt_Index,Tab_Compteur_6[[#This Row],[Index]]-E142,Tab_Compteur_6[[#This Row],[Quantité]])/Tab_Compteur_6[[#This Row],[Delta Jour]],""))</f>
        <v/>
      </c>
      <c r="H143" s="193" t="str">
        <f>IFERROR(Tab_Compteur_6[[#This Row],[Montant]]/Tab_Compteur_6[[#This Row],[Delta Jour]],"")</f>
        <v/>
      </c>
      <c r="I143" s="219" t="str">
        <f t="shared" si="7"/>
        <v/>
      </c>
      <c r="J143" s="216"/>
      <c r="K143" s="38"/>
      <c r="L143" s="38"/>
      <c r="M143" s="38"/>
    </row>
    <row r="144" spans="1:13">
      <c r="A144" s="55">
        <f t="shared" si="8"/>
        <v>1</v>
      </c>
      <c r="B144" s="88"/>
      <c r="C144" s="199"/>
      <c r="D144" s="202"/>
      <c r="E144" s="193"/>
      <c r="F144" s="193">
        <f t="shared" si="6"/>
        <v>0</v>
      </c>
      <c r="G144" s="193" t="str">
        <f>IF(IFERROR(IF(Str_TypeDonneesCpt6=Cpt_Index,Tab_Compteur_6[[#This Row],[Index]]-E143,Tab_Compteur_6[[#This Row],[Quantité]])/Tab_Compteur_6[[#This Row],[Delta Jour]],"")&lt;0,"",IFERROR(IF(Str_TypeDonneesCpt6=Cpt_Index,Tab_Compteur_6[[#This Row],[Index]]-E143,Tab_Compteur_6[[#This Row],[Quantité]])/Tab_Compteur_6[[#This Row],[Delta Jour]],""))</f>
        <v/>
      </c>
      <c r="H144" s="193" t="str">
        <f>IFERROR(Tab_Compteur_6[[#This Row],[Montant]]/Tab_Compteur_6[[#This Row],[Delta Jour]],"")</f>
        <v/>
      </c>
      <c r="I144" s="219" t="str">
        <f t="shared" si="7"/>
        <v/>
      </c>
      <c r="J144" s="216"/>
      <c r="K144" s="38"/>
      <c r="L144" s="38"/>
      <c r="M144" s="38"/>
    </row>
    <row r="145" spans="1:13">
      <c r="A145" s="55">
        <f t="shared" si="8"/>
        <v>1</v>
      </c>
      <c r="B145" s="88"/>
      <c r="C145" s="199"/>
      <c r="D145" s="202"/>
      <c r="E145" s="193"/>
      <c r="F145" s="193">
        <f t="shared" si="6"/>
        <v>0</v>
      </c>
      <c r="G145" s="193" t="str">
        <f>IF(IFERROR(IF(Str_TypeDonneesCpt6=Cpt_Index,Tab_Compteur_6[[#This Row],[Index]]-E144,Tab_Compteur_6[[#This Row],[Quantité]])/Tab_Compteur_6[[#This Row],[Delta Jour]],"")&lt;0,"",IFERROR(IF(Str_TypeDonneesCpt6=Cpt_Index,Tab_Compteur_6[[#This Row],[Index]]-E144,Tab_Compteur_6[[#This Row],[Quantité]])/Tab_Compteur_6[[#This Row],[Delta Jour]],""))</f>
        <v/>
      </c>
      <c r="H145" s="193" t="str">
        <f>IFERROR(Tab_Compteur_6[[#This Row],[Montant]]/Tab_Compteur_6[[#This Row],[Delta Jour]],"")</f>
        <v/>
      </c>
      <c r="I145" s="219" t="str">
        <f t="shared" si="7"/>
        <v/>
      </c>
      <c r="J145" s="216"/>
      <c r="K145" s="38"/>
      <c r="L145" s="38"/>
      <c r="M145" s="38"/>
    </row>
    <row r="146" spans="1:13">
      <c r="A146" s="55">
        <f t="shared" si="8"/>
        <v>1</v>
      </c>
      <c r="B146" s="88"/>
      <c r="C146" s="199"/>
      <c r="D146" s="202"/>
      <c r="E146" s="193"/>
      <c r="F146" s="193">
        <f t="shared" si="6"/>
        <v>0</v>
      </c>
      <c r="G146" s="193" t="str">
        <f>IF(IFERROR(IF(Str_TypeDonneesCpt6=Cpt_Index,Tab_Compteur_6[[#This Row],[Index]]-E145,Tab_Compteur_6[[#This Row],[Quantité]])/Tab_Compteur_6[[#This Row],[Delta Jour]],"")&lt;0,"",IFERROR(IF(Str_TypeDonneesCpt6=Cpt_Index,Tab_Compteur_6[[#This Row],[Index]]-E145,Tab_Compteur_6[[#This Row],[Quantité]])/Tab_Compteur_6[[#This Row],[Delta Jour]],""))</f>
        <v/>
      </c>
      <c r="H146" s="193" t="str">
        <f>IFERROR(Tab_Compteur_6[[#This Row],[Montant]]/Tab_Compteur_6[[#This Row],[Delta Jour]],"")</f>
        <v/>
      </c>
      <c r="I146" s="219" t="str">
        <f t="shared" si="7"/>
        <v/>
      </c>
      <c r="J146" s="216"/>
      <c r="K146" s="38"/>
      <c r="L146" s="38"/>
      <c r="M146" s="38"/>
    </row>
    <row r="147" spans="1:13">
      <c r="A147" s="55">
        <f t="shared" si="8"/>
        <v>1</v>
      </c>
      <c r="B147" s="88"/>
      <c r="C147" s="199"/>
      <c r="D147" s="202"/>
      <c r="E147" s="193"/>
      <c r="F147" s="193">
        <f t="shared" si="6"/>
        <v>0</v>
      </c>
      <c r="G147" s="193" t="str">
        <f>IF(IFERROR(IF(Str_TypeDonneesCpt6=Cpt_Index,Tab_Compteur_6[[#This Row],[Index]]-E146,Tab_Compteur_6[[#This Row],[Quantité]])/Tab_Compteur_6[[#This Row],[Delta Jour]],"")&lt;0,"",IFERROR(IF(Str_TypeDonneesCpt6=Cpt_Index,Tab_Compteur_6[[#This Row],[Index]]-E146,Tab_Compteur_6[[#This Row],[Quantité]])/Tab_Compteur_6[[#This Row],[Delta Jour]],""))</f>
        <v/>
      </c>
      <c r="H147" s="193" t="str">
        <f>IFERROR(Tab_Compteur_6[[#This Row],[Montant]]/Tab_Compteur_6[[#This Row],[Delta Jour]],"")</f>
        <v/>
      </c>
      <c r="I147" s="219" t="str">
        <f t="shared" si="7"/>
        <v/>
      </c>
      <c r="J147" s="216"/>
      <c r="K147" s="38"/>
      <c r="L147" s="38"/>
      <c r="M147" s="38"/>
    </row>
    <row r="148" spans="1:13">
      <c r="A148" s="55">
        <f t="shared" si="8"/>
        <v>1</v>
      </c>
      <c r="B148" s="88"/>
      <c r="C148" s="196"/>
      <c r="D148" s="202"/>
      <c r="E148" s="193"/>
      <c r="F148" s="193">
        <f t="shared" si="6"/>
        <v>0</v>
      </c>
      <c r="G148" s="193" t="str">
        <f>IF(IFERROR(IF(Str_TypeDonneesCpt6=Cpt_Index,Tab_Compteur_6[[#This Row],[Index]]-E147,Tab_Compteur_6[[#This Row],[Quantité]])/Tab_Compteur_6[[#This Row],[Delta Jour]],"")&lt;0,"",IFERROR(IF(Str_TypeDonneesCpt6=Cpt_Index,Tab_Compteur_6[[#This Row],[Index]]-E147,Tab_Compteur_6[[#This Row],[Quantité]])/Tab_Compteur_6[[#This Row],[Delta Jour]],""))</f>
        <v/>
      </c>
      <c r="H148" s="193" t="str">
        <f>IFERROR(Tab_Compteur_6[[#This Row],[Montant]]/Tab_Compteur_6[[#This Row],[Delta Jour]],"")</f>
        <v/>
      </c>
      <c r="I148" s="219" t="str">
        <f t="shared" si="7"/>
        <v/>
      </c>
      <c r="J148" s="216"/>
      <c r="K148" s="38"/>
      <c r="L148" s="38"/>
      <c r="M148" s="38"/>
    </row>
    <row r="149" spans="1:13">
      <c r="A149" s="55">
        <f t="shared" si="8"/>
        <v>1</v>
      </c>
      <c r="B149" s="88"/>
      <c r="C149" s="196"/>
      <c r="D149" s="202"/>
      <c r="E149" s="193"/>
      <c r="F149" s="193">
        <f t="shared" si="6"/>
        <v>0</v>
      </c>
      <c r="G149" s="193" t="str">
        <f>IF(IFERROR(IF(Str_TypeDonneesCpt6=Cpt_Index,Tab_Compteur_6[[#This Row],[Index]]-E148,Tab_Compteur_6[[#This Row],[Quantité]])/Tab_Compteur_6[[#This Row],[Delta Jour]],"")&lt;0,"",IFERROR(IF(Str_TypeDonneesCpt6=Cpt_Index,Tab_Compteur_6[[#This Row],[Index]]-E148,Tab_Compteur_6[[#This Row],[Quantité]])/Tab_Compteur_6[[#This Row],[Delta Jour]],""))</f>
        <v/>
      </c>
      <c r="H149" s="193" t="str">
        <f>IFERROR(Tab_Compteur_6[[#This Row],[Montant]]/Tab_Compteur_6[[#This Row],[Delta Jour]],"")</f>
        <v/>
      </c>
      <c r="I149" s="219" t="str">
        <f t="shared" si="7"/>
        <v/>
      </c>
      <c r="J149" s="216"/>
      <c r="K149" s="38"/>
      <c r="L149" s="38"/>
      <c r="M149" s="38"/>
    </row>
    <row r="150" spans="1:13">
      <c r="A150" s="55">
        <f t="shared" si="8"/>
        <v>1</v>
      </c>
      <c r="B150" s="88"/>
      <c r="C150" s="196"/>
      <c r="D150" s="202"/>
      <c r="E150" s="193"/>
      <c r="F150" s="193">
        <f t="shared" si="6"/>
        <v>0</v>
      </c>
      <c r="G150" s="193" t="str">
        <f>IF(IFERROR(IF(Str_TypeDonneesCpt6=Cpt_Index,Tab_Compteur_6[[#This Row],[Index]]-E149,Tab_Compteur_6[[#This Row],[Quantité]])/Tab_Compteur_6[[#This Row],[Delta Jour]],"")&lt;0,"",IFERROR(IF(Str_TypeDonneesCpt6=Cpt_Index,Tab_Compteur_6[[#This Row],[Index]]-E149,Tab_Compteur_6[[#This Row],[Quantité]])/Tab_Compteur_6[[#This Row],[Delta Jour]],""))</f>
        <v/>
      </c>
      <c r="H150" s="193" t="str">
        <f>IFERROR(Tab_Compteur_6[[#This Row],[Montant]]/Tab_Compteur_6[[#This Row],[Delta Jour]],"")</f>
        <v/>
      </c>
      <c r="I150" s="219" t="str">
        <f t="shared" si="7"/>
        <v/>
      </c>
      <c r="J150" s="216"/>
      <c r="K150" s="38"/>
      <c r="L150" s="38"/>
      <c r="M150" s="38"/>
    </row>
    <row r="151" spans="1:13">
      <c r="A151" s="55">
        <f t="shared" si="8"/>
        <v>1</v>
      </c>
      <c r="B151" s="88"/>
      <c r="C151" s="196"/>
      <c r="D151" s="202"/>
      <c r="E151" s="193"/>
      <c r="F151" s="193">
        <f t="shared" si="6"/>
        <v>0</v>
      </c>
      <c r="G151" s="193" t="str">
        <f>IF(IFERROR(IF(Str_TypeDonneesCpt6=Cpt_Index,Tab_Compteur_6[[#This Row],[Index]]-E150,Tab_Compteur_6[[#This Row],[Quantité]])/Tab_Compteur_6[[#This Row],[Delta Jour]],"")&lt;0,"",IFERROR(IF(Str_TypeDonneesCpt6=Cpt_Index,Tab_Compteur_6[[#This Row],[Index]]-E150,Tab_Compteur_6[[#This Row],[Quantité]])/Tab_Compteur_6[[#This Row],[Delta Jour]],""))</f>
        <v/>
      </c>
      <c r="H151" s="193" t="str">
        <f>IFERROR(Tab_Compteur_6[[#This Row],[Montant]]/Tab_Compteur_6[[#This Row],[Delta Jour]],"")</f>
        <v/>
      </c>
      <c r="I151" s="219" t="str">
        <f t="shared" si="7"/>
        <v/>
      </c>
      <c r="J151" s="216"/>
      <c r="K151" s="38"/>
      <c r="L151" s="38"/>
      <c r="M151" s="38"/>
    </row>
    <row r="152" spans="1:13">
      <c r="A152" s="55">
        <f t="shared" si="8"/>
        <v>1</v>
      </c>
      <c r="B152" s="88"/>
      <c r="C152" s="196"/>
      <c r="D152" s="202"/>
      <c r="E152" s="193"/>
      <c r="F152" s="193">
        <f t="shared" si="6"/>
        <v>0</v>
      </c>
      <c r="G152" s="193" t="str">
        <f>IF(IFERROR(IF(Str_TypeDonneesCpt6=Cpt_Index,Tab_Compteur_6[[#This Row],[Index]]-E151,Tab_Compteur_6[[#This Row],[Quantité]])/Tab_Compteur_6[[#This Row],[Delta Jour]],"")&lt;0,"",IFERROR(IF(Str_TypeDonneesCpt6=Cpt_Index,Tab_Compteur_6[[#This Row],[Index]]-E151,Tab_Compteur_6[[#This Row],[Quantité]])/Tab_Compteur_6[[#This Row],[Delta Jour]],""))</f>
        <v/>
      </c>
      <c r="H152" s="193" t="str">
        <f>IFERROR(Tab_Compteur_6[[#This Row],[Montant]]/Tab_Compteur_6[[#This Row],[Delta Jour]],"")</f>
        <v/>
      </c>
      <c r="I152" s="219" t="str">
        <f t="shared" si="7"/>
        <v/>
      </c>
      <c r="J152" s="216"/>
      <c r="K152" s="38"/>
      <c r="L152" s="38"/>
      <c r="M152" s="38"/>
    </row>
    <row r="153" spans="1:13">
      <c r="A153" s="55">
        <f t="shared" si="8"/>
        <v>1</v>
      </c>
      <c r="B153" s="88"/>
      <c r="C153" s="196"/>
      <c r="D153" s="202"/>
      <c r="E153" s="193"/>
      <c r="F153" s="193">
        <f t="shared" si="6"/>
        <v>0</v>
      </c>
      <c r="G153" s="193" t="str">
        <f>IF(IFERROR(IF(Str_TypeDonneesCpt6=Cpt_Index,Tab_Compteur_6[[#This Row],[Index]]-E152,Tab_Compteur_6[[#This Row],[Quantité]])/Tab_Compteur_6[[#This Row],[Delta Jour]],"")&lt;0,"",IFERROR(IF(Str_TypeDonneesCpt6=Cpt_Index,Tab_Compteur_6[[#This Row],[Index]]-E152,Tab_Compteur_6[[#This Row],[Quantité]])/Tab_Compteur_6[[#This Row],[Delta Jour]],""))</f>
        <v/>
      </c>
      <c r="H153" s="193" t="str">
        <f>IFERROR(Tab_Compteur_6[[#This Row],[Montant]]/Tab_Compteur_6[[#This Row],[Delta Jour]],"")</f>
        <v/>
      </c>
      <c r="I153" s="219" t="str">
        <f t="shared" si="7"/>
        <v/>
      </c>
      <c r="J153" s="216"/>
      <c r="K153" s="38"/>
      <c r="L153" s="38"/>
      <c r="M153" s="38"/>
    </row>
    <row r="154" spans="1:13">
      <c r="A154" s="55">
        <f t="shared" si="8"/>
        <v>1</v>
      </c>
      <c r="B154" s="88"/>
      <c r="C154" s="196"/>
      <c r="D154" s="202"/>
      <c r="E154" s="193"/>
      <c r="F154" s="193">
        <f t="shared" si="6"/>
        <v>0</v>
      </c>
      <c r="G154" s="193" t="str">
        <f>IF(IFERROR(IF(Str_TypeDonneesCpt6=Cpt_Index,Tab_Compteur_6[[#This Row],[Index]]-E153,Tab_Compteur_6[[#This Row],[Quantité]])/Tab_Compteur_6[[#This Row],[Delta Jour]],"")&lt;0,"",IFERROR(IF(Str_TypeDonneesCpt6=Cpt_Index,Tab_Compteur_6[[#This Row],[Index]]-E153,Tab_Compteur_6[[#This Row],[Quantité]])/Tab_Compteur_6[[#This Row],[Delta Jour]],""))</f>
        <v/>
      </c>
      <c r="H154" s="193" t="str">
        <f>IFERROR(Tab_Compteur_6[[#This Row],[Montant]]/Tab_Compteur_6[[#This Row],[Delta Jour]],"")</f>
        <v/>
      </c>
      <c r="I154" s="219" t="str">
        <f t="shared" si="7"/>
        <v/>
      </c>
      <c r="J154" s="216"/>
      <c r="K154" s="38"/>
      <c r="L154" s="38"/>
      <c r="M154" s="38"/>
    </row>
    <row r="155" spans="1:13">
      <c r="A155" s="55">
        <f t="shared" si="8"/>
        <v>1</v>
      </c>
      <c r="B155" s="88"/>
      <c r="C155" s="196"/>
      <c r="D155" s="202"/>
      <c r="E155" s="193"/>
      <c r="F155" s="193">
        <f t="shared" si="6"/>
        <v>0</v>
      </c>
      <c r="G155" s="193" t="str">
        <f>IF(IFERROR(IF(Str_TypeDonneesCpt6=Cpt_Index,Tab_Compteur_6[[#This Row],[Index]]-E154,Tab_Compteur_6[[#This Row],[Quantité]])/Tab_Compteur_6[[#This Row],[Delta Jour]],"")&lt;0,"",IFERROR(IF(Str_TypeDonneesCpt6=Cpt_Index,Tab_Compteur_6[[#This Row],[Index]]-E154,Tab_Compteur_6[[#This Row],[Quantité]])/Tab_Compteur_6[[#This Row],[Delta Jour]],""))</f>
        <v/>
      </c>
      <c r="H155" s="193" t="str">
        <f>IFERROR(Tab_Compteur_6[[#This Row],[Montant]]/Tab_Compteur_6[[#This Row],[Delta Jour]],"")</f>
        <v/>
      </c>
      <c r="I155" s="219" t="str">
        <f t="shared" si="7"/>
        <v/>
      </c>
      <c r="J155" s="216"/>
      <c r="K155" s="38"/>
      <c r="L155" s="38"/>
      <c r="M155" s="38"/>
    </row>
    <row r="156" spans="1:13">
      <c r="A156" s="55">
        <f t="shared" si="8"/>
        <v>1</v>
      </c>
      <c r="B156" s="88"/>
      <c r="C156" s="196"/>
      <c r="D156" s="202"/>
      <c r="E156" s="193"/>
      <c r="F156" s="193">
        <f t="shared" si="6"/>
        <v>0</v>
      </c>
      <c r="G156" s="193" t="str">
        <f>IF(IFERROR(IF(Str_TypeDonneesCpt6=Cpt_Index,Tab_Compteur_6[[#This Row],[Index]]-E155,Tab_Compteur_6[[#This Row],[Quantité]])/Tab_Compteur_6[[#This Row],[Delta Jour]],"")&lt;0,"",IFERROR(IF(Str_TypeDonneesCpt6=Cpt_Index,Tab_Compteur_6[[#This Row],[Index]]-E155,Tab_Compteur_6[[#This Row],[Quantité]])/Tab_Compteur_6[[#This Row],[Delta Jour]],""))</f>
        <v/>
      </c>
      <c r="H156" s="193" t="str">
        <f>IFERROR(Tab_Compteur_6[[#This Row],[Montant]]/Tab_Compteur_6[[#This Row],[Delta Jour]],"")</f>
        <v/>
      </c>
      <c r="I156" s="219" t="str">
        <f t="shared" si="7"/>
        <v/>
      </c>
      <c r="J156" s="216"/>
      <c r="K156" s="38"/>
      <c r="L156" s="38"/>
      <c r="M156" s="38"/>
    </row>
    <row r="157" spans="1:13">
      <c r="A157" s="55">
        <f t="shared" si="8"/>
        <v>1</v>
      </c>
      <c r="B157" s="88"/>
      <c r="C157" s="196"/>
      <c r="D157" s="202"/>
      <c r="E157" s="193"/>
      <c r="F157" s="193">
        <f t="shared" si="6"/>
        <v>0</v>
      </c>
      <c r="G157" s="193" t="str">
        <f>IF(IFERROR(IF(Str_TypeDonneesCpt6=Cpt_Index,Tab_Compteur_6[[#This Row],[Index]]-E156,Tab_Compteur_6[[#This Row],[Quantité]])/Tab_Compteur_6[[#This Row],[Delta Jour]],"")&lt;0,"",IFERROR(IF(Str_TypeDonneesCpt6=Cpt_Index,Tab_Compteur_6[[#This Row],[Index]]-E156,Tab_Compteur_6[[#This Row],[Quantité]])/Tab_Compteur_6[[#This Row],[Delta Jour]],""))</f>
        <v/>
      </c>
      <c r="H157" s="193" t="str">
        <f>IFERROR(Tab_Compteur_6[[#This Row],[Montant]]/Tab_Compteur_6[[#This Row],[Delta Jour]],"")</f>
        <v/>
      </c>
      <c r="I157" s="219" t="str">
        <f t="shared" si="7"/>
        <v/>
      </c>
      <c r="J157" s="216"/>
      <c r="K157" s="38"/>
      <c r="L157" s="38"/>
      <c r="M157" s="38"/>
    </row>
    <row r="158" spans="1:13">
      <c r="A158" s="55">
        <f t="shared" si="8"/>
        <v>1</v>
      </c>
      <c r="B158" s="88"/>
      <c r="C158" s="196"/>
      <c r="D158" s="202"/>
      <c r="E158" s="193"/>
      <c r="F158" s="193">
        <f t="shared" si="6"/>
        <v>0</v>
      </c>
      <c r="G158" s="193" t="str">
        <f>IF(IFERROR(IF(Str_TypeDonneesCpt6=Cpt_Index,Tab_Compteur_6[[#This Row],[Index]]-E157,Tab_Compteur_6[[#This Row],[Quantité]])/Tab_Compteur_6[[#This Row],[Delta Jour]],"")&lt;0,"",IFERROR(IF(Str_TypeDonneesCpt6=Cpt_Index,Tab_Compteur_6[[#This Row],[Index]]-E157,Tab_Compteur_6[[#This Row],[Quantité]])/Tab_Compteur_6[[#This Row],[Delta Jour]],""))</f>
        <v/>
      </c>
      <c r="H158" s="193" t="str">
        <f>IFERROR(Tab_Compteur_6[[#This Row],[Montant]]/Tab_Compteur_6[[#This Row],[Delta Jour]],"")</f>
        <v/>
      </c>
      <c r="I158" s="219" t="str">
        <f t="shared" si="7"/>
        <v/>
      </c>
      <c r="J158" s="216"/>
      <c r="K158" s="38"/>
      <c r="L158" s="38"/>
      <c r="M158" s="38"/>
    </row>
    <row r="159" spans="1:13">
      <c r="A159" s="55">
        <f t="shared" si="8"/>
        <v>1</v>
      </c>
      <c r="B159" s="88"/>
      <c r="C159" s="199"/>
      <c r="D159" s="202"/>
      <c r="E159" s="193"/>
      <c r="F159" s="193">
        <f t="shared" si="6"/>
        <v>0</v>
      </c>
      <c r="G159" s="193" t="str">
        <f>IF(IFERROR(IF(Str_TypeDonneesCpt6=Cpt_Index,Tab_Compteur_6[[#This Row],[Index]]-E158,Tab_Compteur_6[[#This Row],[Quantité]])/Tab_Compteur_6[[#This Row],[Delta Jour]],"")&lt;0,"",IFERROR(IF(Str_TypeDonneesCpt6=Cpt_Index,Tab_Compteur_6[[#This Row],[Index]]-E158,Tab_Compteur_6[[#This Row],[Quantité]])/Tab_Compteur_6[[#This Row],[Delta Jour]],""))</f>
        <v/>
      </c>
      <c r="H159" s="193" t="str">
        <f>IFERROR(Tab_Compteur_6[[#This Row],[Montant]]/Tab_Compteur_6[[#This Row],[Delta Jour]],"")</f>
        <v/>
      </c>
      <c r="I159" s="219" t="str">
        <f t="shared" si="7"/>
        <v/>
      </c>
      <c r="J159" s="216"/>
      <c r="K159" s="38"/>
      <c r="L159" s="38"/>
      <c r="M159" s="38"/>
    </row>
    <row r="160" spans="1:13">
      <c r="A160" s="55">
        <f t="shared" si="8"/>
        <v>1</v>
      </c>
      <c r="B160" s="88"/>
      <c r="C160" s="199"/>
      <c r="D160" s="202"/>
      <c r="E160" s="193"/>
      <c r="F160" s="193">
        <f t="shared" si="6"/>
        <v>0</v>
      </c>
      <c r="G160" s="193" t="str">
        <f>IF(IFERROR(IF(Str_TypeDonneesCpt6=Cpt_Index,Tab_Compteur_6[[#This Row],[Index]]-E159,Tab_Compteur_6[[#This Row],[Quantité]])/Tab_Compteur_6[[#This Row],[Delta Jour]],"")&lt;0,"",IFERROR(IF(Str_TypeDonneesCpt6=Cpt_Index,Tab_Compteur_6[[#This Row],[Index]]-E159,Tab_Compteur_6[[#This Row],[Quantité]])/Tab_Compteur_6[[#This Row],[Delta Jour]],""))</f>
        <v/>
      </c>
      <c r="H160" s="193" t="str">
        <f>IFERROR(Tab_Compteur_6[[#This Row],[Montant]]/Tab_Compteur_6[[#This Row],[Delta Jour]],"")</f>
        <v/>
      </c>
      <c r="I160" s="219" t="str">
        <f t="shared" si="7"/>
        <v/>
      </c>
      <c r="J160" s="216"/>
      <c r="K160" s="38"/>
      <c r="L160" s="38"/>
      <c r="M160" s="38"/>
    </row>
    <row r="161" spans="1:13">
      <c r="A161" s="55">
        <f t="shared" si="8"/>
        <v>1</v>
      </c>
      <c r="B161" s="88"/>
      <c r="C161" s="199"/>
      <c r="D161" s="202"/>
      <c r="E161" s="193"/>
      <c r="F161" s="193">
        <f t="shared" si="6"/>
        <v>0</v>
      </c>
      <c r="G161" s="193" t="str">
        <f>IF(IFERROR(IF(Str_TypeDonneesCpt6=Cpt_Index,Tab_Compteur_6[[#This Row],[Index]]-E160,Tab_Compteur_6[[#This Row],[Quantité]])/Tab_Compteur_6[[#This Row],[Delta Jour]],"")&lt;0,"",IFERROR(IF(Str_TypeDonneesCpt6=Cpt_Index,Tab_Compteur_6[[#This Row],[Index]]-E160,Tab_Compteur_6[[#This Row],[Quantité]])/Tab_Compteur_6[[#This Row],[Delta Jour]],""))</f>
        <v/>
      </c>
      <c r="H161" s="193" t="str">
        <f>IFERROR(Tab_Compteur_6[[#This Row],[Montant]]/Tab_Compteur_6[[#This Row],[Delta Jour]],"")</f>
        <v/>
      </c>
      <c r="I161" s="219" t="str">
        <f t="shared" si="7"/>
        <v/>
      </c>
      <c r="J161" s="216"/>
      <c r="K161" s="38"/>
      <c r="L161" s="38"/>
      <c r="M161" s="38"/>
    </row>
    <row r="162" spans="1:13">
      <c r="A162" s="55">
        <f t="shared" si="8"/>
        <v>1</v>
      </c>
      <c r="B162" s="88"/>
      <c r="C162" s="199"/>
      <c r="D162" s="202"/>
      <c r="E162" s="193"/>
      <c r="F162" s="193">
        <f t="shared" si="6"/>
        <v>0</v>
      </c>
      <c r="G162" s="193" t="str">
        <f>IF(IFERROR(IF(Str_TypeDonneesCpt6=Cpt_Index,Tab_Compteur_6[[#This Row],[Index]]-E161,Tab_Compteur_6[[#This Row],[Quantité]])/Tab_Compteur_6[[#This Row],[Delta Jour]],"")&lt;0,"",IFERROR(IF(Str_TypeDonneesCpt6=Cpt_Index,Tab_Compteur_6[[#This Row],[Index]]-E161,Tab_Compteur_6[[#This Row],[Quantité]])/Tab_Compteur_6[[#This Row],[Delta Jour]],""))</f>
        <v/>
      </c>
      <c r="H162" s="193" t="str">
        <f>IFERROR(Tab_Compteur_6[[#This Row],[Montant]]/Tab_Compteur_6[[#This Row],[Delta Jour]],"")</f>
        <v/>
      </c>
      <c r="I162" s="219" t="str">
        <f t="shared" si="7"/>
        <v/>
      </c>
      <c r="J162" s="216"/>
      <c r="K162" s="38"/>
      <c r="L162" s="38"/>
      <c r="M162" s="38"/>
    </row>
    <row r="163" spans="1:13">
      <c r="A163" s="55">
        <f t="shared" si="8"/>
        <v>1</v>
      </c>
      <c r="B163" s="88"/>
      <c r="C163" s="199"/>
      <c r="D163" s="202"/>
      <c r="E163" s="193"/>
      <c r="F163" s="193">
        <f t="shared" si="6"/>
        <v>0</v>
      </c>
      <c r="G163" s="193" t="str">
        <f>IF(IFERROR(IF(Str_TypeDonneesCpt6=Cpt_Index,Tab_Compteur_6[[#This Row],[Index]]-E162,Tab_Compteur_6[[#This Row],[Quantité]])/Tab_Compteur_6[[#This Row],[Delta Jour]],"")&lt;0,"",IFERROR(IF(Str_TypeDonneesCpt6=Cpt_Index,Tab_Compteur_6[[#This Row],[Index]]-E162,Tab_Compteur_6[[#This Row],[Quantité]])/Tab_Compteur_6[[#This Row],[Delta Jour]],""))</f>
        <v/>
      </c>
      <c r="H163" s="193" t="str">
        <f>IFERROR(Tab_Compteur_6[[#This Row],[Montant]]/Tab_Compteur_6[[#This Row],[Delta Jour]],"")</f>
        <v/>
      </c>
      <c r="I163" s="219" t="str">
        <f t="shared" si="7"/>
        <v/>
      </c>
      <c r="J163" s="216"/>
      <c r="K163" s="38"/>
      <c r="L163" s="38"/>
      <c r="M163" s="38"/>
    </row>
    <row r="164" spans="1:13">
      <c r="A164" s="55">
        <f t="shared" si="8"/>
        <v>1</v>
      </c>
      <c r="B164" s="88"/>
      <c r="C164" s="199"/>
      <c r="D164" s="202"/>
      <c r="E164" s="193"/>
      <c r="F164" s="193">
        <f t="shared" si="6"/>
        <v>0</v>
      </c>
      <c r="G164" s="193" t="str">
        <f>IF(IFERROR(IF(Str_TypeDonneesCpt6=Cpt_Index,Tab_Compteur_6[[#This Row],[Index]]-E163,Tab_Compteur_6[[#This Row],[Quantité]])/Tab_Compteur_6[[#This Row],[Delta Jour]],"")&lt;0,"",IFERROR(IF(Str_TypeDonneesCpt6=Cpt_Index,Tab_Compteur_6[[#This Row],[Index]]-E163,Tab_Compteur_6[[#This Row],[Quantité]])/Tab_Compteur_6[[#This Row],[Delta Jour]],""))</f>
        <v/>
      </c>
      <c r="H164" s="193" t="str">
        <f>IFERROR(Tab_Compteur_6[[#This Row],[Montant]]/Tab_Compteur_6[[#This Row],[Delta Jour]],"")</f>
        <v/>
      </c>
      <c r="I164" s="219" t="str">
        <f t="shared" si="7"/>
        <v/>
      </c>
      <c r="J164" s="216"/>
      <c r="K164" s="38"/>
      <c r="L164" s="38"/>
      <c r="M164" s="38"/>
    </row>
    <row r="165" spans="1:13">
      <c r="A165" s="55">
        <f t="shared" si="8"/>
        <v>1</v>
      </c>
      <c r="B165" s="88"/>
      <c r="C165" s="199"/>
      <c r="D165" s="202"/>
      <c r="E165" s="193"/>
      <c r="F165" s="193">
        <f t="shared" si="6"/>
        <v>0</v>
      </c>
      <c r="G165" s="193" t="str">
        <f>IF(IFERROR(IF(Str_TypeDonneesCpt6=Cpt_Index,Tab_Compteur_6[[#This Row],[Index]]-E164,Tab_Compteur_6[[#This Row],[Quantité]])/Tab_Compteur_6[[#This Row],[Delta Jour]],"")&lt;0,"",IFERROR(IF(Str_TypeDonneesCpt6=Cpt_Index,Tab_Compteur_6[[#This Row],[Index]]-E164,Tab_Compteur_6[[#This Row],[Quantité]])/Tab_Compteur_6[[#This Row],[Delta Jour]],""))</f>
        <v/>
      </c>
      <c r="H165" s="193" t="str">
        <f>IFERROR(Tab_Compteur_6[[#This Row],[Montant]]/Tab_Compteur_6[[#This Row],[Delta Jour]],"")</f>
        <v/>
      </c>
      <c r="I165" s="219" t="str">
        <f t="shared" si="7"/>
        <v/>
      </c>
      <c r="J165" s="216"/>
      <c r="K165" s="38"/>
      <c r="L165" s="38"/>
      <c r="M165" s="38"/>
    </row>
    <row r="166" spans="1:13">
      <c r="A166" s="55">
        <f t="shared" si="8"/>
        <v>1</v>
      </c>
      <c r="B166" s="88"/>
      <c r="C166" s="199"/>
      <c r="D166" s="202"/>
      <c r="E166" s="193"/>
      <c r="F166" s="193">
        <f t="shared" si="6"/>
        <v>0</v>
      </c>
      <c r="G166" s="193" t="str">
        <f>IF(IFERROR(IF(Str_TypeDonneesCpt6=Cpt_Index,Tab_Compteur_6[[#This Row],[Index]]-E165,Tab_Compteur_6[[#This Row],[Quantité]])/Tab_Compteur_6[[#This Row],[Delta Jour]],"")&lt;0,"",IFERROR(IF(Str_TypeDonneesCpt6=Cpt_Index,Tab_Compteur_6[[#This Row],[Index]]-E165,Tab_Compteur_6[[#This Row],[Quantité]])/Tab_Compteur_6[[#This Row],[Delta Jour]],""))</f>
        <v/>
      </c>
      <c r="H166" s="193" t="str">
        <f>IFERROR(Tab_Compteur_6[[#This Row],[Montant]]/Tab_Compteur_6[[#This Row],[Delta Jour]],"")</f>
        <v/>
      </c>
      <c r="I166" s="219" t="str">
        <f t="shared" si="7"/>
        <v/>
      </c>
      <c r="J166" s="216"/>
      <c r="K166" s="38"/>
      <c r="L166" s="38"/>
      <c r="M166" s="38"/>
    </row>
    <row r="167" spans="1:13">
      <c r="A167" s="55">
        <f t="shared" si="8"/>
        <v>1</v>
      </c>
      <c r="B167" s="88"/>
      <c r="C167" s="199"/>
      <c r="D167" s="202"/>
      <c r="E167" s="193"/>
      <c r="F167" s="193">
        <f t="shared" si="6"/>
        <v>0</v>
      </c>
      <c r="G167" s="193" t="str">
        <f>IF(IFERROR(IF(Str_TypeDonneesCpt6=Cpt_Index,Tab_Compteur_6[[#This Row],[Index]]-E166,Tab_Compteur_6[[#This Row],[Quantité]])/Tab_Compteur_6[[#This Row],[Delta Jour]],"")&lt;0,"",IFERROR(IF(Str_TypeDonneesCpt6=Cpt_Index,Tab_Compteur_6[[#This Row],[Index]]-E166,Tab_Compteur_6[[#This Row],[Quantité]])/Tab_Compteur_6[[#This Row],[Delta Jour]],""))</f>
        <v/>
      </c>
      <c r="H167" s="193" t="str">
        <f>IFERROR(Tab_Compteur_6[[#This Row],[Montant]]/Tab_Compteur_6[[#This Row],[Delta Jour]],"")</f>
        <v/>
      </c>
      <c r="I167" s="219" t="str">
        <f t="shared" si="7"/>
        <v/>
      </c>
      <c r="J167" s="216"/>
      <c r="K167" s="38"/>
      <c r="L167" s="38"/>
      <c r="M167" s="38"/>
    </row>
    <row r="168" spans="1:13">
      <c r="A168" s="55">
        <f t="shared" si="8"/>
        <v>1</v>
      </c>
      <c r="B168" s="88"/>
      <c r="C168" s="199"/>
      <c r="D168" s="202"/>
      <c r="E168" s="193"/>
      <c r="F168" s="193">
        <f t="shared" si="6"/>
        <v>0</v>
      </c>
      <c r="G168" s="193" t="str">
        <f>IF(IFERROR(IF(Str_TypeDonneesCpt6=Cpt_Index,Tab_Compteur_6[[#This Row],[Index]]-E167,Tab_Compteur_6[[#This Row],[Quantité]])/Tab_Compteur_6[[#This Row],[Delta Jour]],"")&lt;0,"",IFERROR(IF(Str_TypeDonneesCpt6=Cpt_Index,Tab_Compteur_6[[#This Row],[Index]]-E167,Tab_Compteur_6[[#This Row],[Quantité]])/Tab_Compteur_6[[#This Row],[Delta Jour]],""))</f>
        <v/>
      </c>
      <c r="H168" s="193" t="str">
        <f>IFERROR(Tab_Compteur_6[[#This Row],[Montant]]/Tab_Compteur_6[[#This Row],[Delta Jour]],"")</f>
        <v/>
      </c>
      <c r="I168" s="219" t="str">
        <f t="shared" si="7"/>
        <v/>
      </c>
      <c r="J168" s="216"/>
      <c r="K168" s="38"/>
      <c r="L168" s="38"/>
      <c r="M168" s="38"/>
    </row>
    <row r="169" spans="1:13">
      <c r="A169" s="55">
        <f t="shared" si="8"/>
        <v>1</v>
      </c>
      <c r="B169" s="88"/>
      <c r="C169" s="199"/>
      <c r="D169" s="202"/>
      <c r="E169" s="193"/>
      <c r="F169" s="193">
        <f t="shared" si="6"/>
        <v>0</v>
      </c>
      <c r="G169" s="193" t="str">
        <f>IF(IFERROR(IF(Str_TypeDonneesCpt6=Cpt_Index,Tab_Compteur_6[[#This Row],[Index]]-E168,Tab_Compteur_6[[#This Row],[Quantité]])/Tab_Compteur_6[[#This Row],[Delta Jour]],"")&lt;0,"",IFERROR(IF(Str_TypeDonneesCpt6=Cpt_Index,Tab_Compteur_6[[#This Row],[Index]]-E168,Tab_Compteur_6[[#This Row],[Quantité]])/Tab_Compteur_6[[#This Row],[Delta Jour]],""))</f>
        <v/>
      </c>
      <c r="H169" s="193" t="str">
        <f>IFERROR(Tab_Compteur_6[[#This Row],[Montant]]/Tab_Compteur_6[[#This Row],[Delta Jour]],"")</f>
        <v/>
      </c>
      <c r="I169" s="219" t="str">
        <f t="shared" si="7"/>
        <v/>
      </c>
      <c r="J169" s="216"/>
      <c r="K169" s="38"/>
      <c r="L169" s="38"/>
      <c r="M169" s="38"/>
    </row>
    <row r="170" spans="1:13">
      <c r="A170" s="55">
        <f t="shared" si="8"/>
        <v>1</v>
      </c>
      <c r="B170" s="88"/>
      <c r="C170" s="199"/>
      <c r="D170" s="202"/>
      <c r="E170" s="193"/>
      <c r="F170" s="193">
        <f t="shared" si="6"/>
        <v>0</v>
      </c>
      <c r="G170" s="193" t="str">
        <f>IF(IFERROR(IF(Str_TypeDonneesCpt6=Cpt_Index,Tab_Compteur_6[[#This Row],[Index]]-E169,Tab_Compteur_6[[#This Row],[Quantité]])/Tab_Compteur_6[[#This Row],[Delta Jour]],"")&lt;0,"",IFERROR(IF(Str_TypeDonneesCpt6=Cpt_Index,Tab_Compteur_6[[#This Row],[Index]]-E169,Tab_Compteur_6[[#This Row],[Quantité]])/Tab_Compteur_6[[#This Row],[Delta Jour]],""))</f>
        <v/>
      </c>
      <c r="H170" s="193" t="str">
        <f>IFERROR(Tab_Compteur_6[[#This Row],[Montant]]/Tab_Compteur_6[[#This Row],[Delta Jour]],"")</f>
        <v/>
      </c>
      <c r="I170" s="219" t="str">
        <f t="shared" si="7"/>
        <v/>
      </c>
      <c r="J170" s="216"/>
      <c r="K170" s="38"/>
      <c r="L170" s="38"/>
      <c r="M170" s="38"/>
    </row>
    <row r="171" spans="1:13">
      <c r="A171" s="55">
        <f t="shared" si="8"/>
        <v>1</v>
      </c>
      <c r="B171" s="88"/>
      <c r="C171" s="199"/>
      <c r="D171" s="202"/>
      <c r="E171" s="193"/>
      <c r="F171" s="193">
        <f t="shared" si="6"/>
        <v>0</v>
      </c>
      <c r="G171" s="193" t="str">
        <f>IF(IFERROR(IF(Str_TypeDonneesCpt6=Cpt_Index,Tab_Compteur_6[[#This Row],[Index]]-E170,Tab_Compteur_6[[#This Row],[Quantité]])/Tab_Compteur_6[[#This Row],[Delta Jour]],"")&lt;0,"",IFERROR(IF(Str_TypeDonneesCpt6=Cpt_Index,Tab_Compteur_6[[#This Row],[Index]]-E170,Tab_Compteur_6[[#This Row],[Quantité]])/Tab_Compteur_6[[#This Row],[Delta Jour]],""))</f>
        <v/>
      </c>
      <c r="H171" s="193" t="str">
        <f>IFERROR(Tab_Compteur_6[[#This Row],[Montant]]/Tab_Compteur_6[[#This Row],[Delta Jour]],"")</f>
        <v/>
      </c>
      <c r="I171" s="219" t="str">
        <f t="shared" si="7"/>
        <v/>
      </c>
      <c r="J171" s="216"/>
      <c r="K171" s="38"/>
      <c r="L171" s="38"/>
      <c r="M171" s="38"/>
    </row>
    <row r="172" spans="1:13">
      <c r="A172" s="55">
        <f t="shared" si="8"/>
        <v>1</v>
      </c>
      <c r="B172" s="88"/>
      <c r="C172" s="199"/>
      <c r="D172" s="202"/>
      <c r="E172" s="193"/>
      <c r="F172" s="193">
        <f t="shared" si="6"/>
        <v>0</v>
      </c>
      <c r="G172" s="193" t="str">
        <f>IF(IFERROR(IF(Str_TypeDonneesCpt6=Cpt_Index,Tab_Compteur_6[[#This Row],[Index]]-E171,Tab_Compteur_6[[#This Row],[Quantité]])/Tab_Compteur_6[[#This Row],[Delta Jour]],"")&lt;0,"",IFERROR(IF(Str_TypeDonneesCpt6=Cpt_Index,Tab_Compteur_6[[#This Row],[Index]]-E171,Tab_Compteur_6[[#This Row],[Quantité]])/Tab_Compteur_6[[#This Row],[Delta Jour]],""))</f>
        <v/>
      </c>
      <c r="H172" s="193" t="str">
        <f>IFERROR(Tab_Compteur_6[[#This Row],[Montant]]/Tab_Compteur_6[[#This Row],[Delta Jour]],"")</f>
        <v/>
      </c>
      <c r="I172" s="219" t="str">
        <f t="shared" si="7"/>
        <v/>
      </c>
      <c r="J172" s="216"/>
      <c r="K172" s="38"/>
      <c r="L172" s="38"/>
      <c r="M172" s="38"/>
    </row>
    <row r="173" spans="1:13">
      <c r="A173" s="55">
        <f t="shared" si="8"/>
        <v>1</v>
      </c>
      <c r="B173" s="88"/>
      <c r="C173" s="199"/>
      <c r="D173" s="202"/>
      <c r="E173" s="193"/>
      <c r="F173" s="193">
        <f t="shared" si="6"/>
        <v>0</v>
      </c>
      <c r="G173" s="193" t="str">
        <f>IF(IFERROR(IF(Str_TypeDonneesCpt6=Cpt_Index,Tab_Compteur_6[[#This Row],[Index]]-E172,Tab_Compteur_6[[#This Row],[Quantité]])/Tab_Compteur_6[[#This Row],[Delta Jour]],"")&lt;0,"",IFERROR(IF(Str_TypeDonneesCpt6=Cpt_Index,Tab_Compteur_6[[#This Row],[Index]]-E172,Tab_Compteur_6[[#This Row],[Quantité]])/Tab_Compteur_6[[#This Row],[Delta Jour]],""))</f>
        <v/>
      </c>
      <c r="H173" s="193" t="str">
        <f>IFERROR(Tab_Compteur_6[[#This Row],[Montant]]/Tab_Compteur_6[[#This Row],[Delta Jour]],"")</f>
        <v/>
      </c>
      <c r="I173" s="219" t="str">
        <f t="shared" si="7"/>
        <v/>
      </c>
      <c r="J173" s="216"/>
      <c r="K173" s="38"/>
      <c r="L173" s="38"/>
      <c r="M173" s="38"/>
    </row>
    <row r="174" spans="1:13">
      <c r="A174" s="55">
        <f t="shared" si="8"/>
        <v>1</v>
      </c>
      <c r="B174" s="88"/>
      <c r="C174" s="199"/>
      <c r="D174" s="202"/>
      <c r="E174" s="193"/>
      <c r="F174" s="193">
        <f t="shared" si="6"/>
        <v>0</v>
      </c>
      <c r="G174" s="193" t="str">
        <f>IF(IFERROR(IF(Str_TypeDonneesCpt6=Cpt_Index,Tab_Compteur_6[[#This Row],[Index]]-E173,Tab_Compteur_6[[#This Row],[Quantité]])/Tab_Compteur_6[[#This Row],[Delta Jour]],"")&lt;0,"",IFERROR(IF(Str_TypeDonneesCpt6=Cpt_Index,Tab_Compteur_6[[#This Row],[Index]]-E173,Tab_Compteur_6[[#This Row],[Quantité]])/Tab_Compteur_6[[#This Row],[Delta Jour]],""))</f>
        <v/>
      </c>
      <c r="H174" s="193" t="str">
        <f>IFERROR(Tab_Compteur_6[[#This Row],[Montant]]/Tab_Compteur_6[[#This Row],[Delta Jour]],"")</f>
        <v/>
      </c>
      <c r="I174" s="219" t="str">
        <f t="shared" si="7"/>
        <v/>
      </c>
      <c r="J174" s="216"/>
      <c r="K174" s="38"/>
      <c r="L174" s="38"/>
      <c r="M174" s="38"/>
    </row>
    <row r="175" spans="1:13">
      <c r="A175" s="55">
        <f t="shared" si="8"/>
        <v>1</v>
      </c>
      <c r="B175" s="88"/>
      <c r="C175" s="199"/>
      <c r="D175" s="202"/>
      <c r="E175" s="193"/>
      <c r="F175" s="193">
        <f t="shared" si="6"/>
        <v>0</v>
      </c>
      <c r="G175" s="193" t="str">
        <f>IF(IFERROR(IF(Str_TypeDonneesCpt6=Cpt_Index,Tab_Compteur_6[[#This Row],[Index]]-E174,Tab_Compteur_6[[#This Row],[Quantité]])/Tab_Compteur_6[[#This Row],[Delta Jour]],"")&lt;0,"",IFERROR(IF(Str_TypeDonneesCpt6=Cpt_Index,Tab_Compteur_6[[#This Row],[Index]]-E174,Tab_Compteur_6[[#This Row],[Quantité]])/Tab_Compteur_6[[#This Row],[Delta Jour]],""))</f>
        <v/>
      </c>
      <c r="H175" s="193" t="str">
        <f>IFERROR(Tab_Compteur_6[[#This Row],[Montant]]/Tab_Compteur_6[[#This Row],[Delta Jour]],"")</f>
        <v/>
      </c>
      <c r="I175" s="219" t="str">
        <f t="shared" si="7"/>
        <v/>
      </c>
      <c r="J175" s="216"/>
      <c r="K175" s="38"/>
      <c r="L175" s="38"/>
      <c r="M175" s="38"/>
    </row>
    <row r="176" spans="1:13">
      <c r="A176" s="55">
        <f t="shared" si="8"/>
        <v>1</v>
      </c>
      <c r="B176" s="88"/>
      <c r="C176" s="199"/>
      <c r="D176" s="202"/>
      <c r="E176" s="193"/>
      <c r="F176" s="193">
        <f t="shared" si="6"/>
        <v>0</v>
      </c>
      <c r="G176" s="193" t="str">
        <f>IF(IFERROR(IF(Str_TypeDonneesCpt6=Cpt_Index,Tab_Compteur_6[[#This Row],[Index]]-E175,Tab_Compteur_6[[#This Row],[Quantité]])/Tab_Compteur_6[[#This Row],[Delta Jour]],"")&lt;0,"",IFERROR(IF(Str_TypeDonneesCpt6=Cpt_Index,Tab_Compteur_6[[#This Row],[Index]]-E175,Tab_Compteur_6[[#This Row],[Quantité]])/Tab_Compteur_6[[#This Row],[Delta Jour]],""))</f>
        <v/>
      </c>
      <c r="H176" s="193" t="str">
        <f>IFERROR(Tab_Compteur_6[[#This Row],[Montant]]/Tab_Compteur_6[[#This Row],[Delta Jour]],"")</f>
        <v/>
      </c>
      <c r="I176" s="219" t="str">
        <f t="shared" si="7"/>
        <v/>
      </c>
      <c r="J176" s="216"/>
      <c r="K176" s="38"/>
      <c r="L176" s="38"/>
      <c r="M176" s="38"/>
    </row>
    <row r="177" spans="1:13">
      <c r="A177" s="55">
        <f t="shared" si="8"/>
        <v>1</v>
      </c>
      <c r="B177" s="88"/>
      <c r="C177" s="194"/>
      <c r="D177" s="195"/>
      <c r="E177" s="193"/>
      <c r="F177" s="193">
        <f t="shared" si="6"/>
        <v>0</v>
      </c>
      <c r="G177" s="193" t="str">
        <f>IF(IFERROR(IF(Str_TypeDonneesCpt6=Cpt_Index,Tab_Compteur_6[[#This Row],[Index]]-E176,Tab_Compteur_6[[#This Row],[Quantité]])/Tab_Compteur_6[[#This Row],[Delta Jour]],"")&lt;0,"",IFERROR(IF(Str_TypeDonneesCpt6=Cpt_Index,Tab_Compteur_6[[#This Row],[Index]]-E176,Tab_Compteur_6[[#This Row],[Quantité]])/Tab_Compteur_6[[#This Row],[Delta Jour]],""))</f>
        <v/>
      </c>
      <c r="H177" s="193" t="str">
        <f>IFERROR(Tab_Compteur_6[[#This Row],[Montant]]/Tab_Compteur_6[[#This Row],[Delta Jour]],"")</f>
        <v/>
      </c>
      <c r="I177" s="219" t="str">
        <f t="shared" si="7"/>
        <v/>
      </c>
      <c r="J177" s="216"/>
      <c r="K177" s="38"/>
      <c r="L177" s="38"/>
      <c r="M177" s="38"/>
    </row>
    <row r="178" spans="1:13">
      <c r="A178" s="55">
        <f t="shared" si="8"/>
        <v>1</v>
      </c>
      <c r="B178" s="88"/>
      <c r="C178" s="194"/>
      <c r="D178" s="195"/>
      <c r="E178" s="193"/>
      <c r="F178" s="193">
        <f t="shared" si="6"/>
        <v>0</v>
      </c>
      <c r="G178" s="193" t="str">
        <f>IF(IFERROR(IF(Str_TypeDonneesCpt6=Cpt_Index,Tab_Compteur_6[[#This Row],[Index]]-E177,Tab_Compteur_6[[#This Row],[Quantité]])/Tab_Compteur_6[[#This Row],[Delta Jour]],"")&lt;0,"",IFERROR(IF(Str_TypeDonneesCpt6=Cpt_Index,Tab_Compteur_6[[#This Row],[Index]]-E177,Tab_Compteur_6[[#This Row],[Quantité]])/Tab_Compteur_6[[#This Row],[Delta Jour]],""))</f>
        <v/>
      </c>
      <c r="H178" s="193" t="str">
        <f>IFERROR(Tab_Compteur_6[[#This Row],[Montant]]/Tab_Compteur_6[[#This Row],[Delta Jour]],"")</f>
        <v/>
      </c>
      <c r="I178" s="219" t="str">
        <f t="shared" si="7"/>
        <v/>
      </c>
      <c r="J178" s="216"/>
      <c r="K178" s="38"/>
      <c r="L178" s="38"/>
      <c r="M178" s="38"/>
    </row>
    <row r="179" spans="1:13">
      <c r="A179" s="55">
        <f t="shared" si="8"/>
        <v>1</v>
      </c>
      <c r="B179" s="88"/>
      <c r="C179" s="194"/>
      <c r="D179" s="195"/>
      <c r="E179" s="193"/>
      <c r="F179" s="193">
        <f t="shared" si="6"/>
        <v>0</v>
      </c>
      <c r="G179" s="193" t="str">
        <f>IF(IFERROR(IF(Str_TypeDonneesCpt6=Cpt_Index,Tab_Compteur_6[[#This Row],[Index]]-E178,Tab_Compteur_6[[#This Row],[Quantité]])/Tab_Compteur_6[[#This Row],[Delta Jour]],"")&lt;0,"",IFERROR(IF(Str_TypeDonneesCpt6=Cpt_Index,Tab_Compteur_6[[#This Row],[Index]]-E178,Tab_Compteur_6[[#This Row],[Quantité]])/Tab_Compteur_6[[#This Row],[Delta Jour]],""))</f>
        <v/>
      </c>
      <c r="H179" s="193" t="str">
        <f>IFERROR(Tab_Compteur_6[[#This Row],[Montant]]/Tab_Compteur_6[[#This Row],[Delta Jour]],"")</f>
        <v/>
      </c>
      <c r="I179" s="219" t="str">
        <f t="shared" si="7"/>
        <v/>
      </c>
      <c r="J179" s="216"/>
      <c r="K179" s="38"/>
      <c r="L179" s="38"/>
      <c r="M179" s="38"/>
    </row>
    <row r="180" spans="1:13">
      <c r="A180" s="55">
        <f t="shared" si="8"/>
        <v>1</v>
      </c>
      <c r="B180" s="88"/>
      <c r="C180" s="194"/>
      <c r="D180" s="195"/>
      <c r="E180" s="193"/>
      <c r="F180" s="193">
        <f t="shared" si="6"/>
        <v>0</v>
      </c>
      <c r="G180" s="193" t="str">
        <f>IF(IFERROR(IF(Str_TypeDonneesCpt6=Cpt_Index,Tab_Compteur_6[[#This Row],[Index]]-E179,Tab_Compteur_6[[#This Row],[Quantité]])/Tab_Compteur_6[[#This Row],[Delta Jour]],"")&lt;0,"",IFERROR(IF(Str_TypeDonneesCpt6=Cpt_Index,Tab_Compteur_6[[#This Row],[Index]]-E179,Tab_Compteur_6[[#This Row],[Quantité]])/Tab_Compteur_6[[#This Row],[Delta Jour]],""))</f>
        <v/>
      </c>
      <c r="H180" s="193" t="str">
        <f>IFERROR(Tab_Compteur_6[[#This Row],[Montant]]/Tab_Compteur_6[[#This Row],[Delta Jour]],"")</f>
        <v/>
      </c>
      <c r="I180" s="219" t="str">
        <f t="shared" si="7"/>
        <v/>
      </c>
      <c r="J180" s="216"/>
      <c r="K180" s="38"/>
      <c r="L180" s="38"/>
      <c r="M180" s="38"/>
    </row>
    <row r="181" spans="1:13">
      <c r="A181" s="55">
        <f t="shared" si="8"/>
        <v>1</v>
      </c>
      <c r="B181" s="88"/>
      <c r="C181" s="194"/>
      <c r="D181" s="195"/>
      <c r="E181" s="193"/>
      <c r="F181" s="193">
        <f t="shared" si="6"/>
        <v>0</v>
      </c>
      <c r="G181" s="193" t="str">
        <f>IF(IFERROR(IF(Str_TypeDonneesCpt6=Cpt_Index,Tab_Compteur_6[[#This Row],[Index]]-E180,Tab_Compteur_6[[#This Row],[Quantité]])/Tab_Compteur_6[[#This Row],[Delta Jour]],"")&lt;0,"",IFERROR(IF(Str_TypeDonneesCpt6=Cpt_Index,Tab_Compteur_6[[#This Row],[Index]]-E180,Tab_Compteur_6[[#This Row],[Quantité]])/Tab_Compteur_6[[#This Row],[Delta Jour]],""))</f>
        <v/>
      </c>
      <c r="H181" s="193" t="str">
        <f>IFERROR(Tab_Compteur_6[[#This Row],[Montant]]/Tab_Compteur_6[[#This Row],[Delta Jour]],"")</f>
        <v/>
      </c>
      <c r="I181" s="219" t="str">
        <f t="shared" si="7"/>
        <v/>
      </c>
      <c r="J181" s="216"/>
      <c r="K181" s="38"/>
      <c r="L181" s="38"/>
      <c r="M181" s="38"/>
    </row>
    <row r="182" spans="1:13">
      <c r="A182" s="55">
        <f t="shared" si="8"/>
        <v>1</v>
      </c>
      <c r="B182" s="88"/>
      <c r="C182" s="194"/>
      <c r="D182" s="195"/>
      <c r="E182" s="193"/>
      <c r="F182" s="193">
        <f t="shared" si="6"/>
        <v>0</v>
      </c>
      <c r="G182" s="193" t="str">
        <f>IF(IFERROR(IF(Str_TypeDonneesCpt6=Cpt_Index,Tab_Compteur_6[[#This Row],[Index]]-E181,Tab_Compteur_6[[#This Row],[Quantité]])/Tab_Compteur_6[[#This Row],[Delta Jour]],"")&lt;0,"",IFERROR(IF(Str_TypeDonneesCpt6=Cpt_Index,Tab_Compteur_6[[#This Row],[Index]]-E181,Tab_Compteur_6[[#This Row],[Quantité]])/Tab_Compteur_6[[#This Row],[Delta Jour]],""))</f>
        <v/>
      </c>
      <c r="H182" s="193" t="str">
        <f>IFERROR(Tab_Compteur_6[[#This Row],[Montant]]/Tab_Compteur_6[[#This Row],[Delta Jour]],"")</f>
        <v/>
      </c>
      <c r="I182" s="219" t="str">
        <f t="shared" si="7"/>
        <v/>
      </c>
      <c r="J182" s="216"/>
      <c r="K182" s="38"/>
      <c r="L182" s="38"/>
      <c r="M182" s="38"/>
    </row>
    <row r="183" spans="1:13">
      <c r="A183" s="55">
        <f t="shared" si="8"/>
        <v>1</v>
      </c>
      <c r="B183" s="88"/>
      <c r="C183" s="194"/>
      <c r="D183" s="195"/>
      <c r="E183" s="193"/>
      <c r="F183" s="193">
        <f t="shared" si="6"/>
        <v>0</v>
      </c>
      <c r="G183" s="193" t="str">
        <f>IF(IFERROR(IF(Str_TypeDonneesCpt6=Cpt_Index,Tab_Compteur_6[[#This Row],[Index]]-E182,Tab_Compteur_6[[#This Row],[Quantité]])/Tab_Compteur_6[[#This Row],[Delta Jour]],"")&lt;0,"",IFERROR(IF(Str_TypeDonneesCpt6=Cpt_Index,Tab_Compteur_6[[#This Row],[Index]]-E182,Tab_Compteur_6[[#This Row],[Quantité]])/Tab_Compteur_6[[#This Row],[Delta Jour]],""))</f>
        <v/>
      </c>
      <c r="H183" s="193" t="str">
        <f>IFERROR(Tab_Compteur_6[[#This Row],[Montant]]/Tab_Compteur_6[[#This Row],[Delta Jour]],"")</f>
        <v/>
      </c>
      <c r="I183" s="219" t="str">
        <f t="shared" si="7"/>
        <v/>
      </c>
      <c r="J183" s="216"/>
      <c r="K183" s="38"/>
      <c r="L183" s="38"/>
      <c r="M183" s="38"/>
    </row>
    <row r="184" spans="1:13">
      <c r="A184" s="55">
        <f t="shared" si="8"/>
        <v>1</v>
      </c>
      <c r="B184" s="88"/>
      <c r="C184" s="194"/>
      <c r="D184" s="195"/>
      <c r="E184" s="193"/>
      <c r="F184" s="193">
        <f t="shared" si="6"/>
        <v>0</v>
      </c>
      <c r="G184" s="193" t="str">
        <f>IF(IFERROR(IF(Str_TypeDonneesCpt6=Cpt_Index,Tab_Compteur_6[[#This Row],[Index]]-E183,Tab_Compteur_6[[#This Row],[Quantité]])/Tab_Compteur_6[[#This Row],[Delta Jour]],"")&lt;0,"",IFERROR(IF(Str_TypeDonneesCpt6=Cpt_Index,Tab_Compteur_6[[#This Row],[Index]]-E183,Tab_Compteur_6[[#This Row],[Quantité]])/Tab_Compteur_6[[#This Row],[Delta Jour]],""))</f>
        <v/>
      </c>
      <c r="H184" s="193" t="str">
        <f>IFERROR(Tab_Compteur_6[[#This Row],[Montant]]/Tab_Compteur_6[[#This Row],[Delta Jour]],"")</f>
        <v/>
      </c>
      <c r="I184" s="219" t="str">
        <f t="shared" si="7"/>
        <v/>
      </c>
      <c r="J184" s="216"/>
      <c r="K184" s="38"/>
      <c r="L184" s="38"/>
      <c r="M184" s="38"/>
    </row>
    <row r="185" spans="1:13">
      <c r="A185" s="55">
        <f t="shared" si="8"/>
        <v>1</v>
      </c>
      <c r="B185" s="88"/>
      <c r="C185" s="194"/>
      <c r="D185" s="195"/>
      <c r="E185" s="193"/>
      <c r="F185" s="193">
        <f t="shared" si="6"/>
        <v>0</v>
      </c>
      <c r="G185" s="193" t="str">
        <f>IF(IFERROR(IF(Str_TypeDonneesCpt6=Cpt_Index,Tab_Compteur_6[[#This Row],[Index]]-E184,Tab_Compteur_6[[#This Row],[Quantité]])/Tab_Compteur_6[[#This Row],[Delta Jour]],"")&lt;0,"",IFERROR(IF(Str_TypeDonneesCpt6=Cpt_Index,Tab_Compteur_6[[#This Row],[Index]]-E184,Tab_Compteur_6[[#This Row],[Quantité]])/Tab_Compteur_6[[#This Row],[Delta Jour]],""))</f>
        <v/>
      </c>
      <c r="H185" s="193" t="str">
        <f>IFERROR(Tab_Compteur_6[[#This Row],[Montant]]/Tab_Compteur_6[[#This Row],[Delta Jour]],"")</f>
        <v/>
      </c>
      <c r="I185" s="219" t="str">
        <f t="shared" si="7"/>
        <v/>
      </c>
      <c r="J185" s="216"/>
      <c r="K185" s="38"/>
      <c r="L185" s="38"/>
      <c r="M185" s="38"/>
    </row>
    <row r="186" spans="1:13">
      <c r="A186" s="55">
        <f t="shared" si="8"/>
        <v>1</v>
      </c>
      <c r="B186" s="88"/>
      <c r="C186" s="194"/>
      <c r="D186" s="195"/>
      <c r="E186" s="193"/>
      <c r="F186" s="193">
        <f t="shared" si="6"/>
        <v>0</v>
      </c>
      <c r="G186" s="193" t="str">
        <f>IF(IFERROR(IF(Str_TypeDonneesCpt6=Cpt_Index,Tab_Compteur_6[[#This Row],[Index]]-E185,Tab_Compteur_6[[#This Row],[Quantité]])/Tab_Compteur_6[[#This Row],[Delta Jour]],"")&lt;0,"",IFERROR(IF(Str_TypeDonneesCpt6=Cpt_Index,Tab_Compteur_6[[#This Row],[Index]]-E185,Tab_Compteur_6[[#This Row],[Quantité]])/Tab_Compteur_6[[#This Row],[Delta Jour]],""))</f>
        <v/>
      </c>
      <c r="H186" s="193" t="str">
        <f>IFERROR(Tab_Compteur_6[[#This Row],[Montant]]/Tab_Compteur_6[[#This Row],[Delta Jour]],"")</f>
        <v/>
      </c>
      <c r="I186" s="219" t="str">
        <f t="shared" si="7"/>
        <v/>
      </c>
      <c r="J186" s="216"/>
      <c r="K186" s="38"/>
      <c r="L186" s="38"/>
      <c r="M186" s="38"/>
    </row>
    <row r="187" spans="1:13">
      <c r="A187" s="55">
        <f t="shared" si="8"/>
        <v>1</v>
      </c>
      <c r="B187" s="88"/>
      <c r="C187" s="194"/>
      <c r="D187" s="195"/>
      <c r="E187" s="193"/>
      <c r="F187" s="193">
        <f t="shared" si="6"/>
        <v>0</v>
      </c>
      <c r="G187" s="193" t="str">
        <f>IF(IFERROR(IF(Str_TypeDonneesCpt6=Cpt_Index,Tab_Compteur_6[[#This Row],[Index]]-E186,Tab_Compteur_6[[#This Row],[Quantité]])/Tab_Compteur_6[[#This Row],[Delta Jour]],"")&lt;0,"",IFERROR(IF(Str_TypeDonneesCpt6=Cpt_Index,Tab_Compteur_6[[#This Row],[Index]]-E186,Tab_Compteur_6[[#This Row],[Quantité]])/Tab_Compteur_6[[#This Row],[Delta Jour]],""))</f>
        <v/>
      </c>
      <c r="H187" s="193" t="str">
        <f>IFERROR(Tab_Compteur_6[[#This Row],[Montant]]/Tab_Compteur_6[[#This Row],[Delta Jour]],"")</f>
        <v/>
      </c>
      <c r="I187" s="219" t="str">
        <f t="shared" si="7"/>
        <v/>
      </c>
      <c r="J187" s="216"/>
      <c r="K187" s="38"/>
      <c r="L187" s="38"/>
      <c r="M187" s="38"/>
    </row>
    <row r="188" spans="1:13">
      <c r="A188" s="55">
        <f t="shared" si="8"/>
        <v>1</v>
      </c>
      <c r="B188" s="88"/>
      <c r="C188" s="194"/>
      <c r="D188" s="195"/>
      <c r="E188" s="193"/>
      <c r="F188" s="193">
        <f t="shared" si="6"/>
        <v>0</v>
      </c>
      <c r="G188" s="193" t="str">
        <f>IF(IFERROR(IF(Str_TypeDonneesCpt6=Cpt_Index,Tab_Compteur_6[[#This Row],[Index]]-E187,Tab_Compteur_6[[#This Row],[Quantité]])/Tab_Compteur_6[[#This Row],[Delta Jour]],"")&lt;0,"",IFERROR(IF(Str_TypeDonneesCpt6=Cpt_Index,Tab_Compteur_6[[#This Row],[Index]]-E187,Tab_Compteur_6[[#This Row],[Quantité]])/Tab_Compteur_6[[#This Row],[Delta Jour]],""))</f>
        <v/>
      </c>
      <c r="H188" s="193" t="str">
        <f>IFERROR(Tab_Compteur_6[[#This Row],[Montant]]/Tab_Compteur_6[[#This Row],[Delta Jour]],"")</f>
        <v/>
      </c>
      <c r="I188" s="219" t="str">
        <f t="shared" si="7"/>
        <v/>
      </c>
      <c r="J188" s="216"/>
      <c r="K188" s="38"/>
      <c r="L188" s="38"/>
      <c r="M188" s="38"/>
    </row>
    <row r="189" spans="1:13">
      <c r="A189" s="55">
        <f t="shared" si="8"/>
        <v>1</v>
      </c>
      <c r="B189" s="88"/>
      <c r="C189" s="194"/>
      <c r="D189" s="195"/>
      <c r="E189" s="193"/>
      <c r="F189" s="193">
        <f t="shared" si="6"/>
        <v>0</v>
      </c>
      <c r="G189" s="193" t="str">
        <f>IF(IFERROR(IF(Str_TypeDonneesCpt6=Cpt_Index,Tab_Compteur_6[[#This Row],[Index]]-E188,Tab_Compteur_6[[#This Row],[Quantité]])/Tab_Compteur_6[[#This Row],[Delta Jour]],"")&lt;0,"",IFERROR(IF(Str_TypeDonneesCpt6=Cpt_Index,Tab_Compteur_6[[#This Row],[Index]]-E188,Tab_Compteur_6[[#This Row],[Quantité]])/Tab_Compteur_6[[#This Row],[Delta Jour]],""))</f>
        <v/>
      </c>
      <c r="H189" s="193" t="str">
        <f>IFERROR(Tab_Compteur_6[[#This Row],[Montant]]/Tab_Compteur_6[[#This Row],[Delta Jour]],"")</f>
        <v/>
      </c>
      <c r="I189" s="219" t="str">
        <f t="shared" si="7"/>
        <v/>
      </c>
      <c r="J189" s="216"/>
      <c r="K189" s="38"/>
      <c r="L189" s="38"/>
      <c r="M189" s="38"/>
    </row>
    <row r="190" spans="1:13">
      <c r="A190" s="55">
        <f t="shared" si="8"/>
        <v>1</v>
      </c>
      <c r="B190" s="88"/>
      <c r="C190" s="194"/>
      <c r="D190" s="195"/>
      <c r="E190" s="193"/>
      <c r="F190" s="193">
        <f t="shared" si="6"/>
        <v>0</v>
      </c>
      <c r="G190" s="193" t="str">
        <f>IF(IFERROR(IF(Str_TypeDonneesCpt6=Cpt_Index,Tab_Compteur_6[[#This Row],[Index]]-E189,Tab_Compteur_6[[#This Row],[Quantité]])/Tab_Compteur_6[[#This Row],[Delta Jour]],"")&lt;0,"",IFERROR(IF(Str_TypeDonneesCpt6=Cpt_Index,Tab_Compteur_6[[#This Row],[Index]]-E189,Tab_Compteur_6[[#This Row],[Quantité]])/Tab_Compteur_6[[#This Row],[Delta Jour]],""))</f>
        <v/>
      </c>
      <c r="H190" s="193" t="str">
        <f>IFERROR(Tab_Compteur_6[[#This Row],[Montant]]/Tab_Compteur_6[[#This Row],[Delta Jour]],"")</f>
        <v/>
      </c>
      <c r="I190" s="219" t="str">
        <f t="shared" si="7"/>
        <v/>
      </c>
      <c r="J190" s="216"/>
      <c r="K190" s="38"/>
      <c r="L190" s="38"/>
      <c r="M190" s="38"/>
    </row>
    <row r="191" spans="1:13">
      <c r="A191" s="55">
        <f t="shared" si="8"/>
        <v>1</v>
      </c>
      <c r="B191" s="88"/>
      <c r="C191" s="194"/>
      <c r="D191" s="195"/>
      <c r="E191" s="193"/>
      <c r="F191" s="193">
        <f t="shared" si="6"/>
        <v>0</v>
      </c>
      <c r="G191" s="193" t="str">
        <f>IF(IFERROR(IF(Str_TypeDonneesCpt6=Cpt_Index,Tab_Compteur_6[[#This Row],[Index]]-E190,Tab_Compteur_6[[#This Row],[Quantité]])/Tab_Compteur_6[[#This Row],[Delta Jour]],"")&lt;0,"",IFERROR(IF(Str_TypeDonneesCpt6=Cpt_Index,Tab_Compteur_6[[#This Row],[Index]]-E190,Tab_Compteur_6[[#This Row],[Quantité]])/Tab_Compteur_6[[#This Row],[Delta Jour]],""))</f>
        <v/>
      </c>
      <c r="H191" s="193" t="str">
        <f>IFERROR(Tab_Compteur_6[[#This Row],[Montant]]/Tab_Compteur_6[[#This Row],[Delta Jour]],"")</f>
        <v/>
      </c>
      <c r="I191" s="219" t="str">
        <f t="shared" si="7"/>
        <v/>
      </c>
      <c r="J191" s="216"/>
      <c r="K191" s="38"/>
      <c r="L191" s="38"/>
      <c r="M191" s="38"/>
    </row>
    <row r="192" spans="1:13">
      <c r="A192" s="55">
        <f t="shared" si="8"/>
        <v>1</v>
      </c>
      <c r="B192" s="88"/>
      <c r="C192" s="194"/>
      <c r="D192" s="195"/>
      <c r="E192" s="193"/>
      <c r="F192" s="193">
        <f t="shared" si="6"/>
        <v>0</v>
      </c>
      <c r="G192" s="193" t="str">
        <f>IF(IFERROR(IF(Str_TypeDonneesCpt6=Cpt_Index,Tab_Compteur_6[[#This Row],[Index]]-E191,Tab_Compteur_6[[#This Row],[Quantité]])/Tab_Compteur_6[[#This Row],[Delta Jour]],"")&lt;0,"",IFERROR(IF(Str_TypeDonneesCpt6=Cpt_Index,Tab_Compteur_6[[#This Row],[Index]]-E191,Tab_Compteur_6[[#This Row],[Quantité]])/Tab_Compteur_6[[#This Row],[Delta Jour]],""))</f>
        <v/>
      </c>
      <c r="H192" s="193" t="str">
        <f>IFERROR(Tab_Compteur_6[[#This Row],[Montant]]/Tab_Compteur_6[[#This Row],[Delta Jour]],"")</f>
        <v/>
      </c>
      <c r="I192" s="219" t="str">
        <f t="shared" si="7"/>
        <v/>
      </c>
      <c r="J192" s="216"/>
      <c r="K192" s="38"/>
      <c r="L192" s="38"/>
      <c r="M192" s="38"/>
    </row>
    <row r="193" spans="1:13">
      <c r="A193" s="55">
        <f t="shared" si="8"/>
        <v>1</v>
      </c>
      <c r="B193" s="88"/>
      <c r="C193" s="194"/>
      <c r="D193" s="195"/>
      <c r="E193" s="193"/>
      <c r="F193" s="193">
        <f t="shared" si="6"/>
        <v>0</v>
      </c>
      <c r="G193" s="193" t="str">
        <f>IF(IFERROR(IF(Str_TypeDonneesCpt6=Cpt_Index,Tab_Compteur_6[[#This Row],[Index]]-E192,Tab_Compteur_6[[#This Row],[Quantité]])/Tab_Compteur_6[[#This Row],[Delta Jour]],"")&lt;0,"",IFERROR(IF(Str_TypeDonneesCpt6=Cpt_Index,Tab_Compteur_6[[#This Row],[Index]]-E192,Tab_Compteur_6[[#This Row],[Quantité]])/Tab_Compteur_6[[#This Row],[Delta Jour]],""))</f>
        <v/>
      </c>
      <c r="H193" s="193" t="str">
        <f>IFERROR(Tab_Compteur_6[[#This Row],[Montant]]/Tab_Compteur_6[[#This Row],[Delta Jour]],"")</f>
        <v/>
      </c>
      <c r="I193" s="219" t="str">
        <f t="shared" si="7"/>
        <v/>
      </c>
      <c r="J193" s="216"/>
      <c r="K193" s="38"/>
      <c r="L193" s="38"/>
      <c r="M193" s="38"/>
    </row>
    <row r="194" spans="1:13">
      <c r="A194" s="55">
        <f t="shared" si="8"/>
        <v>1</v>
      </c>
      <c r="B194" s="88"/>
      <c r="C194" s="194"/>
      <c r="D194" s="195"/>
      <c r="E194" s="193"/>
      <c r="F194" s="193">
        <f t="shared" si="6"/>
        <v>0</v>
      </c>
      <c r="G194" s="193" t="str">
        <f>IF(IFERROR(IF(Str_TypeDonneesCpt6=Cpt_Index,Tab_Compteur_6[[#This Row],[Index]]-E193,Tab_Compteur_6[[#This Row],[Quantité]])/Tab_Compteur_6[[#This Row],[Delta Jour]],"")&lt;0,"",IFERROR(IF(Str_TypeDonneesCpt6=Cpt_Index,Tab_Compteur_6[[#This Row],[Index]]-E193,Tab_Compteur_6[[#This Row],[Quantité]])/Tab_Compteur_6[[#This Row],[Delta Jour]],""))</f>
        <v/>
      </c>
      <c r="H194" s="193" t="str">
        <f>IFERROR(Tab_Compteur_6[[#This Row],[Montant]]/Tab_Compteur_6[[#This Row],[Delta Jour]],"")</f>
        <v/>
      </c>
      <c r="I194" s="219" t="str">
        <f t="shared" si="7"/>
        <v/>
      </c>
      <c r="J194" s="216"/>
      <c r="K194" s="38"/>
      <c r="L194" s="38"/>
      <c r="M194" s="38"/>
    </row>
    <row r="195" spans="1:13">
      <c r="A195" s="55">
        <f t="shared" si="8"/>
        <v>1</v>
      </c>
      <c r="B195" s="88"/>
      <c r="C195" s="194"/>
      <c r="D195" s="195"/>
      <c r="E195" s="193"/>
      <c r="F195" s="193">
        <f t="shared" ref="F195:F243" si="9">IFERROR(B195-A195+1,"")</f>
        <v>0</v>
      </c>
      <c r="G195" s="193" t="str">
        <f>IF(IFERROR(IF(Str_TypeDonneesCpt6=Cpt_Index,Tab_Compteur_6[[#This Row],[Index]]-E194,Tab_Compteur_6[[#This Row],[Quantité]])/Tab_Compteur_6[[#This Row],[Delta Jour]],"")&lt;0,"",IFERROR(IF(Str_TypeDonneesCpt6=Cpt_Index,Tab_Compteur_6[[#This Row],[Index]]-E194,Tab_Compteur_6[[#This Row],[Quantité]])/Tab_Compteur_6[[#This Row],[Delta Jour]],""))</f>
        <v/>
      </c>
      <c r="H195" s="193" t="str">
        <f>IFERROR(Tab_Compteur_6[[#This Row],[Montant]]/Tab_Compteur_6[[#This Row],[Delta Jour]],"")</f>
        <v/>
      </c>
      <c r="I195" s="219" t="str">
        <f t="shared" ref="I195:I243" si="10">G195</f>
        <v/>
      </c>
      <c r="J195" s="216"/>
      <c r="K195" s="38"/>
      <c r="L195" s="38"/>
      <c r="M195" s="38"/>
    </row>
    <row r="196" spans="1:13">
      <c r="A196" s="55">
        <f t="shared" si="8"/>
        <v>1</v>
      </c>
      <c r="B196" s="88"/>
      <c r="C196" s="194"/>
      <c r="D196" s="195"/>
      <c r="E196" s="193"/>
      <c r="F196" s="193">
        <f t="shared" si="9"/>
        <v>0</v>
      </c>
      <c r="G196" s="193" t="str">
        <f>IF(IFERROR(IF(Str_TypeDonneesCpt6=Cpt_Index,Tab_Compteur_6[[#This Row],[Index]]-E195,Tab_Compteur_6[[#This Row],[Quantité]])/Tab_Compteur_6[[#This Row],[Delta Jour]],"")&lt;0,"",IFERROR(IF(Str_TypeDonneesCpt6=Cpt_Index,Tab_Compteur_6[[#This Row],[Index]]-E195,Tab_Compteur_6[[#This Row],[Quantité]])/Tab_Compteur_6[[#This Row],[Delta Jour]],""))</f>
        <v/>
      </c>
      <c r="H196" s="193" t="str">
        <f>IFERROR(Tab_Compteur_6[[#This Row],[Montant]]/Tab_Compteur_6[[#This Row],[Delta Jour]],"")</f>
        <v/>
      </c>
      <c r="I196" s="219" t="str">
        <f t="shared" si="10"/>
        <v/>
      </c>
      <c r="J196" s="216"/>
      <c r="K196" s="38"/>
      <c r="L196" s="38"/>
      <c r="M196" s="38"/>
    </row>
    <row r="197" spans="1:13">
      <c r="A197" s="55">
        <f t="shared" si="8"/>
        <v>1</v>
      </c>
      <c r="B197" s="88"/>
      <c r="C197" s="194"/>
      <c r="D197" s="195"/>
      <c r="E197" s="193"/>
      <c r="F197" s="193">
        <f t="shared" si="9"/>
        <v>0</v>
      </c>
      <c r="G197" s="193" t="str">
        <f>IF(IFERROR(IF(Str_TypeDonneesCpt6=Cpt_Index,Tab_Compteur_6[[#This Row],[Index]]-E196,Tab_Compteur_6[[#This Row],[Quantité]])/Tab_Compteur_6[[#This Row],[Delta Jour]],"")&lt;0,"",IFERROR(IF(Str_TypeDonneesCpt6=Cpt_Index,Tab_Compteur_6[[#This Row],[Index]]-E196,Tab_Compteur_6[[#This Row],[Quantité]])/Tab_Compteur_6[[#This Row],[Delta Jour]],""))</f>
        <v/>
      </c>
      <c r="H197" s="193" t="str">
        <f>IFERROR(Tab_Compteur_6[[#This Row],[Montant]]/Tab_Compteur_6[[#This Row],[Delta Jour]],"")</f>
        <v/>
      </c>
      <c r="I197" s="219" t="str">
        <f t="shared" si="10"/>
        <v/>
      </c>
      <c r="J197" s="216"/>
      <c r="K197" s="38"/>
      <c r="L197" s="38"/>
      <c r="M197" s="38"/>
    </row>
    <row r="198" spans="1:13">
      <c r="A198" s="55">
        <f t="shared" ref="A198:A243" si="11">IFERROR(B197+1,0)</f>
        <v>1</v>
      </c>
      <c r="B198" s="88"/>
      <c r="C198" s="194"/>
      <c r="D198" s="195"/>
      <c r="E198" s="193"/>
      <c r="F198" s="193">
        <f t="shared" si="9"/>
        <v>0</v>
      </c>
      <c r="G198" s="193" t="str">
        <f>IF(IFERROR(IF(Str_TypeDonneesCpt6=Cpt_Index,Tab_Compteur_6[[#This Row],[Index]]-E197,Tab_Compteur_6[[#This Row],[Quantité]])/Tab_Compteur_6[[#This Row],[Delta Jour]],"")&lt;0,"",IFERROR(IF(Str_TypeDonneesCpt6=Cpt_Index,Tab_Compteur_6[[#This Row],[Index]]-E197,Tab_Compteur_6[[#This Row],[Quantité]])/Tab_Compteur_6[[#This Row],[Delta Jour]],""))</f>
        <v/>
      </c>
      <c r="H198" s="193" t="str">
        <f>IFERROR(Tab_Compteur_6[[#This Row],[Montant]]/Tab_Compteur_6[[#This Row],[Delta Jour]],"")</f>
        <v/>
      </c>
      <c r="I198" s="219" t="str">
        <f t="shared" si="10"/>
        <v/>
      </c>
      <c r="J198" s="216"/>
      <c r="K198" s="38"/>
      <c r="L198" s="38"/>
      <c r="M198" s="38"/>
    </row>
    <row r="199" spans="1:13">
      <c r="A199" s="55">
        <f t="shared" si="11"/>
        <v>1</v>
      </c>
      <c r="B199" s="88"/>
      <c r="C199" s="194"/>
      <c r="D199" s="195"/>
      <c r="E199" s="193"/>
      <c r="F199" s="193">
        <f t="shared" si="9"/>
        <v>0</v>
      </c>
      <c r="G199" s="193" t="str">
        <f>IF(IFERROR(IF(Str_TypeDonneesCpt6=Cpt_Index,Tab_Compteur_6[[#This Row],[Index]]-E198,Tab_Compteur_6[[#This Row],[Quantité]])/Tab_Compteur_6[[#This Row],[Delta Jour]],"")&lt;0,"",IFERROR(IF(Str_TypeDonneesCpt6=Cpt_Index,Tab_Compteur_6[[#This Row],[Index]]-E198,Tab_Compteur_6[[#This Row],[Quantité]])/Tab_Compteur_6[[#This Row],[Delta Jour]],""))</f>
        <v/>
      </c>
      <c r="H199" s="193" t="str">
        <f>IFERROR(Tab_Compteur_6[[#This Row],[Montant]]/Tab_Compteur_6[[#This Row],[Delta Jour]],"")</f>
        <v/>
      </c>
      <c r="I199" s="219" t="str">
        <f t="shared" si="10"/>
        <v/>
      </c>
      <c r="J199" s="216"/>
      <c r="K199" s="38"/>
      <c r="L199" s="38"/>
      <c r="M199" s="38"/>
    </row>
    <row r="200" spans="1:13">
      <c r="A200" s="55">
        <f t="shared" si="11"/>
        <v>1</v>
      </c>
      <c r="B200" s="88"/>
      <c r="C200" s="194"/>
      <c r="D200" s="195"/>
      <c r="E200" s="193"/>
      <c r="F200" s="193">
        <f t="shared" si="9"/>
        <v>0</v>
      </c>
      <c r="G200" s="193" t="str">
        <f>IF(IFERROR(IF(Str_TypeDonneesCpt6=Cpt_Index,Tab_Compteur_6[[#This Row],[Index]]-E199,Tab_Compteur_6[[#This Row],[Quantité]])/Tab_Compteur_6[[#This Row],[Delta Jour]],"")&lt;0,"",IFERROR(IF(Str_TypeDonneesCpt6=Cpt_Index,Tab_Compteur_6[[#This Row],[Index]]-E199,Tab_Compteur_6[[#This Row],[Quantité]])/Tab_Compteur_6[[#This Row],[Delta Jour]],""))</f>
        <v/>
      </c>
      <c r="H200" s="193" t="str">
        <f>IFERROR(Tab_Compteur_6[[#This Row],[Montant]]/Tab_Compteur_6[[#This Row],[Delta Jour]],"")</f>
        <v/>
      </c>
      <c r="I200" s="219" t="str">
        <f t="shared" si="10"/>
        <v/>
      </c>
      <c r="J200" s="216"/>
      <c r="K200" s="38"/>
      <c r="L200" s="38"/>
      <c r="M200" s="38"/>
    </row>
    <row r="201" spans="1:13">
      <c r="A201" s="55">
        <f t="shared" si="11"/>
        <v>1</v>
      </c>
      <c r="B201" s="88"/>
      <c r="C201" s="194"/>
      <c r="D201" s="195"/>
      <c r="E201" s="193"/>
      <c r="F201" s="193">
        <f t="shared" si="9"/>
        <v>0</v>
      </c>
      <c r="G201" s="193" t="str">
        <f>IF(IFERROR(IF(Str_TypeDonneesCpt6=Cpt_Index,Tab_Compteur_6[[#This Row],[Index]]-E200,Tab_Compteur_6[[#This Row],[Quantité]])/Tab_Compteur_6[[#This Row],[Delta Jour]],"")&lt;0,"",IFERROR(IF(Str_TypeDonneesCpt6=Cpt_Index,Tab_Compteur_6[[#This Row],[Index]]-E200,Tab_Compteur_6[[#This Row],[Quantité]])/Tab_Compteur_6[[#This Row],[Delta Jour]],""))</f>
        <v/>
      </c>
      <c r="H201" s="193" t="str">
        <f>IFERROR(Tab_Compteur_6[[#This Row],[Montant]]/Tab_Compteur_6[[#This Row],[Delta Jour]],"")</f>
        <v/>
      </c>
      <c r="I201" s="219" t="str">
        <f t="shared" si="10"/>
        <v/>
      </c>
      <c r="J201" s="216"/>
      <c r="K201" s="38"/>
      <c r="L201" s="38"/>
      <c r="M201" s="38"/>
    </row>
    <row r="202" spans="1:13">
      <c r="A202" s="55">
        <f t="shared" si="11"/>
        <v>1</v>
      </c>
      <c r="B202" s="88"/>
      <c r="C202" s="194"/>
      <c r="D202" s="195"/>
      <c r="E202" s="193"/>
      <c r="F202" s="193">
        <f t="shared" si="9"/>
        <v>0</v>
      </c>
      <c r="G202" s="193" t="str">
        <f>IF(IFERROR(IF(Str_TypeDonneesCpt6=Cpt_Index,Tab_Compteur_6[[#This Row],[Index]]-E201,Tab_Compteur_6[[#This Row],[Quantité]])/Tab_Compteur_6[[#This Row],[Delta Jour]],"")&lt;0,"",IFERROR(IF(Str_TypeDonneesCpt6=Cpt_Index,Tab_Compteur_6[[#This Row],[Index]]-E201,Tab_Compteur_6[[#This Row],[Quantité]])/Tab_Compteur_6[[#This Row],[Delta Jour]],""))</f>
        <v/>
      </c>
      <c r="H202" s="193" t="str">
        <f>IFERROR(Tab_Compteur_6[[#This Row],[Montant]]/Tab_Compteur_6[[#This Row],[Delta Jour]],"")</f>
        <v/>
      </c>
      <c r="I202" s="219" t="str">
        <f t="shared" si="10"/>
        <v/>
      </c>
      <c r="J202" s="216"/>
      <c r="K202" s="38"/>
      <c r="L202" s="38"/>
      <c r="M202" s="38"/>
    </row>
    <row r="203" spans="1:13">
      <c r="A203" s="55">
        <f t="shared" si="11"/>
        <v>1</v>
      </c>
      <c r="B203" s="88"/>
      <c r="C203" s="194"/>
      <c r="D203" s="195"/>
      <c r="E203" s="193"/>
      <c r="F203" s="193">
        <f t="shared" si="9"/>
        <v>0</v>
      </c>
      <c r="G203" s="193" t="str">
        <f>IF(IFERROR(IF(Str_TypeDonneesCpt6=Cpt_Index,Tab_Compteur_6[[#This Row],[Index]]-E202,Tab_Compteur_6[[#This Row],[Quantité]])/Tab_Compteur_6[[#This Row],[Delta Jour]],"")&lt;0,"",IFERROR(IF(Str_TypeDonneesCpt6=Cpt_Index,Tab_Compteur_6[[#This Row],[Index]]-E202,Tab_Compteur_6[[#This Row],[Quantité]])/Tab_Compteur_6[[#This Row],[Delta Jour]],""))</f>
        <v/>
      </c>
      <c r="H203" s="193" t="str">
        <f>IFERROR(Tab_Compteur_6[[#This Row],[Montant]]/Tab_Compteur_6[[#This Row],[Delta Jour]],"")</f>
        <v/>
      </c>
      <c r="I203" s="219" t="str">
        <f t="shared" si="10"/>
        <v/>
      </c>
      <c r="J203" s="216"/>
      <c r="K203" s="38"/>
      <c r="L203" s="38"/>
      <c r="M203" s="38"/>
    </row>
    <row r="204" spans="1:13">
      <c r="A204" s="55">
        <f t="shared" si="11"/>
        <v>1</v>
      </c>
      <c r="B204" s="88"/>
      <c r="C204" s="194"/>
      <c r="D204" s="195"/>
      <c r="E204" s="193"/>
      <c r="F204" s="193">
        <f t="shared" si="9"/>
        <v>0</v>
      </c>
      <c r="G204" s="193" t="str">
        <f>IF(IFERROR(IF(Str_TypeDonneesCpt6=Cpt_Index,Tab_Compteur_6[[#This Row],[Index]]-E203,Tab_Compteur_6[[#This Row],[Quantité]])/Tab_Compteur_6[[#This Row],[Delta Jour]],"")&lt;0,"",IFERROR(IF(Str_TypeDonneesCpt6=Cpt_Index,Tab_Compteur_6[[#This Row],[Index]]-E203,Tab_Compteur_6[[#This Row],[Quantité]])/Tab_Compteur_6[[#This Row],[Delta Jour]],""))</f>
        <v/>
      </c>
      <c r="H204" s="193" t="str">
        <f>IFERROR(Tab_Compteur_6[[#This Row],[Montant]]/Tab_Compteur_6[[#This Row],[Delta Jour]],"")</f>
        <v/>
      </c>
      <c r="I204" s="219" t="str">
        <f t="shared" si="10"/>
        <v/>
      </c>
      <c r="J204" s="216"/>
      <c r="K204" s="38"/>
      <c r="L204" s="38"/>
      <c r="M204" s="38"/>
    </row>
    <row r="205" spans="1:13">
      <c r="A205" s="55">
        <f t="shared" si="11"/>
        <v>1</v>
      </c>
      <c r="B205" s="88"/>
      <c r="C205" s="194"/>
      <c r="D205" s="195"/>
      <c r="E205" s="193"/>
      <c r="F205" s="193">
        <f t="shared" si="9"/>
        <v>0</v>
      </c>
      <c r="G205" s="193" t="str">
        <f>IF(IFERROR(IF(Str_TypeDonneesCpt6=Cpt_Index,Tab_Compteur_6[[#This Row],[Index]]-E204,Tab_Compteur_6[[#This Row],[Quantité]])/Tab_Compteur_6[[#This Row],[Delta Jour]],"")&lt;0,"",IFERROR(IF(Str_TypeDonneesCpt6=Cpt_Index,Tab_Compteur_6[[#This Row],[Index]]-E204,Tab_Compteur_6[[#This Row],[Quantité]])/Tab_Compteur_6[[#This Row],[Delta Jour]],""))</f>
        <v/>
      </c>
      <c r="H205" s="193" t="str">
        <f>IFERROR(Tab_Compteur_6[[#This Row],[Montant]]/Tab_Compteur_6[[#This Row],[Delta Jour]],"")</f>
        <v/>
      </c>
      <c r="I205" s="219" t="str">
        <f t="shared" si="10"/>
        <v/>
      </c>
      <c r="J205" s="216"/>
      <c r="K205" s="38"/>
      <c r="L205" s="38"/>
      <c r="M205" s="38"/>
    </row>
    <row r="206" spans="1:13">
      <c r="A206" s="55">
        <f t="shared" si="11"/>
        <v>1</v>
      </c>
      <c r="B206" s="88"/>
      <c r="C206" s="194"/>
      <c r="D206" s="195"/>
      <c r="E206" s="193"/>
      <c r="F206" s="193">
        <f t="shared" si="9"/>
        <v>0</v>
      </c>
      <c r="G206" s="193" t="str">
        <f>IF(IFERROR(IF(Str_TypeDonneesCpt6=Cpt_Index,Tab_Compteur_6[[#This Row],[Index]]-E205,Tab_Compteur_6[[#This Row],[Quantité]])/Tab_Compteur_6[[#This Row],[Delta Jour]],"")&lt;0,"",IFERROR(IF(Str_TypeDonneesCpt6=Cpt_Index,Tab_Compteur_6[[#This Row],[Index]]-E205,Tab_Compteur_6[[#This Row],[Quantité]])/Tab_Compteur_6[[#This Row],[Delta Jour]],""))</f>
        <v/>
      </c>
      <c r="H206" s="193" t="str">
        <f>IFERROR(Tab_Compteur_6[[#This Row],[Montant]]/Tab_Compteur_6[[#This Row],[Delta Jour]],"")</f>
        <v/>
      </c>
      <c r="I206" s="219" t="str">
        <f t="shared" si="10"/>
        <v/>
      </c>
      <c r="J206" s="216"/>
      <c r="K206" s="38"/>
      <c r="L206" s="38"/>
      <c r="M206" s="38"/>
    </row>
    <row r="207" spans="1:13">
      <c r="A207" s="55">
        <f t="shared" si="11"/>
        <v>1</v>
      </c>
      <c r="B207" s="88"/>
      <c r="C207" s="194"/>
      <c r="D207" s="195"/>
      <c r="E207" s="193"/>
      <c r="F207" s="193">
        <f t="shared" si="9"/>
        <v>0</v>
      </c>
      <c r="G207" s="193" t="str">
        <f>IF(IFERROR(IF(Str_TypeDonneesCpt6=Cpt_Index,Tab_Compteur_6[[#This Row],[Index]]-E206,Tab_Compteur_6[[#This Row],[Quantité]])/Tab_Compteur_6[[#This Row],[Delta Jour]],"")&lt;0,"",IFERROR(IF(Str_TypeDonneesCpt6=Cpt_Index,Tab_Compteur_6[[#This Row],[Index]]-E206,Tab_Compteur_6[[#This Row],[Quantité]])/Tab_Compteur_6[[#This Row],[Delta Jour]],""))</f>
        <v/>
      </c>
      <c r="H207" s="193" t="str">
        <f>IFERROR(Tab_Compteur_6[[#This Row],[Montant]]/Tab_Compteur_6[[#This Row],[Delta Jour]],"")</f>
        <v/>
      </c>
      <c r="I207" s="219" t="str">
        <f t="shared" si="10"/>
        <v/>
      </c>
      <c r="J207" s="216"/>
      <c r="K207" s="38"/>
      <c r="L207" s="38"/>
      <c r="M207" s="38"/>
    </row>
    <row r="208" spans="1:13">
      <c r="A208" s="55">
        <f t="shared" si="11"/>
        <v>1</v>
      </c>
      <c r="B208" s="88"/>
      <c r="C208" s="194"/>
      <c r="D208" s="195"/>
      <c r="E208" s="193"/>
      <c r="F208" s="193">
        <f t="shared" si="9"/>
        <v>0</v>
      </c>
      <c r="G208" s="193" t="str">
        <f>IF(IFERROR(IF(Str_TypeDonneesCpt6=Cpt_Index,Tab_Compteur_6[[#This Row],[Index]]-E207,Tab_Compteur_6[[#This Row],[Quantité]])/Tab_Compteur_6[[#This Row],[Delta Jour]],"")&lt;0,"",IFERROR(IF(Str_TypeDonneesCpt6=Cpt_Index,Tab_Compteur_6[[#This Row],[Index]]-E207,Tab_Compteur_6[[#This Row],[Quantité]])/Tab_Compteur_6[[#This Row],[Delta Jour]],""))</f>
        <v/>
      </c>
      <c r="H208" s="193" t="str">
        <f>IFERROR(Tab_Compteur_6[[#This Row],[Montant]]/Tab_Compteur_6[[#This Row],[Delta Jour]],"")</f>
        <v/>
      </c>
      <c r="I208" s="219" t="str">
        <f t="shared" si="10"/>
        <v/>
      </c>
      <c r="J208" s="216"/>
      <c r="K208" s="38"/>
      <c r="L208" s="38"/>
      <c r="M208" s="38"/>
    </row>
    <row r="209" spans="1:13">
      <c r="A209" s="55">
        <f t="shared" si="11"/>
        <v>1</v>
      </c>
      <c r="B209" s="88"/>
      <c r="C209" s="194"/>
      <c r="D209" s="195"/>
      <c r="E209" s="193"/>
      <c r="F209" s="193">
        <f t="shared" si="9"/>
        <v>0</v>
      </c>
      <c r="G209" s="193" t="str">
        <f>IF(IFERROR(IF(Str_TypeDonneesCpt6=Cpt_Index,Tab_Compteur_6[[#This Row],[Index]]-E208,Tab_Compteur_6[[#This Row],[Quantité]])/Tab_Compteur_6[[#This Row],[Delta Jour]],"")&lt;0,"",IFERROR(IF(Str_TypeDonneesCpt6=Cpt_Index,Tab_Compteur_6[[#This Row],[Index]]-E208,Tab_Compteur_6[[#This Row],[Quantité]])/Tab_Compteur_6[[#This Row],[Delta Jour]],""))</f>
        <v/>
      </c>
      <c r="H209" s="193" t="str">
        <f>IFERROR(Tab_Compteur_6[[#This Row],[Montant]]/Tab_Compteur_6[[#This Row],[Delta Jour]],"")</f>
        <v/>
      </c>
      <c r="I209" s="219" t="str">
        <f t="shared" si="10"/>
        <v/>
      </c>
      <c r="J209" s="216"/>
      <c r="K209" s="38"/>
      <c r="L209" s="38"/>
      <c r="M209" s="38"/>
    </row>
    <row r="210" spans="1:13">
      <c r="A210" s="55">
        <f t="shared" si="11"/>
        <v>1</v>
      </c>
      <c r="B210" s="88"/>
      <c r="C210" s="194"/>
      <c r="D210" s="195"/>
      <c r="E210" s="193"/>
      <c r="F210" s="193">
        <f t="shared" si="9"/>
        <v>0</v>
      </c>
      <c r="G210" s="193" t="str">
        <f>IF(IFERROR(IF(Str_TypeDonneesCpt6=Cpt_Index,Tab_Compteur_6[[#This Row],[Index]]-E209,Tab_Compteur_6[[#This Row],[Quantité]])/Tab_Compteur_6[[#This Row],[Delta Jour]],"")&lt;0,"",IFERROR(IF(Str_TypeDonneesCpt6=Cpt_Index,Tab_Compteur_6[[#This Row],[Index]]-E209,Tab_Compteur_6[[#This Row],[Quantité]])/Tab_Compteur_6[[#This Row],[Delta Jour]],""))</f>
        <v/>
      </c>
      <c r="H210" s="193" t="str">
        <f>IFERROR(Tab_Compteur_6[[#This Row],[Montant]]/Tab_Compteur_6[[#This Row],[Delta Jour]],"")</f>
        <v/>
      </c>
      <c r="I210" s="219" t="str">
        <f t="shared" si="10"/>
        <v/>
      </c>
      <c r="J210" s="216"/>
      <c r="K210" s="38"/>
      <c r="L210" s="38"/>
      <c r="M210" s="38"/>
    </row>
    <row r="211" spans="1:13">
      <c r="A211" s="55">
        <f t="shared" si="11"/>
        <v>1</v>
      </c>
      <c r="B211" s="88"/>
      <c r="C211" s="194"/>
      <c r="D211" s="195"/>
      <c r="E211" s="193"/>
      <c r="F211" s="193">
        <f t="shared" si="9"/>
        <v>0</v>
      </c>
      <c r="G211" s="193" t="str">
        <f>IF(IFERROR(IF(Str_TypeDonneesCpt6=Cpt_Index,Tab_Compteur_6[[#This Row],[Index]]-E210,Tab_Compteur_6[[#This Row],[Quantité]])/Tab_Compteur_6[[#This Row],[Delta Jour]],"")&lt;0,"",IFERROR(IF(Str_TypeDonneesCpt6=Cpt_Index,Tab_Compteur_6[[#This Row],[Index]]-E210,Tab_Compteur_6[[#This Row],[Quantité]])/Tab_Compteur_6[[#This Row],[Delta Jour]],""))</f>
        <v/>
      </c>
      <c r="H211" s="193" t="str">
        <f>IFERROR(Tab_Compteur_6[[#This Row],[Montant]]/Tab_Compteur_6[[#This Row],[Delta Jour]],"")</f>
        <v/>
      </c>
      <c r="I211" s="219" t="str">
        <f t="shared" si="10"/>
        <v/>
      </c>
      <c r="J211" s="216"/>
      <c r="K211" s="38"/>
      <c r="L211" s="38"/>
      <c r="M211" s="38"/>
    </row>
    <row r="212" spans="1:13">
      <c r="A212" s="55">
        <f t="shared" si="11"/>
        <v>1</v>
      </c>
      <c r="B212" s="88"/>
      <c r="C212" s="194"/>
      <c r="D212" s="195"/>
      <c r="E212" s="193"/>
      <c r="F212" s="193">
        <f t="shared" si="9"/>
        <v>0</v>
      </c>
      <c r="G212" s="193" t="str">
        <f>IF(IFERROR(IF(Str_TypeDonneesCpt6=Cpt_Index,Tab_Compteur_6[[#This Row],[Index]]-E211,Tab_Compteur_6[[#This Row],[Quantité]])/Tab_Compteur_6[[#This Row],[Delta Jour]],"")&lt;0,"",IFERROR(IF(Str_TypeDonneesCpt6=Cpt_Index,Tab_Compteur_6[[#This Row],[Index]]-E211,Tab_Compteur_6[[#This Row],[Quantité]])/Tab_Compteur_6[[#This Row],[Delta Jour]],""))</f>
        <v/>
      </c>
      <c r="H212" s="193" t="str">
        <f>IFERROR(Tab_Compteur_6[[#This Row],[Montant]]/Tab_Compteur_6[[#This Row],[Delta Jour]],"")</f>
        <v/>
      </c>
      <c r="I212" s="219" t="str">
        <f t="shared" si="10"/>
        <v/>
      </c>
      <c r="J212" s="216"/>
      <c r="K212" s="38"/>
      <c r="L212" s="38"/>
      <c r="M212" s="38"/>
    </row>
    <row r="213" spans="1:13">
      <c r="A213" s="55">
        <f t="shared" si="11"/>
        <v>1</v>
      </c>
      <c r="B213" s="88"/>
      <c r="C213" s="194"/>
      <c r="D213" s="195"/>
      <c r="E213" s="193"/>
      <c r="F213" s="193">
        <f t="shared" si="9"/>
        <v>0</v>
      </c>
      <c r="G213" s="193" t="str">
        <f>IF(IFERROR(IF(Str_TypeDonneesCpt6=Cpt_Index,Tab_Compteur_6[[#This Row],[Index]]-E212,Tab_Compteur_6[[#This Row],[Quantité]])/Tab_Compteur_6[[#This Row],[Delta Jour]],"")&lt;0,"",IFERROR(IF(Str_TypeDonneesCpt6=Cpt_Index,Tab_Compteur_6[[#This Row],[Index]]-E212,Tab_Compteur_6[[#This Row],[Quantité]])/Tab_Compteur_6[[#This Row],[Delta Jour]],""))</f>
        <v/>
      </c>
      <c r="H213" s="193" t="str">
        <f>IFERROR(Tab_Compteur_6[[#This Row],[Montant]]/Tab_Compteur_6[[#This Row],[Delta Jour]],"")</f>
        <v/>
      </c>
      <c r="I213" s="219" t="str">
        <f t="shared" si="10"/>
        <v/>
      </c>
      <c r="J213" s="216"/>
      <c r="K213" s="38"/>
      <c r="L213" s="38"/>
      <c r="M213" s="38"/>
    </row>
    <row r="214" spans="1:13">
      <c r="A214" s="55">
        <f t="shared" si="11"/>
        <v>1</v>
      </c>
      <c r="B214" s="88"/>
      <c r="C214" s="194"/>
      <c r="D214" s="195"/>
      <c r="E214" s="193"/>
      <c r="F214" s="193">
        <f t="shared" si="9"/>
        <v>0</v>
      </c>
      <c r="G214" s="193" t="str">
        <f>IF(IFERROR(IF(Str_TypeDonneesCpt6=Cpt_Index,Tab_Compteur_6[[#This Row],[Index]]-E213,Tab_Compteur_6[[#This Row],[Quantité]])/Tab_Compteur_6[[#This Row],[Delta Jour]],"")&lt;0,"",IFERROR(IF(Str_TypeDonneesCpt6=Cpt_Index,Tab_Compteur_6[[#This Row],[Index]]-E213,Tab_Compteur_6[[#This Row],[Quantité]])/Tab_Compteur_6[[#This Row],[Delta Jour]],""))</f>
        <v/>
      </c>
      <c r="H214" s="193" t="str">
        <f>IFERROR(Tab_Compteur_6[[#This Row],[Montant]]/Tab_Compteur_6[[#This Row],[Delta Jour]],"")</f>
        <v/>
      </c>
      <c r="I214" s="219" t="str">
        <f t="shared" si="10"/>
        <v/>
      </c>
      <c r="J214" s="216"/>
      <c r="K214" s="38"/>
      <c r="L214" s="38"/>
      <c r="M214" s="38"/>
    </row>
    <row r="215" spans="1:13">
      <c r="A215" s="55">
        <f t="shared" si="11"/>
        <v>1</v>
      </c>
      <c r="B215" s="88"/>
      <c r="C215" s="194"/>
      <c r="D215" s="195"/>
      <c r="E215" s="193"/>
      <c r="F215" s="193">
        <f t="shared" si="9"/>
        <v>0</v>
      </c>
      <c r="G215" s="193" t="str">
        <f>IF(IFERROR(IF(Str_TypeDonneesCpt6=Cpt_Index,Tab_Compteur_6[[#This Row],[Index]]-E214,Tab_Compteur_6[[#This Row],[Quantité]])/Tab_Compteur_6[[#This Row],[Delta Jour]],"")&lt;0,"",IFERROR(IF(Str_TypeDonneesCpt6=Cpt_Index,Tab_Compteur_6[[#This Row],[Index]]-E214,Tab_Compteur_6[[#This Row],[Quantité]])/Tab_Compteur_6[[#This Row],[Delta Jour]],""))</f>
        <v/>
      </c>
      <c r="H215" s="193" t="str">
        <f>IFERROR(Tab_Compteur_6[[#This Row],[Montant]]/Tab_Compteur_6[[#This Row],[Delta Jour]],"")</f>
        <v/>
      </c>
      <c r="I215" s="219" t="str">
        <f t="shared" si="10"/>
        <v/>
      </c>
      <c r="J215" s="216"/>
      <c r="K215" s="38"/>
      <c r="L215" s="38"/>
      <c r="M215" s="38"/>
    </row>
    <row r="216" spans="1:13">
      <c r="A216" s="55">
        <f t="shared" si="11"/>
        <v>1</v>
      </c>
      <c r="B216" s="88"/>
      <c r="C216" s="194"/>
      <c r="D216" s="195"/>
      <c r="E216" s="193"/>
      <c r="F216" s="193">
        <f t="shared" si="9"/>
        <v>0</v>
      </c>
      <c r="G216" s="193" t="str">
        <f>IF(IFERROR(IF(Str_TypeDonneesCpt6=Cpt_Index,Tab_Compteur_6[[#This Row],[Index]]-E215,Tab_Compteur_6[[#This Row],[Quantité]])/Tab_Compteur_6[[#This Row],[Delta Jour]],"")&lt;0,"",IFERROR(IF(Str_TypeDonneesCpt6=Cpt_Index,Tab_Compteur_6[[#This Row],[Index]]-E215,Tab_Compteur_6[[#This Row],[Quantité]])/Tab_Compteur_6[[#This Row],[Delta Jour]],""))</f>
        <v/>
      </c>
      <c r="H216" s="193" t="str">
        <f>IFERROR(Tab_Compteur_6[[#This Row],[Montant]]/Tab_Compteur_6[[#This Row],[Delta Jour]],"")</f>
        <v/>
      </c>
      <c r="I216" s="219" t="str">
        <f t="shared" si="10"/>
        <v/>
      </c>
      <c r="J216" s="216"/>
      <c r="K216" s="38"/>
      <c r="L216" s="38"/>
      <c r="M216" s="38"/>
    </row>
    <row r="217" spans="1:13">
      <c r="A217" s="55">
        <f t="shared" si="11"/>
        <v>1</v>
      </c>
      <c r="B217" s="88"/>
      <c r="C217" s="194"/>
      <c r="D217" s="195"/>
      <c r="E217" s="193"/>
      <c r="F217" s="193">
        <f t="shared" si="9"/>
        <v>0</v>
      </c>
      <c r="G217" s="193" t="str">
        <f>IF(IFERROR(IF(Str_TypeDonneesCpt6=Cpt_Index,Tab_Compteur_6[[#This Row],[Index]]-E216,Tab_Compteur_6[[#This Row],[Quantité]])/Tab_Compteur_6[[#This Row],[Delta Jour]],"")&lt;0,"",IFERROR(IF(Str_TypeDonneesCpt6=Cpt_Index,Tab_Compteur_6[[#This Row],[Index]]-E216,Tab_Compteur_6[[#This Row],[Quantité]])/Tab_Compteur_6[[#This Row],[Delta Jour]],""))</f>
        <v/>
      </c>
      <c r="H217" s="193" t="str">
        <f>IFERROR(Tab_Compteur_6[[#This Row],[Montant]]/Tab_Compteur_6[[#This Row],[Delta Jour]],"")</f>
        <v/>
      </c>
      <c r="I217" s="219" t="str">
        <f t="shared" si="10"/>
        <v/>
      </c>
      <c r="J217" s="216"/>
      <c r="K217" s="38"/>
      <c r="L217" s="38"/>
      <c r="M217" s="38"/>
    </row>
    <row r="218" spans="1:13">
      <c r="A218" s="55">
        <f t="shared" si="11"/>
        <v>1</v>
      </c>
      <c r="B218" s="88"/>
      <c r="C218" s="194"/>
      <c r="D218" s="195"/>
      <c r="E218" s="193"/>
      <c r="F218" s="193">
        <f t="shared" si="9"/>
        <v>0</v>
      </c>
      <c r="G218" s="193" t="str">
        <f>IF(IFERROR(IF(Str_TypeDonneesCpt6=Cpt_Index,Tab_Compteur_6[[#This Row],[Index]]-E217,Tab_Compteur_6[[#This Row],[Quantité]])/Tab_Compteur_6[[#This Row],[Delta Jour]],"")&lt;0,"",IFERROR(IF(Str_TypeDonneesCpt6=Cpt_Index,Tab_Compteur_6[[#This Row],[Index]]-E217,Tab_Compteur_6[[#This Row],[Quantité]])/Tab_Compteur_6[[#This Row],[Delta Jour]],""))</f>
        <v/>
      </c>
      <c r="H218" s="193" t="str">
        <f>IFERROR(Tab_Compteur_6[[#This Row],[Montant]]/Tab_Compteur_6[[#This Row],[Delta Jour]],"")</f>
        <v/>
      </c>
      <c r="I218" s="219" t="str">
        <f t="shared" si="10"/>
        <v/>
      </c>
      <c r="J218" s="216"/>
      <c r="K218" s="38"/>
      <c r="L218" s="38"/>
      <c r="M218" s="38"/>
    </row>
    <row r="219" spans="1:13">
      <c r="A219" s="55">
        <f t="shared" si="11"/>
        <v>1</v>
      </c>
      <c r="B219" s="88"/>
      <c r="C219" s="194"/>
      <c r="D219" s="195"/>
      <c r="E219" s="193"/>
      <c r="F219" s="193">
        <f t="shared" si="9"/>
        <v>0</v>
      </c>
      <c r="G219" s="193" t="str">
        <f>IF(IFERROR(IF(Str_TypeDonneesCpt6=Cpt_Index,Tab_Compteur_6[[#This Row],[Index]]-E218,Tab_Compteur_6[[#This Row],[Quantité]])/Tab_Compteur_6[[#This Row],[Delta Jour]],"")&lt;0,"",IFERROR(IF(Str_TypeDonneesCpt6=Cpt_Index,Tab_Compteur_6[[#This Row],[Index]]-E218,Tab_Compteur_6[[#This Row],[Quantité]])/Tab_Compteur_6[[#This Row],[Delta Jour]],""))</f>
        <v/>
      </c>
      <c r="H219" s="193" t="str">
        <f>IFERROR(Tab_Compteur_6[[#This Row],[Montant]]/Tab_Compteur_6[[#This Row],[Delta Jour]],"")</f>
        <v/>
      </c>
      <c r="I219" s="219" t="str">
        <f t="shared" si="10"/>
        <v/>
      </c>
      <c r="J219" s="216"/>
      <c r="K219" s="38"/>
      <c r="L219" s="38"/>
      <c r="M219" s="38"/>
    </row>
    <row r="220" spans="1:13">
      <c r="A220" s="55">
        <f t="shared" si="11"/>
        <v>1</v>
      </c>
      <c r="B220" s="88"/>
      <c r="C220" s="194"/>
      <c r="D220" s="195"/>
      <c r="E220" s="193"/>
      <c r="F220" s="193">
        <f t="shared" si="9"/>
        <v>0</v>
      </c>
      <c r="G220" s="193" t="str">
        <f>IF(IFERROR(IF(Str_TypeDonneesCpt6=Cpt_Index,Tab_Compteur_6[[#This Row],[Index]]-E219,Tab_Compteur_6[[#This Row],[Quantité]])/Tab_Compteur_6[[#This Row],[Delta Jour]],"")&lt;0,"",IFERROR(IF(Str_TypeDonneesCpt6=Cpt_Index,Tab_Compteur_6[[#This Row],[Index]]-E219,Tab_Compteur_6[[#This Row],[Quantité]])/Tab_Compteur_6[[#This Row],[Delta Jour]],""))</f>
        <v/>
      </c>
      <c r="H220" s="193" t="str">
        <f>IFERROR(Tab_Compteur_6[[#This Row],[Montant]]/Tab_Compteur_6[[#This Row],[Delta Jour]],"")</f>
        <v/>
      </c>
      <c r="I220" s="219" t="str">
        <f t="shared" si="10"/>
        <v/>
      </c>
      <c r="J220" s="216"/>
      <c r="K220" s="38"/>
      <c r="L220" s="38"/>
      <c r="M220" s="38"/>
    </row>
    <row r="221" spans="1:13">
      <c r="A221" s="55">
        <f t="shared" si="11"/>
        <v>1</v>
      </c>
      <c r="B221" s="88"/>
      <c r="C221" s="194"/>
      <c r="D221" s="195"/>
      <c r="E221" s="193"/>
      <c r="F221" s="193">
        <f t="shared" si="9"/>
        <v>0</v>
      </c>
      <c r="G221" s="193" t="str">
        <f>IF(IFERROR(IF(Str_TypeDonneesCpt6=Cpt_Index,Tab_Compteur_6[[#This Row],[Index]]-E220,Tab_Compteur_6[[#This Row],[Quantité]])/Tab_Compteur_6[[#This Row],[Delta Jour]],"")&lt;0,"",IFERROR(IF(Str_TypeDonneesCpt6=Cpt_Index,Tab_Compteur_6[[#This Row],[Index]]-E220,Tab_Compteur_6[[#This Row],[Quantité]])/Tab_Compteur_6[[#This Row],[Delta Jour]],""))</f>
        <v/>
      </c>
      <c r="H221" s="193" t="str">
        <f>IFERROR(Tab_Compteur_6[[#This Row],[Montant]]/Tab_Compteur_6[[#This Row],[Delta Jour]],"")</f>
        <v/>
      </c>
      <c r="I221" s="219" t="str">
        <f t="shared" si="10"/>
        <v/>
      </c>
      <c r="J221" s="216"/>
      <c r="K221" s="38"/>
      <c r="L221" s="38"/>
      <c r="M221" s="38"/>
    </row>
    <row r="222" spans="1:13">
      <c r="A222" s="55">
        <f t="shared" si="11"/>
        <v>1</v>
      </c>
      <c r="B222" s="88"/>
      <c r="C222" s="194"/>
      <c r="D222" s="195"/>
      <c r="E222" s="193"/>
      <c r="F222" s="193">
        <f t="shared" si="9"/>
        <v>0</v>
      </c>
      <c r="G222" s="193" t="str">
        <f>IF(IFERROR(IF(Str_TypeDonneesCpt6=Cpt_Index,Tab_Compteur_6[[#This Row],[Index]]-E221,Tab_Compteur_6[[#This Row],[Quantité]])/Tab_Compteur_6[[#This Row],[Delta Jour]],"")&lt;0,"",IFERROR(IF(Str_TypeDonneesCpt6=Cpt_Index,Tab_Compteur_6[[#This Row],[Index]]-E221,Tab_Compteur_6[[#This Row],[Quantité]])/Tab_Compteur_6[[#This Row],[Delta Jour]],""))</f>
        <v/>
      </c>
      <c r="H222" s="193" t="str">
        <f>IFERROR(Tab_Compteur_6[[#This Row],[Montant]]/Tab_Compteur_6[[#This Row],[Delta Jour]],"")</f>
        <v/>
      </c>
      <c r="I222" s="219" t="str">
        <f t="shared" si="10"/>
        <v/>
      </c>
      <c r="J222" s="216"/>
      <c r="K222" s="38"/>
      <c r="L222" s="38"/>
      <c r="M222" s="38"/>
    </row>
    <row r="223" spans="1:13">
      <c r="A223" s="55">
        <f t="shared" si="11"/>
        <v>1</v>
      </c>
      <c r="B223" s="88"/>
      <c r="C223" s="194"/>
      <c r="D223" s="195"/>
      <c r="E223" s="193"/>
      <c r="F223" s="193">
        <f t="shared" si="9"/>
        <v>0</v>
      </c>
      <c r="G223" s="193" t="str">
        <f>IF(IFERROR(IF(Str_TypeDonneesCpt6=Cpt_Index,Tab_Compteur_6[[#This Row],[Index]]-E222,Tab_Compteur_6[[#This Row],[Quantité]])/Tab_Compteur_6[[#This Row],[Delta Jour]],"")&lt;0,"",IFERROR(IF(Str_TypeDonneesCpt6=Cpt_Index,Tab_Compteur_6[[#This Row],[Index]]-E222,Tab_Compteur_6[[#This Row],[Quantité]])/Tab_Compteur_6[[#This Row],[Delta Jour]],""))</f>
        <v/>
      </c>
      <c r="H223" s="193" t="str">
        <f>IFERROR(Tab_Compteur_6[[#This Row],[Montant]]/Tab_Compteur_6[[#This Row],[Delta Jour]],"")</f>
        <v/>
      </c>
      <c r="I223" s="219" t="str">
        <f t="shared" si="10"/>
        <v/>
      </c>
      <c r="J223" s="216"/>
      <c r="K223" s="38"/>
      <c r="L223" s="38"/>
      <c r="M223" s="38"/>
    </row>
    <row r="224" spans="1:13">
      <c r="A224" s="55">
        <f t="shared" si="11"/>
        <v>1</v>
      </c>
      <c r="B224" s="88"/>
      <c r="C224" s="194"/>
      <c r="D224" s="195"/>
      <c r="E224" s="193"/>
      <c r="F224" s="193">
        <f t="shared" si="9"/>
        <v>0</v>
      </c>
      <c r="G224" s="193" t="str">
        <f>IF(IFERROR(IF(Str_TypeDonneesCpt6=Cpt_Index,Tab_Compteur_6[[#This Row],[Index]]-E223,Tab_Compteur_6[[#This Row],[Quantité]])/Tab_Compteur_6[[#This Row],[Delta Jour]],"")&lt;0,"",IFERROR(IF(Str_TypeDonneesCpt6=Cpt_Index,Tab_Compteur_6[[#This Row],[Index]]-E223,Tab_Compteur_6[[#This Row],[Quantité]])/Tab_Compteur_6[[#This Row],[Delta Jour]],""))</f>
        <v/>
      </c>
      <c r="H224" s="193" t="str">
        <f>IFERROR(Tab_Compteur_6[[#This Row],[Montant]]/Tab_Compteur_6[[#This Row],[Delta Jour]],"")</f>
        <v/>
      </c>
      <c r="I224" s="219" t="str">
        <f t="shared" si="10"/>
        <v/>
      </c>
      <c r="J224" s="216"/>
      <c r="K224" s="38"/>
      <c r="L224" s="38"/>
      <c r="M224" s="38"/>
    </row>
    <row r="225" spans="1:13">
      <c r="A225" s="55">
        <f t="shared" si="11"/>
        <v>1</v>
      </c>
      <c r="B225" s="88"/>
      <c r="C225" s="194"/>
      <c r="D225" s="195"/>
      <c r="E225" s="193"/>
      <c r="F225" s="193">
        <f t="shared" si="9"/>
        <v>0</v>
      </c>
      <c r="G225" s="193" t="str">
        <f>IF(IFERROR(IF(Str_TypeDonneesCpt6=Cpt_Index,Tab_Compteur_6[[#This Row],[Index]]-E224,Tab_Compteur_6[[#This Row],[Quantité]])/Tab_Compteur_6[[#This Row],[Delta Jour]],"")&lt;0,"",IFERROR(IF(Str_TypeDonneesCpt6=Cpt_Index,Tab_Compteur_6[[#This Row],[Index]]-E224,Tab_Compteur_6[[#This Row],[Quantité]])/Tab_Compteur_6[[#This Row],[Delta Jour]],""))</f>
        <v/>
      </c>
      <c r="H225" s="193" t="str">
        <f>IFERROR(Tab_Compteur_6[[#This Row],[Montant]]/Tab_Compteur_6[[#This Row],[Delta Jour]],"")</f>
        <v/>
      </c>
      <c r="I225" s="219" t="str">
        <f t="shared" si="10"/>
        <v/>
      </c>
      <c r="J225" s="216"/>
      <c r="K225" s="38"/>
      <c r="L225" s="38"/>
      <c r="M225" s="38"/>
    </row>
    <row r="226" spans="1:13">
      <c r="A226" s="55">
        <f t="shared" si="11"/>
        <v>1</v>
      </c>
      <c r="B226" s="88"/>
      <c r="C226" s="194"/>
      <c r="D226" s="195"/>
      <c r="E226" s="193"/>
      <c r="F226" s="193">
        <f t="shared" si="9"/>
        <v>0</v>
      </c>
      <c r="G226" s="193" t="str">
        <f>IF(IFERROR(IF(Str_TypeDonneesCpt6=Cpt_Index,Tab_Compteur_6[[#This Row],[Index]]-E225,Tab_Compteur_6[[#This Row],[Quantité]])/Tab_Compteur_6[[#This Row],[Delta Jour]],"")&lt;0,"",IFERROR(IF(Str_TypeDonneesCpt6=Cpt_Index,Tab_Compteur_6[[#This Row],[Index]]-E225,Tab_Compteur_6[[#This Row],[Quantité]])/Tab_Compteur_6[[#This Row],[Delta Jour]],""))</f>
        <v/>
      </c>
      <c r="H226" s="193" t="str">
        <f>IFERROR(Tab_Compteur_6[[#This Row],[Montant]]/Tab_Compteur_6[[#This Row],[Delta Jour]],"")</f>
        <v/>
      </c>
      <c r="I226" s="219" t="str">
        <f t="shared" si="10"/>
        <v/>
      </c>
      <c r="J226" s="216"/>
      <c r="K226" s="38"/>
      <c r="L226" s="38"/>
      <c r="M226" s="38"/>
    </row>
    <row r="227" spans="1:13">
      <c r="A227" s="55">
        <f t="shared" si="11"/>
        <v>1</v>
      </c>
      <c r="B227" s="88"/>
      <c r="C227" s="194"/>
      <c r="D227" s="195"/>
      <c r="E227" s="193"/>
      <c r="F227" s="193">
        <f t="shared" si="9"/>
        <v>0</v>
      </c>
      <c r="G227" s="193" t="str">
        <f>IF(IFERROR(IF(Str_TypeDonneesCpt6=Cpt_Index,Tab_Compteur_6[[#This Row],[Index]]-E226,Tab_Compteur_6[[#This Row],[Quantité]])/Tab_Compteur_6[[#This Row],[Delta Jour]],"")&lt;0,"",IFERROR(IF(Str_TypeDonneesCpt6=Cpt_Index,Tab_Compteur_6[[#This Row],[Index]]-E226,Tab_Compteur_6[[#This Row],[Quantité]])/Tab_Compteur_6[[#This Row],[Delta Jour]],""))</f>
        <v/>
      </c>
      <c r="H227" s="193" t="str">
        <f>IFERROR(Tab_Compteur_6[[#This Row],[Montant]]/Tab_Compteur_6[[#This Row],[Delta Jour]],"")</f>
        <v/>
      </c>
      <c r="I227" s="219" t="str">
        <f t="shared" si="10"/>
        <v/>
      </c>
      <c r="J227" s="216"/>
      <c r="K227" s="38"/>
      <c r="L227" s="38"/>
      <c r="M227" s="38"/>
    </row>
    <row r="228" spans="1:13">
      <c r="A228" s="55">
        <f t="shared" si="11"/>
        <v>1</v>
      </c>
      <c r="B228" s="88"/>
      <c r="C228" s="194"/>
      <c r="D228" s="195"/>
      <c r="E228" s="193"/>
      <c r="F228" s="193">
        <f t="shared" si="9"/>
        <v>0</v>
      </c>
      <c r="G228" s="193" t="str">
        <f>IF(IFERROR(IF(Str_TypeDonneesCpt6=Cpt_Index,Tab_Compteur_6[[#This Row],[Index]]-E227,Tab_Compteur_6[[#This Row],[Quantité]])/Tab_Compteur_6[[#This Row],[Delta Jour]],"")&lt;0,"",IFERROR(IF(Str_TypeDonneesCpt6=Cpt_Index,Tab_Compteur_6[[#This Row],[Index]]-E227,Tab_Compteur_6[[#This Row],[Quantité]])/Tab_Compteur_6[[#This Row],[Delta Jour]],""))</f>
        <v/>
      </c>
      <c r="H228" s="193" t="str">
        <f>IFERROR(Tab_Compteur_6[[#This Row],[Montant]]/Tab_Compteur_6[[#This Row],[Delta Jour]],"")</f>
        <v/>
      </c>
      <c r="I228" s="219" t="str">
        <f t="shared" si="10"/>
        <v/>
      </c>
      <c r="J228" s="216"/>
      <c r="K228" s="38"/>
      <c r="L228" s="38"/>
      <c r="M228" s="38"/>
    </row>
    <row r="229" spans="1:13">
      <c r="A229" s="55">
        <f t="shared" si="11"/>
        <v>1</v>
      </c>
      <c r="B229" s="88"/>
      <c r="C229" s="194"/>
      <c r="D229" s="195"/>
      <c r="E229" s="193"/>
      <c r="F229" s="193">
        <f t="shared" si="9"/>
        <v>0</v>
      </c>
      <c r="G229" s="193" t="str">
        <f>IF(IFERROR(IF(Str_TypeDonneesCpt6=Cpt_Index,Tab_Compteur_6[[#This Row],[Index]]-E228,Tab_Compteur_6[[#This Row],[Quantité]])/Tab_Compteur_6[[#This Row],[Delta Jour]],"")&lt;0,"",IFERROR(IF(Str_TypeDonneesCpt6=Cpt_Index,Tab_Compteur_6[[#This Row],[Index]]-E228,Tab_Compteur_6[[#This Row],[Quantité]])/Tab_Compteur_6[[#This Row],[Delta Jour]],""))</f>
        <v/>
      </c>
      <c r="H229" s="193" t="str">
        <f>IFERROR(Tab_Compteur_6[[#This Row],[Montant]]/Tab_Compteur_6[[#This Row],[Delta Jour]],"")</f>
        <v/>
      </c>
      <c r="I229" s="219" t="str">
        <f t="shared" si="10"/>
        <v/>
      </c>
      <c r="J229" s="216"/>
      <c r="K229" s="38"/>
      <c r="L229" s="38"/>
      <c r="M229" s="38"/>
    </row>
    <row r="230" spans="1:13">
      <c r="A230" s="55">
        <f t="shared" si="11"/>
        <v>1</v>
      </c>
      <c r="B230" s="88"/>
      <c r="C230" s="194"/>
      <c r="D230" s="195"/>
      <c r="E230" s="193"/>
      <c r="F230" s="193">
        <f t="shared" si="9"/>
        <v>0</v>
      </c>
      <c r="G230" s="193" t="str">
        <f>IF(IFERROR(IF(Str_TypeDonneesCpt6=Cpt_Index,Tab_Compteur_6[[#This Row],[Index]]-E229,Tab_Compteur_6[[#This Row],[Quantité]])/Tab_Compteur_6[[#This Row],[Delta Jour]],"")&lt;0,"",IFERROR(IF(Str_TypeDonneesCpt6=Cpt_Index,Tab_Compteur_6[[#This Row],[Index]]-E229,Tab_Compteur_6[[#This Row],[Quantité]])/Tab_Compteur_6[[#This Row],[Delta Jour]],""))</f>
        <v/>
      </c>
      <c r="H230" s="193" t="str">
        <f>IFERROR(Tab_Compteur_6[[#This Row],[Montant]]/Tab_Compteur_6[[#This Row],[Delta Jour]],"")</f>
        <v/>
      </c>
      <c r="I230" s="219" t="str">
        <f t="shared" si="10"/>
        <v/>
      </c>
      <c r="J230" s="216"/>
      <c r="K230" s="38"/>
      <c r="L230" s="38"/>
      <c r="M230" s="38"/>
    </row>
    <row r="231" spans="1:13">
      <c r="A231" s="55">
        <f t="shared" si="11"/>
        <v>1</v>
      </c>
      <c r="B231" s="88"/>
      <c r="C231" s="194"/>
      <c r="D231" s="195"/>
      <c r="E231" s="193"/>
      <c r="F231" s="193">
        <f t="shared" si="9"/>
        <v>0</v>
      </c>
      <c r="G231" s="193" t="str">
        <f>IF(IFERROR(IF(Str_TypeDonneesCpt6=Cpt_Index,Tab_Compteur_6[[#This Row],[Index]]-E230,Tab_Compteur_6[[#This Row],[Quantité]])/Tab_Compteur_6[[#This Row],[Delta Jour]],"")&lt;0,"",IFERROR(IF(Str_TypeDonneesCpt6=Cpt_Index,Tab_Compteur_6[[#This Row],[Index]]-E230,Tab_Compteur_6[[#This Row],[Quantité]])/Tab_Compteur_6[[#This Row],[Delta Jour]],""))</f>
        <v/>
      </c>
      <c r="H231" s="193" t="str">
        <f>IFERROR(Tab_Compteur_6[[#This Row],[Montant]]/Tab_Compteur_6[[#This Row],[Delta Jour]],"")</f>
        <v/>
      </c>
      <c r="I231" s="219" t="str">
        <f t="shared" si="10"/>
        <v/>
      </c>
      <c r="J231" s="216"/>
      <c r="K231" s="38"/>
      <c r="L231" s="38"/>
      <c r="M231" s="38"/>
    </row>
    <row r="232" spans="1:13">
      <c r="A232" s="55">
        <f t="shared" si="11"/>
        <v>1</v>
      </c>
      <c r="B232" s="88"/>
      <c r="C232" s="194"/>
      <c r="D232" s="195"/>
      <c r="E232" s="193"/>
      <c r="F232" s="193">
        <f t="shared" si="9"/>
        <v>0</v>
      </c>
      <c r="G232" s="193" t="str">
        <f>IF(IFERROR(IF(Str_TypeDonneesCpt6=Cpt_Index,Tab_Compteur_6[[#This Row],[Index]]-E231,Tab_Compteur_6[[#This Row],[Quantité]])/Tab_Compteur_6[[#This Row],[Delta Jour]],"")&lt;0,"",IFERROR(IF(Str_TypeDonneesCpt6=Cpt_Index,Tab_Compteur_6[[#This Row],[Index]]-E231,Tab_Compteur_6[[#This Row],[Quantité]])/Tab_Compteur_6[[#This Row],[Delta Jour]],""))</f>
        <v/>
      </c>
      <c r="H232" s="193" t="str">
        <f>IFERROR(Tab_Compteur_6[[#This Row],[Montant]]/Tab_Compteur_6[[#This Row],[Delta Jour]],"")</f>
        <v/>
      </c>
      <c r="I232" s="219" t="str">
        <f t="shared" si="10"/>
        <v/>
      </c>
      <c r="J232" s="216"/>
      <c r="K232" s="38"/>
      <c r="L232" s="38"/>
      <c r="M232" s="38"/>
    </row>
    <row r="233" spans="1:13">
      <c r="A233" s="55">
        <f t="shared" si="11"/>
        <v>1</v>
      </c>
      <c r="B233" s="88"/>
      <c r="C233" s="194"/>
      <c r="D233" s="195"/>
      <c r="E233" s="193"/>
      <c r="F233" s="193">
        <f t="shared" si="9"/>
        <v>0</v>
      </c>
      <c r="G233" s="193" t="str">
        <f>IF(IFERROR(IF(Str_TypeDonneesCpt6=Cpt_Index,Tab_Compteur_6[[#This Row],[Index]]-E232,Tab_Compteur_6[[#This Row],[Quantité]])/Tab_Compteur_6[[#This Row],[Delta Jour]],"")&lt;0,"",IFERROR(IF(Str_TypeDonneesCpt6=Cpt_Index,Tab_Compteur_6[[#This Row],[Index]]-E232,Tab_Compteur_6[[#This Row],[Quantité]])/Tab_Compteur_6[[#This Row],[Delta Jour]],""))</f>
        <v/>
      </c>
      <c r="H233" s="193" t="str">
        <f>IFERROR(Tab_Compteur_6[[#This Row],[Montant]]/Tab_Compteur_6[[#This Row],[Delta Jour]],"")</f>
        <v/>
      </c>
      <c r="I233" s="219" t="str">
        <f t="shared" si="10"/>
        <v/>
      </c>
      <c r="J233" s="216"/>
      <c r="K233" s="38"/>
      <c r="L233" s="38"/>
      <c r="M233" s="38"/>
    </row>
    <row r="234" spans="1:13">
      <c r="A234" s="55">
        <f t="shared" si="11"/>
        <v>1</v>
      </c>
      <c r="B234" s="88"/>
      <c r="C234" s="194"/>
      <c r="D234" s="195"/>
      <c r="E234" s="193"/>
      <c r="F234" s="193">
        <f t="shared" si="9"/>
        <v>0</v>
      </c>
      <c r="G234" s="193" t="str">
        <f>IF(IFERROR(IF(Str_TypeDonneesCpt6=Cpt_Index,Tab_Compteur_6[[#This Row],[Index]]-E233,Tab_Compteur_6[[#This Row],[Quantité]])/Tab_Compteur_6[[#This Row],[Delta Jour]],"")&lt;0,"",IFERROR(IF(Str_TypeDonneesCpt6=Cpt_Index,Tab_Compteur_6[[#This Row],[Index]]-E233,Tab_Compteur_6[[#This Row],[Quantité]])/Tab_Compteur_6[[#This Row],[Delta Jour]],""))</f>
        <v/>
      </c>
      <c r="H234" s="193" t="str">
        <f>IFERROR(Tab_Compteur_6[[#This Row],[Montant]]/Tab_Compteur_6[[#This Row],[Delta Jour]],"")</f>
        <v/>
      </c>
      <c r="I234" s="219" t="str">
        <f t="shared" si="10"/>
        <v/>
      </c>
      <c r="J234" s="216"/>
      <c r="K234" s="38"/>
      <c r="L234" s="38"/>
      <c r="M234" s="38"/>
    </row>
    <row r="235" spans="1:13">
      <c r="A235" s="55">
        <f t="shared" si="11"/>
        <v>1</v>
      </c>
      <c r="B235" s="88"/>
      <c r="C235" s="194"/>
      <c r="D235" s="195"/>
      <c r="E235" s="193"/>
      <c r="F235" s="193">
        <f t="shared" si="9"/>
        <v>0</v>
      </c>
      <c r="G235" s="193" t="str">
        <f>IF(IFERROR(IF(Str_TypeDonneesCpt6=Cpt_Index,Tab_Compteur_6[[#This Row],[Index]]-E234,Tab_Compteur_6[[#This Row],[Quantité]])/Tab_Compteur_6[[#This Row],[Delta Jour]],"")&lt;0,"",IFERROR(IF(Str_TypeDonneesCpt6=Cpt_Index,Tab_Compteur_6[[#This Row],[Index]]-E234,Tab_Compteur_6[[#This Row],[Quantité]])/Tab_Compteur_6[[#This Row],[Delta Jour]],""))</f>
        <v/>
      </c>
      <c r="H235" s="193" t="str">
        <f>IFERROR(Tab_Compteur_6[[#This Row],[Montant]]/Tab_Compteur_6[[#This Row],[Delta Jour]],"")</f>
        <v/>
      </c>
      <c r="I235" s="219" t="str">
        <f t="shared" si="10"/>
        <v/>
      </c>
      <c r="J235" s="216"/>
      <c r="K235" s="38"/>
      <c r="L235" s="38"/>
      <c r="M235" s="38"/>
    </row>
    <row r="236" spans="1:13">
      <c r="A236" s="55">
        <f t="shared" si="11"/>
        <v>1</v>
      </c>
      <c r="B236" s="88"/>
      <c r="C236" s="194"/>
      <c r="D236" s="195"/>
      <c r="E236" s="193"/>
      <c r="F236" s="193">
        <f t="shared" si="9"/>
        <v>0</v>
      </c>
      <c r="G236" s="193" t="str">
        <f>IF(IFERROR(IF(Str_TypeDonneesCpt6=Cpt_Index,Tab_Compteur_6[[#This Row],[Index]]-E235,Tab_Compteur_6[[#This Row],[Quantité]])/Tab_Compteur_6[[#This Row],[Delta Jour]],"")&lt;0,"",IFERROR(IF(Str_TypeDonneesCpt6=Cpt_Index,Tab_Compteur_6[[#This Row],[Index]]-E235,Tab_Compteur_6[[#This Row],[Quantité]])/Tab_Compteur_6[[#This Row],[Delta Jour]],""))</f>
        <v/>
      </c>
      <c r="H236" s="193" t="str">
        <f>IFERROR(Tab_Compteur_6[[#This Row],[Montant]]/Tab_Compteur_6[[#This Row],[Delta Jour]],"")</f>
        <v/>
      </c>
      <c r="I236" s="219" t="str">
        <f t="shared" si="10"/>
        <v/>
      </c>
      <c r="J236" s="216"/>
      <c r="K236" s="38"/>
      <c r="L236" s="38"/>
      <c r="M236" s="38"/>
    </row>
    <row r="237" spans="1:13">
      <c r="A237" s="55">
        <f t="shared" si="11"/>
        <v>1</v>
      </c>
      <c r="B237" s="88"/>
      <c r="C237" s="194"/>
      <c r="D237" s="195"/>
      <c r="E237" s="193"/>
      <c r="F237" s="193">
        <f t="shared" si="9"/>
        <v>0</v>
      </c>
      <c r="G237" s="193" t="str">
        <f>IF(IFERROR(IF(Str_TypeDonneesCpt6=Cpt_Index,Tab_Compteur_6[[#This Row],[Index]]-E236,Tab_Compteur_6[[#This Row],[Quantité]])/Tab_Compteur_6[[#This Row],[Delta Jour]],"")&lt;0,"",IFERROR(IF(Str_TypeDonneesCpt6=Cpt_Index,Tab_Compteur_6[[#This Row],[Index]]-E236,Tab_Compteur_6[[#This Row],[Quantité]])/Tab_Compteur_6[[#This Row],[Delta Jour]],""))</f>
        <v/>
      </c>
      <c r="H237" s="193" t="str">
        <f>IFERROR(Tab_Compteur_6[[#This Row],[Montant]]/Tab_Compteur_6[[#This Row],[Delta Jour]],"")</f>
        <v/>
      </c>
      <c r="I237" s="219" t="str">
        <f t="shared" si="10"/>
        <v/>
      </c>
      <c r="J237" s="216"/>
      <c r="K237" s="38"/>
      <c r="L237" s="38"/>
      <c r="M237" s="38"/>
    </row>
    <row r="238" spans="1:13">
      <c r="A238" s="55">
        <f t="shared" si="11"/>
        <v>1</v>
      </c>
      <c r="B238" s="88"/>
      <c r="C238" s="194"/>
      <c r="D238" s="195"/>
      <c r="E238" s="193"/>
      <c r="F238" s="193">
        <f t="shared" si="9"/>
        <v>0</v>
      </c>
      <c r="G238" s="193" t="str">
        <f>IF(IFERROR(IF(Str_TypeDonneesCpt6=Cpt_Index,Tab_Compteur_6[[#This Row],[Index]]-E237,Tab_Compteur_6[[#This Row],[Quantité]])/Tab_Compteur_6[[#This Row],[Delta Jour]],"")&lt;0,"",IFERROR(IF(Str_TypeDonneesCpt6=Cpt_Index,Tab_Compteur_6[[#This Row],[Index]]-E237,Tab_Compteur_6[[#This Row],[Quantité]])/Tab_Compteur_6[[#This Row],[Delta Jour]],""))</f>
        <v/>
      </c>
      <c r="H238" s="193" t="str">
        <f>IFERROR(Tab_Compteur_6[[#This Row],[Montant]]/Tab_Compteur_6[[#This Row],[Delta Jour]],"")</f>
        <v/>
      </c>
      <c r="I238" s="219" t="str">
        <f t="shared" si="10"/>
        <v/>
      </c>
      <c r="J238" s="216"/>
      <c r="K238" s="38"/>
      <c r="L238" s="38"/>
      <c r="M238" s="38"/>
    </row>
    <row r="239" spans="1:13">
      <c r="A239" s="55">
        <f t="shared" si="11"/>
        <v>1</v>
      </c>
      <c r="B239" s="88"/>
      <c r="C239" s="194"/>
      <c r="D239" s="195"/>
      <c r="E239" s="193"/>
      <c r="F239" s="193">
        <f t="shared" si="9"/>
        <v>0</v>
      </c>
      <c r="G239" s="193" t="str">
        <f>IF(IFERROR(IF(Str_TypeDonneesCpt6=Cpt_Index,Tab_Compteur_6[[#This Row],[Index]]-E238,Tab_Compteur_6[[#This Row],[Quantité]])/Tab_Compteur_6[[#This Row],[Delta Jour]],"")&lt;0,"",IFERROR(IF(Str_TypeDonneesCpt6=Cpt_Index,Tab_Compteur_6[[#This Row],[Index]]-E238,Tab_Compteur_6[[#This Row],[Quantité]])/Tab_Compteur_6[[#This Row],[Delta Jour]],""))</f>
        <v/>
      </c>
      <c r="H239" s="193" t="str">
        <f>IFERROR(Tab_Compteur_6[[#This Row],[Montant]]/Tab_Compteur_6[[#This Row],[Delta Jour]],"")</f>
        <v/>
      </c>
      <c r="I239" s="219" t="str">
        <f t="shared" si="10"/>
        <v/>
      </c>
      <c r="J239" s="216"/>
      <c r="K239" s="38"/>
      <c r="L239" s="38"/>
      <c r="M239" s="38"/>
    </row>
    <row r="240" spans="1:13">
      <c r="A240" s="55">
        <f t="shared" si="11"/>
        <v>1</v>
      </c>
      <c r="B240" s="88"/>
      <c r="C240" s="194"/>
      <c r="D240" s="195"/>
      <c r="E240" s="193"/>
      <c r="F240" s="193">
        <f t="shared" si="9"/>
        <v>0</v>
      </c>
      <c r="G240" s="193" t="str">
        <f>IF(IFERROR(IF(Str_TypeDonneesCpt6=Cpt_Index,Tab_Compteur_6[[#This Row],[Index]]-E239,Tab_Compteur_6[[#This Row],[Quantité]])/Tab_Compteur_6[[#This Row],[Delta Jour]],"")&lt;0,"",IFERROR(IF(Str_TypeDonneesCpt6=Cpt_Index,Tab_Compteur_6[[#This Row],[Index]]-E239,Tab_Compteur_6[[#This Row],[Quantité]])/Tab_Compteur_6[[#This Row],[Delta Jour]],""))</f>
        <v/>
      </c>
      <c r="H240" s="193" t="str">
        <f>IFERROR(Tab_Compteur_6[[#This Row],[Montant]]/Tab_Compteur_6[[#This Row],[Delta Jour]],"")</f>
        <v/>
      </c>
      <c r="I240" s="219" t="str">
        <f t="shared" si="10"/>
        <v/>
      </c>
      <c r="J240" s="216"/>
      <c r="K240" s="38"/>
      <c r="L240" s="38"/>
      <c r="M240" s="38"/>
    </row>
    <row r="241" spans="1:13">
      <c r="A241" s="55">
        <f t="shared" si="11"/>
        <v>1</v>
      </c>
      <c r="B241" s="88"/>
      <c r="C241" s="194"/>
      <c r="D241" s="195"/>
      <c r="E241" s="193"/>
      <c r="F241" s="193">
        <f t="shared" si="9"/>
        <v>0</v>
      </c>
      <c r="G241" s="193" t="str">
        <f>IF(IFERROR(IF(Str_TypeDonneesCpt6=Cpt_Index,Tab_Compteur_6[[#This Row],[Index]]-E240,Tab_Compteur_6[[#This Row],[Quantité]])/Tab_Compteur_6[[#This Row],[Delta Jour]],"")&lt;0,"",IFERROR(IF(Str_TypeDonneesCpt6=Cpt_Index,Tab_Compteur_6[[#This Row],[Index]]-E240,Tab_Compteur_6[[#This Row],[Quantité]])/Tab_Compteur_6[[#This Row],[Delta Jour]],""))</f>
        <v/>
      </c>
      <c r="H241" s="193" t="str">
        <f>IFERROR(Tab_Compteur_6[[#This Row],[Montant]]/Tab_Compteur_6[[#This Row],[Delta Jour]],"")</f>
        <v/>
      </c>
      <c r="I241" s="219" t="str">
        <f t="shared" si="10"/>
        <v/>
      </c>
      <c r="J241" s="216"/>
      <c r="K241" s="38"/>
      <c r="L241" s="38"/>
      <c r="M241" s="38"/>
    </row>
    <row r="242" spans="1:13">
      <c r="A242" s="55">
        <f t="shared" si="11"/>
        <v>1</v>
      </c>
      <c r="B242" s="88"/>
      <c r="C242" s="194"/>
      <c r="D242" s="195"/>
      <c r="E242" s="193"/>
      <c r="F242" s="193">
        <f t="shared" si="9"/>
        <v>0</v>
      </c>
      <c r="G242" s="193" t="str">
        <f>IF(IFERROR(IF(Str_TypeDonneesCpt6=Cpt_Index,Tab_Compteur_6[[#This Row],[Index]]-E241,Tab_Compteur_6[[#This Row],[Quantité]])/Tab_Compteur_6[[#This Row],[Delta Jour]],"")&lt;0,"",IFERROR(IF(Str_TypeDonneesCpt6=Cpt_Index,Tab_Compteur_6[[#This Row],[Index]]-E241,Tab_Compteur_6[[#This Row],[Quantité]])/Tab_Compteur_6[[#This Row],[Delta Jour]],""))</f>
        <v/>
      </c>
      <c r="H242" s="193" t="str">
        <f>IFERROR(Tab_Compteur_6[[#This Row],[Montant]]/Tab_Compteur_6[[#This Row],[Delta Jour]],"")</f>
        <v/>
      </c>
      <c r="I242" s="219" t="str">
        <f t="shared" si="10"/>
        <v/>
      </c>
      <c r="J242" s="216"/>
      <c r="K242" s="38"/>
      <c r="L242" s="38"/>
      <c r="M242" s="38"/>
    </row>
    <row r="243" spans="1:13">
      <c r="A243" s="55">
        <f t="shared" si="11"/>
        <v>1</v>
      </c>
      <c r="B243" s="88"/>
      <c r="C243" s="194"/>
      <c r="D243" s="195"/>
      <c r="E243" s="193"/>
      <c r="F243" s="193">
        <f t="shared" si="9"/>
        <v>0</v>
      </c>
      <c r="G243" s="193" t="str">
        <f>IF(IFERROR(IF(Str_TypeDonneesCpt6=Cpt_Index,Tab_Compteur_6[[#This Row],[Index]]-E242,Tab_Compteur_6[[#This Row],[Quantité]])/Tab_Compteur_6[[#This Row],[Delta Jour]],"")&lt;0,"",IFERROR(IF(Str_TypeDonneesCpt6=Cpt_Index,Tab_Compteur_6[[#This Row],[Index]]-E242,Tab_Compteur_6[[#This Row],[Quantité]])/Tab_Compteur_6[[#This Row],[Delta Jour]],""))</f>
        <v/>
      </c>
      <c r="H243" s="193" t="str">
        <f>IFERROR(Tab_Compteur_6[[#This Row],[Montant]]/Tab_Compteur_6[[#This Row],[Delta Jour]],"")</f>
        <v/>
      </c>
      <c r="I243" s="219" t="str">
        <f t="shared" si="10"/>
        <v/>
      </c>
      <c r="J243" s="216"/>
      <c r="K243" s="38"/>
      <c r="L243" s="38"/>
      <c r="M243" s="38"/>
    </row>
  </sheetData>
  <sheetProtection sheet="1" objects="1" scenarios="1"/>
  <protectedRanges>
    <protectedRange sqref="K5:M7 L2:M2 B177:D243 J34:M243 J8:M10 J2:J7 K3:M3 A244:D1048576 K244:N1048576" name="Données_compteur6"/>
    <protectedRange sqref="A4:A243" name="Données_compteur3_1"/>
    <protectedRange sqref="J11:M33" name="Données_compteur3_3_1"/>
    <protectedRange sqref="E2" name="Compteur_1_1"/>
    <protectedRange sqref="I2" name="Compteur_1_1_1"/>
    <protectedRange sqref="K4:M4" name="Compteur_1"/>
    <protectedRange sqref="L1 E1 I1" name="Compteur_1_2"/>
    <protectedRange sqref="C4:D15" name="Données_compteur2_1_2_1_1"/>
    <protectedRange sqref="C16:C47 D16:D143" name="Données_compteur2_1_2"/>
    <protectedRange sqref="C48:C143" name="Données_compteur2_3"/>
    <protectedRange sqref="D144:D147" name="Données_compteur2_1_1"/>
    <protectedRange sqref="C144:C147" name="Données_compteur2_2"/>
    <protectedRange sqref="D148:D171" name="Données_compteur2_1_2_1"/>
    <protectedRange sqref="C148:C171" name="Données_compteur2_3_1"/>
    <protectedRange sqref="B4:B176 D172:D176" name="Données_compteur2_1"/>
    <protectedRange sqref="C172:C176" name="Données_compteur2"/>
  </protectedRanges>
  <mergeCells count="2">
    <mergeCell ref="L2:M2"/>
    <mergeCell ref="K11:M33"/>
  </mergeCells>
  <conditionalFormatting sqref="B4:B243">
    <cfRule type="expression" dxfId="55"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0"/>
  <dimension ref="A1:O243"/>
  <sheetViews>
    <sheetView workbookViewId="0">
      <selection activeCell="B4" sqref="B4:E10"/>
    </sheetView>
  </sheetViews>
  <sheetFormatPr baseColWidth="10" defaultColWidth="0" defaultRowHeight="14.5" zeroHeight="1"/>
  <cols>
    <col min="1" max="1" width="18.453125" customWidth="1"/>
    <col min="2" max="2" width="14.1796875" style="193" customWidth="1"/>
    <col min="3" max="3" width="13.81640625" style="256" customWidth="1"/>
    <col min="4" max="4" width="15.453125" style="275" customWidth="1"/>
    <col min="5" max="5" width="11.453125" style="256" customWidth="1"/>
    <col min="6" max="6" width="11.54296875" style="256" hidden="1" customWidth="1"/>
    <col min="7" max="8" width="11.453125" style="256" hidden="1" customWidth="1"/>
    <col min="9" max="9" width="10.90625" customWidth="1"/>
    <col min="10" max="10" width="13.7265625" style="215" customWidth="1"/>
    <col min="11" max="11" width="21.7265625" customWidth="1"/>
    <col min="12" max="13" width="11.453125" customWidth="1"/>
    <col min="14" max="14" width="21.7265625" customWidth="1"/>
    <col min="15" max="15" width="0" hidden="1" customWidth="1"/>
    <col min="16" max="16384" width="11.453125" hidden="1"/>
  </cols>
  <sheetData>
    <row r="1" spans="1:13" ht="31.15" customHeight="1">
      <c r="A1" s="57" t="s">
        <v>401</v>
      </c>
      <c r="B1" s="235" t="s">
        <v>402</v>
      </c>
      <c r="C1" s="266" t="s">
        <v>403</v>
      </c>
      <c r="D1" s="267" t="str">
        <f>CONCATENATE("Montant ",Controle_des_données!$A$40)</f>
        <v>Montant TTC</v>
      </c>
      <c r="E1" s="269" t="s">
        <v>218</v>
      </c>
      <c r="F1" s="268" t="s">
        <v>404</v>
      </c>
      <c r="G1" s="269" t="s">
        <v>405</v>
      </c>
      <c r="H1" s="269" t="s">
        <v>406</v>
      </c>
      <c r="I1" s="269" t="s">
        <v>407</v>
      </c>
      <c r="J1" s="188" t="s">
        <v>408</v>
      </c>
      <c r="K1" s="178" t="s">
        <v>19</v>
      </c>
      <c r="L1" s="186" t="str">
        <f>IF(Site!C44="", "Compteur 7",Site!C44)</f>
        <v>Compteur 7</v>
      </c>
    </row>
    <row r="2" spans="1:13" ht="20.25" hidden="1" customHeight="1">
      <c r="A2" s="28" t="s">
        <v>401</v>
      </c>
      <c r="B2" s="86" t="s">
        <v>402</v>
      </c>
      <c r="C2" s="270" t="s">
        <v>403</v>
      </c>
      <c r="D2" s="271" t="s">
        <v>437</v>
      </c>
      <c r="E2" s="269" t="s">
        <v>218</v>
      </c>
      <c r="F2" s="268" t="s">
        <v>404</v>
      </c>
      <c r="G2" s="272" t="s">
        <v>405</v>
      </c>
      <c r="H2" s="273" t="s">
        <v>406</v>
      </c>
      <c r="I2" s="215" t="s">
        <v>407</v>
      </c>
      <c r="J2" s="43" t="s">
        <v>408</v>
      </c>
      <c r="K2" s="178"/>
      <c r="L2" s="574"/>
      <c r="M2" s="575"/>
    </row>
    <row r="3" spans="1:13" hidden="1">
      <c r="A3" s="3"/>
      <c r="B3" s="239">
        <f>A4-1</f>
        <v>-1</v>
      </c>
      <c r="C3" s="274">
        <v>0</v>
      </c>
      <c r="D3" s="275">
        <v>0</v>
      </c>
      <c r="F3" s="256">
        <f t="shared" ref="F3:F66" si="0">IFERROR(B3-A3+1,"")</f>
        <v>0</v>
      </c>
      <c r="G3" s="256" t="str">
        <f>IFERROR(IF(Str_TypeDonneesCpt7=Cpt_Index,Tab_Compteur_7[[#This Row],[Index]]-M6,Tab_Compteur_7[[#This Row],[Quantité]])/Tab_Compteur_7[[#This Row],[Delta Jour]],"")</f>
        <v/>
      </c>
      <c r="H3" s="256" t="str">
        <f>IFERROR(Tab_Compteur_7[[#This Row],[Montant]]/Tab_Compteur_7[[#This Row],[Delta Jour]],"")</f>
        <v/>
      </c>
      <c r="I3" s="215" t="str">
        <f t="shared" ref="I3:I66" si="1">G3</f>
        <v/>
      </c>
      <c r="J3" s="38"/>
      <c r="K3" s="38"/>
      <c r="L3" s="38"/>
      <c r="M3" s="38"/>
    </row>
    <row r="4" spans="1:13">
      <c r="A4" s="3">
        <f>Site!I44</f>
        <v>0</v>
      </c>
      <c r="B4" s="239"/>
      <c r="C4" s="194"/>
      <c r="D4" s="195"/>
      <c r="E4" s="458"/>
      <c r="F4" s="256">
        <f t="shared" si="0"/>
        <v>1</v>
      </c>
      <c r="G4" s="256">
        <f>IF(IFERROR(IF(Str_TypeDonneesCpt7=Cpt_Index,Tab_Compteur_7[[#This Row],[Index]]-M4,Tab_Compteur_7[[#This Row],[Quantité]])/Tab_Compteur_7[[#This Row],[Delta Jour]],"")&lt;0,"",IFERROR(IF(Str_TypeDonneesCpt7=Cpt_Index,Tab_Compteur_7[[#This Row],[Index]]-M4,Tab_Compteur_7[[#This Row],[Quantité]])/Tab_Compteur_7[[#This Row],[Delta Jour]],""))</f>
        <v>0</v>
      </c>
      <c r="H4" s="256">
        <f>IFERROR(Tab_Compteur_7[[#This Row],[Montant]]/Tab_Compteur_7[[#This Row],[Delta Jour]],"")</f>
        <v>0</v>
      </c>
      <c r="I4" s="215">
        <f t="shared" si="1"/>
        <v>0</v>
      </c>
      <c r="J4" s="216"/>
      <c r="K4" s="223" t="s">
        <v>409</v>
      </c>
      <c r="L4" s="178"/>
      <c r="M4" s="224">
        <v>0</v>
      </c>
    </row>
    <row r="5" spans="1:13">
      <c r="A5" s="3">
        <f>IFERROR(B4+1,0)</f>
        <v>1</v>
      </c>
      <c r="B5" s="239"/>
      <c r="C5" s="194"/>
      <c r="D5" s="195"/>
      <c r="E5" s="193"/>
      <c r="F5" s="256">
        <f t="shared" si="0"/>
        <v>0</v>
      </c>
      <c r="G5" s="256" t="str">
        <f>IF(IFERROR(IF(Str_TypeDonneesCpt7=Cpt_Index,Tab_Compteur_7[[#This Row],[Index]]-E4,Tab_Compteur_7[[#This Row],[Quantité]])/Tab_Compteur_7[[#This Row],[Delta Jour]],"")&lt;0,"",IFERROR(IF(Str_TypeDonneesCpt7=Cpt_Index,Tab_Compteur_7[[#This Row],[Index]]-E4,Tab_Compteur_7[[#This Row],[Quantité]])/Tab_Compteur_7[[#This Row],[Delta Jour]],""))</f>
        <v/>
      </c>
      <c r="H5" s="256" t="str">
        <f>IFERROR(Tab_Compteur_7[[#This Row],[Montant]]/Tab_Compteur_7[[#This Row],[Delta Jour]],"")</f>
        <v/>
      </c>
      <c r="I5" s="215" t="str">
        <f t="shared" si="1"/>
        <v/>
      </c>
      <c r="J5" s="216"/>
      <c r="K5" s="38"/>
      <c r="L5" s="38"/>
      <c r="M5" s="38"/>
    </row>
    <row r="6" spans="1:13">
      <c r="A6" s="3">
        <f t="shared" ref="A6:A69" si="2">IFERROR(B5+1,0)</f>
        <v>1</v>
      </c>
      <c r="B6" s="239"/>
      <c r="C6" s="194"/>
      <c r="D6" s="195"/>
      <c r="E6" s="193"/>
      <c r="F6" s="256">
        <f t="shared" si="0"/>
        <v>0</v>
      </c>
      <c r="G6" s="256" t="str">
        <f>IF(IFERROR(IF(Str_TypeDonneesCpt7=Cpt_Index,Tab_Compteur_7[[#This Row],[Index]]-E5,Tab_Compteur_7[[#This Row],[Quantité]])/Tab_Compteur_7[[#This Row],[Delta Jour]],"")&lt;0,"",IFERROR(IF(Str_TypeDonneesCpt7=Cpt_Index,Tab_Compteur_7[[#This Row],[Index]]-E5,Tab_Compteur_7[[#This Row],[Quantité]])/Tab_Compteur_7[[#This Row],[Delta Jour]],""))</f>
        <v/>
      </c>
      <c r="H6" s="256" t="str">
        <f>IFERROR(Tab_Compteur_7[[#This Row],[Montant]]/Tab_Compteur_7[[#This Row],[Delta Jour]],"")</f>
        <v/>
      </c>
      <c r="I6" s="215" t="str">
        <f t="shared" si="1"/>
        <v/>
      </c>
      <c r="J6" s="216"/>
      <c r="K6" s="38"/>
      <c r="L6" s="38"/>
      <c r="M6" s="38"/>
    </row>
    <row r="7" spans="1:13">
      <c r="A7" s="3">
        <f t="shared" si="2"/>
        <v>1</v>
      </c>
      <c r="B7" s="239"/>
      <c r="C7" s="194"/>
      <c r="D7" s="195"/>
      <c r="E7" s="193"/>
      <c r="F7" s="256">
        <f t="shared" si="0"/>
        <v>0</v>
      </c>
      <c r="G7" s="256" t="str">
        <f>IF(IFERROR(IF(Str_TypeDonneesCpt7=Cpt_Index,Tab_Compteur_7[[#This Row],[Index]]-E6,Tab_Compteur_7[[#This Row],[Quantité]])/Tab_Compteur_7[[#This Row],[Delta Jour]],"")&lt;0,"",IFERROR(IF(Str_TypeDonneesCpt7=Cpt_Index,Tab_Compteur_7[[#This Row],[Index]]-E6,Tab_Compteur_7[[#This Row],[Quantité]])/Tab_Compteur_7[[#This Row],[Delta Jour]],""))</f>
        <v/>
      </c>
      <c r="H7" s="256" t="str">
        <f>IFERROR(Tab_Compteur_7[[#This Row],[Montant]]/Tab_Compteur_7[[#This Row],[Delta Jour]],"")</f>
        <v/>
      </c>
      <c r="I7" s="215" t="str">
        <f t="shared" si="1"/>
        <v/>
      </c>
      <c r="J7" s="216"/>
      <c r="K7" s="38"/>
      <c r="L7" s="38"/>
      <c r="M7" s="38"/>
    </row>
    <row r="8" spans="1:13">
      <c r="A8" s="3">
        <f t="shared" si="2"/>
        <v>1</v>
      </c>
      <c r="B8" s="239"/>
      <c r="C8" s="194"/>
      <c r="D8" s="195"/>
      <c r="E8" s="193"/>
      <c r="F8" s="256">
        <f t="shared" si="0"/>
        <v>0</v>
      </c>
      <c r="G8" s="256" t="str">
        <f>IF(IFERROR(IF(Str_TypeDonneesCpt7=Cpt_Index,Tab_Compteur_7[[#This Row],[Index]]-E7,Tab_Compteur_7[[#This Row],[Quantité]])/Tab_Compteur_7[[#This Row],[Delta Jour]],"")&lt;0,"",IFERROR(IF(Str_TypeDonneesCpt7=Cpt_Index,Tab_Compteur_7[[#This Row],[Index]]-E7,Tab_Compteur_7[[#This Row],[Quantité]])/Tab_Compteur_7[[#This Row],[Delta Jour]],""))</f>
        <v/>
      </c>
      <c r="H8" s="256" t="str">
        <f>IFERROR(Tab_Compteur_7[[#This Row],[Montant]]/Tab_Compteur_7[[#This Row],[Delta Jour]],"")</f>
        <v/>
      </c>
      <c r="I8" s="215" t="str">
        <f t="shared" si="1"/>
        <v/>
      </c>
      <c r="J8" s="216"/>
      <c r="K8" s="179"/>
      <c r="L8" s="179"/>
      <c r="M8" s="179"/>
    </row>
    <row r="9" spans="1:13">
      <c r="A9" s="3">
        <f t="shared" si="2"/>
        <v>1</v>
      </c>
      <c r="B9" s="239"/>
      <c r="C9" s="194"/>
      <c r="D9" s="195"/>
      <c r="E9" s="193"/>
      <c r="F9" s="256">
        <f t="shared" si="0"/>
        <v>0</v>
      </c>
      <c r="G9" s="256" t="str">
        <f>IF(IFERROR(IF(Str_TypeDonneesCpt7=Cpt_Index,Tab_Compteur_7[[#This Row],[Index]]-E8,Tab_Compteur_7[[#This Row],[Quantité]])/Tab_Compteur_7[[#This Row],[Delta Jour]],"")&lt;0,"",IFERROR(IF(Str_TypeDonneesCpt7=Cpt_Index,Tab_Compteur_7[[#This Row],[Index]]-E8,Tab_Compteur_7[[#This Row],[Quantité]])/Tab_Compteur_7[[#This Row],[Delta Jour]],""))</f>
        <v/>
      </c>
      <c r="H9" s="256" t="str">
        <f>IFERROR(Tab_Compteur_7[[#This Row],[Montant]]/Tab_Compteur_7[[#This Row],[Delta Jour]],"")</f>
        <v/>
      </c>
      <c r="I9" s="215" t="str">
        <f t="shared" si="1"/>
        <v/>
      </c>
      <c r="J9" s="216"/>
      <c r="K9" s="179"/>
      <c r="L9" s="179"/>
      <c r="M9" s="179"/>
    </row>
    <row r="10" spans="1:13">
      <c r="A10" s="3">
        <f t="shared" si="2"/>
        <v>1</v>
      </c>
      <c r="B10" s="239"/>
      <c r="C10" s="194"/>
      <c r="D10" s="195"/>
      <c r="E10" s="193"/>
      <c r="F10" s="256">
        <f t="shared" si="0"/>
        <v>0</v>
      </c>
      <c r="G10" s="256" t="str">
        <f>IF(IFERROR(IF(Str_TypeDonneesCpt7=Cpt_Index,Tab_Compteur_7[[#This Row],[Index]]-E9,Tab_Compteur_7[[#This Row],[Quantité]])/Tab_Compteur_7[[#This Row],[Delta Jour]],"")&lt;0,"",IFERROR(IF(Str_TypeDonneesCpt7=Cpt_Index,Tab_Compteur_7[[#This Row],[Index]]-E9,Tab_Compteur_7[[#This Row],[Quantité]])/Tab_Compteur_7[[#This Row],[Delta Jour]],""))</f>
        <v/>
      </c>
      <c r="H10" s="256" t="str">
        <f>IFERROR(Tab_Compteur_7[[#This Row],[Montant]]/Tab_Compteur_7[[#This Row],[Delta Jour]],"")</f>
        <v/>
      </c>
      <c r="I10" s="215" t="str">
        <f t="shared" si="1"/>
        <v/>
      </c>
      <c r="J10" s="216"/>
      <c r="K10" s="179"/>
      <c r="L10" s="179"/>
      <c r="M10" s="179"/>
    </row>
    <row r="11" spans="1:13">
      <c r="A11" s="3">
        <f t="shared" si="2"/>
        <v>1</v>
      </c>
      <c r="B11" s="239"/>
      <c r="C11" s="194"/>
      <c r="D11" s="195"/>
      <c r="E11" s="193"/>
      <c r="F11" s="256">
        <f t="shared" si="0"/>
        <v>0</v>
      </c>
      <c r="G11" s="256" t="str">
        <f>IF(IFERROR(IF(Str_TypeDonneesCpt7=Cpt_Index,Tab_Compteur_7[[#This Row],[Index]]-E10,Tab_Compteur_7[[#This Row],[Quantité]])/Tab_Compteur_7[[#This Row],[Delta Jour]],"")&lt;0,"",IFERROR(IF(Str_TypeDonneesCpt7=Cpt_Index,Tab_Compteur_7[[#This Row],[Index]]-E10,Tab_Compteur_7[[#This Row],[Quantité]])/Tab_Compteur_7[[#This Row],[Delta Jour]],""))</f>
        <v/>
      </c>
      <c r="H11" s="256" t="str">
        <f>IFERROR(Tab_Compteur_7[[#This Row],[Montant]]/Tab_Compteur_7[[#This Row],[Delta Jour]],"")</f>
        <v/>
      </c>
      <c r="I11" s="215" t="str">
        <f t="shared" si="1"/>
        <v/>
      </c>
      <c r="J11" s="216"/>
      <c r="K11" s="573"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73"/>
      <c r="M11" s="573"/>
    </row>
    <row r="12" spans="1:13">
      <c r="A12" s="3">
        <f t="shared" si="2"/>
        <v>1</v>
      </c>
      <c r="B12" s="239"/>
      <c r="C12" s="194"/>
      <c r="D12" s="195"/>
      <c r="E12" s="193"/>
      <c r="F12" s="256">
        <f t="shared" si="0"/>
        <v>0</v>
      </c>
      <c r="G12" s="256" t="str">
        <f>IF(IFERROR(IF(Str_TypeDonneesCpt7=Cpt_Index,Tab_Compteur_7[[#This Row],[Index]]-E11,Tab_Compteur_7[[#This Row],[Quantité]])/Tab_Compteur_7[[#This Row],[Delta Jour]],"")&lt;0,"",IFERROR(IF(Str_TypeDonneesCpt7=Cpt_Index,Tab_Compteur_7[[#This Row],[Index]]-E11,Tab_Compteur_7[[#This Row],[Quantité]])/Tab_Compteur_7[[#This Row],[Delta Jour]],""))</f>
        <v/>
      </c>
      <c r="H12" s="256" t="str">
        <f>IFERROR(Tab_Compteur_7[[#This Row],[Montant]]/Tab_Compteur_7[[#This Row],[Delta Jour]],"")</f>
        <v/>
      </c>
      <c r="I12" s="215" t="str">
        <f t="shared" si="1"/>
        <v/>
      </c>
      <c r="J12" s="216"/>
      <c r="K12" s="573"/>
      <c r="L12" s="573"/>
      <c r="M12" s="573"/>
    </row>
    <row r="13" spans="1:13">
      <c r="A13" s="3">
        <f t="shared" si="2"/>
        <v>1</v>
      </c>
      <c r="B13" s="239"/>
      <c r="C13" s="194"/>
      <c r="D13" s="195"/>
      <c r="E13" s="193"/>
      <c r="F13" s="256">
        <f t="shared" si="0"/>
        <v>0</v>
      </c>
      <c r="G13" s="256" t="str">
        <f>IF(IFERROR(IF(Str_TypeDonneesCpt7=Cpt_Index,Tab_Compteur_7[[#This Row],[Index]]-E12,Tab_Compteur_7[[#This Row],[Quantité]])/Tab_Compteur_7[[#This Row],[Delta Jour]],"")&lt;0,"",IFERROR(IF(Str_TypeDonneesCpt7=Cpt_Index,Tab_Compteur_7[[#This Row],[Index]]-E12,Tab_Compteur_7[[#This Row],[Quantité]])/Tab_Compteur_7[[#This Row],[Delta Jour]],""))</f>
        <v/>
      </c>
      <c r="H13" s="256" t="str">
        <f>IFERROR(Tab_Compteur_7[[#This Row],[Montant]]/Tab_Compteur_7[[#This Row],[Delta Jour]],"")</f>
        <v/>
      </c>
      <c r="I13" s="215" t="str">
        <f t="shared" si="1"/>
        <v/>
      </c>
      <c r="J13" s="216"/>
      <c r="K13" s="573"/>
      <c r="L13" s="573"/>
      <c r="M13" s="573"/>
    </row>
    <row r="14" spans="1:13">
      <c r="A14" s="3">
        <f t="shared" si="2"/>
        <v>1</v>
      </c>
      <c r="B14" s="239"/>
      <c r="C14" s="194"/>
      <c r="D14" s="195"/>
      <c r="E14" s="193"/>
      <c r="F14" s="256">
        <f t="shared" si="0"/>
        <v>0</v>
      </c>
      <c r="G14" s="256" t="str">
        <f>IF(IFERROR(IF(Str_TypeDonneesCpt7=Cpt_Index,Tab_Compteur_7[[#This Row],[Index]]-E13,Tab_Compteur_7[[#This Row],[Quantité]])/Tab_Compteur_7[[#This Row],[Delta Jour]],"")&lt;0,"",IFERROR(IF(Str_TypeDonneesCpt7=Cpt_Index,Tab_Compteur_7[[#This Row],[Index]]-E13,Tab_Compteur_7[[#This Row],[Quantité]])/Tab_Compteur_7[[#This Row],[Delta Jour]],""))</f>
        <v/>
      </c>
      <c r="H14" s="256" t="str">
        <f>IFERROR(Tab_Compteur_7[[#This Row],[Montant]]/Tab_Compteur_7[[#This Row],[Delta Jour]],"")</f>
        <v/>
      </c>
      <c r="I14" s="215" t="str">
        <f t="shared" si="1"/>
        <v/>
      </c>
      <c r="J14" s="216"/>
      <c r="K14" s="573"/>
      <c r="L14" s="573"/>
      <c r="M14" s="573"/>
    </row>
    <row r="15" spans="1:13">
      <c r="A15" s="3">
        <f t="shared" si="2"/>
        <v>1</v>
      </c>
      <c r="B15" s="239"/>
      <c r="C15" s="194"/>
      <c r="D15" s="195"/>
      <c r="E15" s="193"/>
      <c r="F15" s="256">
        <f t="shared" si="0"/>
        <v>0</v>
      </c>
      <c r="G15" s="256" t="str">
        <f>IF(IFERROR(IF(Str_TypeDonneesCpt7=Cpt_Index,Tab_Compteur_7[[#This Row],[Index]]-E14,Tab_Compteur_7[[#This Row],[Quantité]])/Tab_Compteur_7[[#This Row],[Delta Jour]],"")&lt;0,"",IFERROR(IF(Str_TypeDonneesCpt7=Cpt_Index,Tab_Compteur_7[[#This Row],[Index]]-E14,Tab_Compteur_7[[#This Row],[Quantité]])/Tab_Compteur_7[[#This Row],[Delta Jour]],""))</f>
        <v/>
      </c>
      <c r="H15" s="256" t="str">
        <f>IFERROR(Tab_Compteur_7[[#This Row],[Montant]]/Tab_Compteur_7[[#This Row],[Delta Jour]],"")</f>
        <v/>
      </c>
      <c r="I15" s="215" t="str">
        <f t="shared" si="1"/>
        <v/>
      </c>
      <c r="J15" s="216"/>
      <c r="K15" s="573"/>
      <c r="L15" s="573"/>
      <c r="M15" s="573"/>
    </row>
    <row r="16" spans="1:13">
      <c r="A16" s="3">
        <f t="shared" si="2"/>
        <v>1</v>
      </c>
      <c r="B16" s="239"/>
      <c r="C16" s="194"/>
      <c r="D16" s="195"/>
      <c r="E16" s="193"/>
      <c r="F16" s="256">
        <f t="shared" si="0"/>
        <v>0</v>
      </c>
      <c r="G16" s="256" t="str">
        <f>IF(IFERROR(IF(Str_TypeDonneesCpt7=Cpt_Index,Tab_Compteur_7[[#This Row],[Index]]-E15,Tab_Compteur_7[[#This Row],[Quantité]])/Tab_Compteur_7[[#This Row],[Delta Jour]],"")&lt;0,"",IFERROR(IF(Str_TypeDonneesCpt7=Cpt_Index,Tab_Compteur_7[[#This Row],[Index]]-E15,Tab_Compteur_7[[#This Row],[Quantité]])/Tab_Compteur_7[[#This Row],[Delta Jour]],""))</f>
        <v/>
      </c>
      <c r="H16" s="256" t="str">
        <f>IFERROR(Tab_Compteur_7[[#This Row],[Montant]]/Tab_Compteur_7[[#This Row],[Delta Jour]],"")</f>
        <v/>
      </c>
      <c r="I16" s="215" t="str">
        <f t="shared" si="1"/>
        <v/>
      </c>
      <c r="J16" s="216"/>
      <c r="K16" s="573"/>
      <c r="L16" s="573"/>
      <c r="M16" s="573"/>
    </row>
    <row r="17" spans="1:13">
      <c r="A17" s="3">
        <f t="shared" si="2"/>
        <v>1</v>
      </c>
      <c r="B17" s="239"/>
      <c r="C17" s="194"/>
      <c r="D17" s="195"/>
      <c r="E17" s="193"/>
      <c r="F17" s="256">
        <f t="shared" si="0"/>
        <v>0</v>
      </c>
      <c r="G17" s="256" t="str">
        <f>IF(IFERROR(IF(Str_TypeDonneesCpt7=Cpt_Index,Tab_Compteur_7[[#This Row],[Index]]-E16,Tab_Compteur_7[[#This Row],[Quantité]])/Tab_Compteur_7[[#This Row],[Delta Jour]],"")&lt;0,"",IFERROR(IF(Str_TypeDonneesCpt7=Cpt_Index,Tab_Compteur_7[[#This Row],[Index]]-E16,Tab_Compteur_7[[#This Row],[Quantité]])/Tab_Compteur_7[[#This Row],[Delta Jour]],""))</f>
        <v/>
      </c>
      <c r="H17" s="256" t="str">
        <f>IFERROR(Tab_Compteur_7[[#This Row],[Montant]]/Tab_Compteur_7[[#This Row],[Delta Jour]],"")</f>
        <v/>
      </c>
      <c r="I17" s="215" t="str">
        <f t="shared" si="1"/>
        <v/>
      </c>
      <c r="J17" s="216"/>
      <c r="K17" s="573"/>
      <c r="L17" s="573"/>
      <c r="M17" s="573"/>
    </row>
    <row r="18" spans="1:13">
      <c r="A18" s="3">
        <f t="shared" si="2"/>
        <v>1</v>
      </c>
      <c r="B18" s="239"/>
      <c r="C18" s="194"/>
      <c r="D18" s="195"/>
      <c r="E18" s="193"/>
      <c r="F18" s="256">
        <f t="shared" si="0"/>
        <v>0</v>
      </c>
      <c r="G18" s="256" t="str">
        <f>IF(IFERROR(IF(Str_TypeDonneesCpt7=Cpt_Index,Tab_Compteur_7[[#This Row],[Index]]-E17,Tab_Compteur_7[[#This Row],[Quantité]])/Tab_Compteur_7[[#This Row],[Delta Jour]],"")&lt;0,"",IFERROR(IF(Str_TypeDonneesCpt7=Cpt_Index,Tab_Compteur_7[[#This Row],[Index]]-E17,Tab_Compteur_7[[#This Row],[Quantité]])/Tab_Compteur_7[[#This Row],[Delta Jour]],""))</f>
        <v/>
      </c>
      <c r="H18" s="256" t="str">
        <f>IFERROR(Tab_Compteur_7[[#This Row],[Montant]]/Tab_Compteur_7[[#This Row],[Delta Jour]],"")</f>
        <v/>
      </c>
      <c r="I18" s="215" t="str">
        <f t="shared" si="1"/>
        <v/>
      </c>
      <c r="J18" s="216"/>
      <c r="K18" s="573"/>
      <c r="L18" s="573"/>
      <c r="M18" s="573"/>
    </row>
    <row r="19" spans="1:13">
      <c r="A19" s="3">
        <f t="shared" si="2"/>
        <v>1</v>
      </c>
      <c r="B19" s="239"/>
      <c r="C19" s="194"/>
      <c r="D19" s="198"/>
      <c r="E19" s="193"/>
      <c r="F19" s="256">
        <f t="shared" si="0"/>
        <v>0</v>
      </c>
      <c r="G19" s="256" t="str">
        <f>IF(IFERROR(IF(Str_TypeDonneesCpt7=Cpt_Index,Tab_Compteur_7[[#This Row],[Index]]-E18,Tab_Compteur_7[[#This Row],[Quantité]])/Tab_Compteur_7[[#This Row],[Delta Jour]],"")&lt;0,"",IFERROR(IF(Str_TypeDonneesCpt7=Cpt_Index,Tab_Compteur_7[[#This Row],[Index]]-E18,Tab_Compteur_7[[#This Row],[Quantité]])/Tab_Compteur_7[[#This Row],[Delta Jour]],""))</f>
        <v/>
      </c>
      <c r="H19" s="256" t="str">
        <f>IFERROR(Tab_Compteur_7[[#This Row],[Montant]]/Tab_Compteur_7[[#This Row],[Delta Jour]],"")</f>
        <v/>
      </c>
      <c r="I19" s="215" t="str">
        <f t="shared" si="1"/>
        <v/>
      </c>
      <c r="J19" s="216"/>
      <c r="K19" s="573"/>
      <c r="L19" s="573"/>
      <c r="M19" s="573"/>
    </row>
    <row r="20" spans="1:13">
      <c r="A20" s="3">
        <f t="shared" si="2"/>
        <v>1</v>
      </c>
      <c r="B20" s="239"/>
      <c r="C20" s="194"/>
      <c r="D20" s="198"/>
      <c r="E20" s="193"/>
      <c r="F20" s="256">
        <f t="shared" si="0"/>
        <v>0</v>
      </c>
      <c r="G20" s="256" t="str">
        <f>IF(IFERROR(IF(Str_TypeDonneesCpt7=Cpt_Index,Tab_Compteur_7[[#This Row],[Index]]-E19,Tab_Compteur_7[[#This Row],[Quantité]])/Tab_Compteur_7[[#This Row],[Delta Jour]],"")&lt;0,"",IFERROR(IF(Str_TypeDonneesCpt7=Cpt_Index,Tab_Compteur_7[[#This Row],[Index]]-E19,Tab_Compteur_7[[#This Row],[Quantité]])/Tab_Compteur_7[[#This Row],[Delta Jour]],""))</f>
        <v/>
      </c>
      <c r="H20" s="256" t="str">
        <f>IFERROR(Tab_Compteur_7[[#This Row],[Montant]]/Tab_Compteur_7[[#This Row],[Delta Jour]],"")</f>
        <v/>
      </c>
      <c r="I20" s="215" t="str">
        <f t="shared" si="1"/>
        <v/>
      </c>
      <c r="J20" s="216"/>
      <c r="K20" s="573"/>
      <c r="L20" s="573"/>
      <c r="M20" s="573"/>
    </row>
    <row r="21" spans="1:13">
      <c r="A21" s="3">
        <f t="shared" si="2"/>
        <v>1</v>
      </c>
      <c r="B21" s="239"/>
      <c r="C21" s="194"/>
      <c r="D21" s="198"/>
      <c r="E21" s="193"/>
      <c r="F21" s="256">
        <f t="shared" si="0"/>
        <v>0</v>
      </c>
      <c r="G21" s="256" t="str">
        <f>IF(IFERROR(IF(Str_TypeDonneesCpt7=Cpt_Index,Tab_Compteur_7[[#This Row],[Index]]-E20,Tab_Compteur_7[[#This Row],[Quantité]])/Tab_Compteur_7[[#This Row],[Delta Jour]],"")&lt;0,"",IFERROR(IF(Str_TypeDonneesCpt7=Cpt_Index,Tab_Compteur_7[[#This Row],[Index]]-E20,Tab_Compteur_7[[#This Row],[Quantité]])/Tab_Compteur_7[[#This Row],[Delta Jour]],""))</f>
        <v/>
      </c>
      <c r="H21" s="256" t="str">
        <f>IFERROR(Tab_Compteur_7[[#This Row],[Montant]]/Tab_Compteur_7[[#This Row],[Delta Jour]],"")</f>
        <v/>
      </c>
      <c r="I21" s="215" t="str">
        <f t="shared" si="1"/>
        <v/>
      </c>
      <c r="J21" s="216"/>
      <c r="K21" s="573"/>
      <c r="L21" s="573"/>
      <c r="M21" s="573"/>
    </row>
    <row r="22" spans="1:13">
      <c r="A22" s="3">
        <f t="shared" si="2"/>
        <v>1</v>
      </c>
      <c r="B22" s="239"/>
      <c r="C22" s="194"/>
      <c r="D22" s="198"/>
      <c r="E22" s="193"/>
      <c r="F22" s="256">
        <f t="shared" si="0"/>
        <v>0</v>
      </c>
      <c r="G22" s="256" t="str">
        <f>IF(IFERROR(IF(Str_TypeDonneesCpt7=Cpt_Index,Tab_Compteur_7[[#This Row],[Index]]-E21,Tab_Compteur_7[[#This Row],[Quantité]])/Tab_Compteur_7[[#This Row],[Delta Jour]],"")&lt;0,"",IFERROR(IF(Str_TypeDonneesCpt7=Cpt_Index,Tab_Compteur_7[[#This Row],[Index]]-E21,Tab_Compteur_7[[#This Row],[Quantité]])/Tab_Compteur_7[[#This Row],[Delta Jour]],""))</f>
        <v/>
      </c>
      <c r="H22" s="256" t="str">
        <f>IFERROR(Tab_Compteur_7[[#This Row],[Montant]]/Tab_Compteur_7[[#This Row],[Delta Jour]],"")</f>
        <v/>
      </c>
      <c r="I22" s="215" t="str">
        <f t="shared" si="1"/>
        <v/>
      </c>
      <c r="J22" s="216"/>
      <c r="K22" s="573"/>
      <c r="L22" s="573"/>
      <c r="M22" s="573"/>
    </row>
    <row r="23" spans="1:13">
      <c r="A23" s="3">
        <f t="shared" si="2"/>
        <v>1</v>
      </c>
      <c r="B23" s="239"/>
      <c r="C23" s="194"/>
      <c r="D23" s="198"/>
      <c r="E23" s="193"/>
      <c r="F23" s="256">
        <f t="shared" si="0"/>
        <v>0</v>
      </c>
      <c r="G23" s="256" t="str">
        <f>IF(IFERROR(IF(Str_TypeDonneesCpt7=Cpt_Index,Tab_Compteur_7[[#This Row],[Index]]-E22,Tab_Compteur_7[[#This Row],[Quantité]])/Tab_Compteur_7[[#This Row],[Delta Jour]],"")&lt;0,"",IFERROR(IF(Str_TypeDonneesCpt7=Cpt_Index,Tab_Compteur_7[[#This Row],[Index]]-E22,Tab_Compteur_7[[#This Row],[Quantité]])/Tab_Compteur_7[[#This Row],[Delta Jour]],""))</f>
        <v/>
      </c>
      <c r="H23" s="256" t="str">
        <f>IFERROR(Tab_Compteur_7[[#This Row],[Montant]]/Tab_Compteur_7[[#This Row],[Delta Jour]],"")</f>
        <v/>
      </c>
      <c r="I23" s="215" t="str">
        <f t="shared" si="1"/>
        <v/>
      </c>
      <c r="J23" s="216"/>
      <c r="K23" s="573"/>
      <c r="L23" s="573"/>
      <c r="M23" s="573"/>
    </row>
    <row r="24" spans="1:13">
      <c r="A24" s="3">
        <f t="shared" si="2"/>
        <v>1</v>
      </c>
      <c r="B24" s="239"/>
      <c r="C24" s="194"/>
      <c r="D24" s="198"/>
      <c r="E24" s="193"/>
      <c r="F24" s="256">
        <f t="shared" si="0"/>
        <v>0</v>
      </c>
      <c r="G24" s="256" t="str">
        <f>IF(IFERROR(IF(Str_TypeDonneesCpt7=Cpt_Index,Tab_Compteur_7[[#This Row],[Index]]-E23,Tab_Compteur_7[[#This Row],[Quantité]])/Tab_Compteur_7[[#This Row],[Delta Jour]],"")&lt;0,"",IFERROR(IF(Str_TypeDonneesCpt7=Cpt_Index,Tab_Compteur_7[[#This Row],[Index]]-E23,Tab_Compteur_7[[#This Row],[Quantité]])/Tab_Compteur_7[[#This Row],[Delta Jour]],""))</f>
        <v/>
      </c>
      <c r="H24" s="256" t="str">
        <f>IFERROR(Tab_Compteur_7[[#This Row],[Montant]]/Tab_Compteur_7[[#This Row],[Delta Jour]],"")</f>
        <v/>
      </c>
      <c r="I24" s="215" t="str">
        <f t="shared" si="1"/>
        <v/>
      </c>
      <c r="J24" s="216"/>
      <c r="K24" s="573"/>
      <c r="L24" s="573"/>
      <c r="M24" s="573"/>
    </row>
    <row r="25" spans="1:13">
      <c r="A25" s="3">
        <f t="shared" si="2"/>
        <v>1</v>
      </c>
      <c r="B25" s="239"/>
      <c r="C25" s="194"/>
      <c r="D25" s="198"/>
      <c r="E25" s="193"/>
      <c r="F25" s="256">
        <f t="shared" si="0"/>
        <v>0</v>
      </c>
      <c r="G25" s="256" t="str">
        <f>IF(IFERROR(IF(Str_TypeDonneesCpt7=Cpt_Index,Tab_Compteur_7[[#This Row],[Index]]-E24,Tab_Compteur_7[[#This Row],[Quantité]])/Tab_Compteur_7[[#This Row],[Delta Jour]],"")&lt;0,"",IFERROR(IF(Str_TypeDonneesCpt7=Cpt_Index,Tab_Compteur_7[[#This Row],[Index]]-E24,Tab_Compteur_7[[#This Row],[Quantité]])/Tab_Compteur_7[[#This Row],[Delta Jour]],""))</f>
        <v/>
      </c>
      <c r="H25" s="256" t="str">
        <f>IFERROR(Tab_Compteur_7[[#This Row],[Montant]]/Tab_Compteur_7[[#This Row],[Delta Jour]],"")</f>
        <v/>
      </c>
      <c r="I25" s="215" t="str">
        <f t="shared" si="1"/>
        <v/>
      </c>
      <c r="J25" s="216"/>
      <c r="K25" s="573"/>
      <c r="L25" s="573"/>
      <c r="M25" s="573"/>
    </row>
    <row r="26" spans="1:13">
      <c r="A26" s="3">
        <f t="shared" si="2"/>
        <v>1</v>
      </c>
      <c r="B26" s="239"/>
      <c r="C26" s="194"/>
      <c r="D26" s="198"/>
      <c r="E26" s="193"/>
      <c r="F26" s="256">
        <f t="shared" si="0"/>
        <v>0</v>
      </c>
      <c r="G26" s="256" t="str">
        <f>IF(IFERROR(IF(Str_TypeDonneesCpt7=Cpt_Index,Tab_Compteur_7[[#This Row],[Index]]-E25,Tab_Compteur_7[[#This Row],[Quantité]])/Tab_Compteur_7[[#This Row],[Delta Jour]],"")&lt;0,"",IFERROR(IF(Str_TypeDonneesCpt7=Cpt_Index,Tab_Compteur_7[[#This Row],[Index]]-E25,Tab_Compteur_7[[#This Row],[Quantité]])/Tab_Compteur_7[[#This Row],[Delta Jour]],""))</f>
        <v/>
      </c>
      <c r="H26" s="256" t="str">
        <f>IFERROR(Tab_Compteur_7[[#This Row],[Montant]]/Tab_Compteur_7[[#This Row],[Delta Jour]],"")</f>
        <v/>
      </c>
      <c r="I26" s="215" t="str">
        <f t="shared" si="1"/>
        <v/>
      </c>
      <c r="J26" s="216"/>
      <c r="K26" s="573"/>
      <c r="L26" s="573"/>
      <c r="M26" s="573"/>
    </row>
    <row r="27" spans="1:13">
      <c r="A27" s="3">
        <f t="shared" si="2"/>
        <v>1</v>
      </c>
      <c r="B27" s="239"/>
      <c r="C27" s="194"/>
      <c r="D27" s="198"/>
      <c r="E27" s="193"/>
      <c r="F27" s="256">
        <f t="shared" si="0"/>
        <v>0</v>
      </c>
      <c r="G27" s="256" t="str">
        <f>IF(IFERROR(IF(Str_TypeDonneesCpt7=Cpt_Index,Tab_Compteur_7[[#This Row],[Index]]-E26,Tab_Compteur_7[[#This Row],[Quantité]])/Tab_Compteur_7[[#This Row],[Delta Jour]],"")&lt;0,"",IFERROR(IF(Str_TypeDonneesCpt7=Cpt_Index,Tab_Compteur_7[[#This Row],[Index]]-E26,Tab_Compteur_7[[#This Row],[Quantité]])/Tab_Compteur_7[[#This Row],[Delta Jour]],""))</f>
        <v/>
      </c>
      <c r="H27" s="256" t="str">
        <f>IFERROR(Tab_Compteur_7[[#This Row],[Montant]]/Tab_Compteur_7[[#This Row],[Delta Jour]],"")</f>
        <v/>
      </c>
      <c r="I27" s="215" t="str">
        <f t="shared" si="1"/>
        <v/>
      </c>
      <c r="J27" s="216"/>
      <c r="K27" s="573"/>
      <c r="L27" s="573"/>
      <c r="M27" s="573"/>
    </row>
    <row r="28" spans="1:13">
      <c r="A28" s="3">
        <f t="shared" si="2"/>
        <v>1</v>
      </c>
      <c r="B28" s="239"/>
      <c r="C28" s="194"/>
      <c r="D28" s="198"/>
      <c r="E28" s="193"/>
      <c r="F28" s="256">
        <f t="shared" si="0"/>
        <v>0</v>
      </c>
      <c r="G28" s="256" t="str">
        <f>IF(IFERROR(IF(Str_TypeDonneesCpt7=Cpt_Index,Tab_Compteur_7[[#This Row],[Index]]-E27,Tab_Compteur_7[[#This Row],[Quantité]])/Tab_Compteur_7[[#This Row],[Delta Jour]],"")&lt;0,"",IFERROR(IF(Str_TypeDonneesCpt7=Cpt_Index,Tab_Compteur_7[[#This Row],[Index]]-E27,Tab_Compteur_7[[#This Row],[Quantité]])/Tab_Compteur_7[[#This Row],[Delta Jour]],""))</f>
        <v/>
      </c>
      <c r="H28" s="256" t="str">
        <f>IFERROR(Tab_Compteur_7[[#This Row],[Montant]]/Tab_Compteur_7[[#This Row],[Delta Jour]],"")</f>
        <v/>
      </c>
      <c r="I28" s="215" t="str">
        <f t="shared" si="1"/>
        <v/>
      </c>
      <c r="J28" s="216"/>
      <c r="K28" s="573"/>
      <c r="L28" s="573"/>
      <c r="M28" s="573"/>
    </row>
    <row r="29" spans="1:13">
      <c r="A29" s="3">
        <f t="shared" si="2"/>
        <v>1</v>
      </c>
      <c r="B29" s="239"/>
      <c r="C29" s="194"/>
      <c r="D29" s="198"/>
      <c r="E29" s="193"/>
      <c r="F29" s="256">
        <f t="shared" si="0"/>
        <v>0</v>
      </c>
      <c r="G29" s="256" t="str">
        <f>IF(IFERROR(IF(Str_TypeDonneesCpt7=Cpt_Index,Tab_Compteur_7[[#This Row],[Index]]-E28,Tab_Compteur_7[[#This Row],[Quantité]])/Tab_Compteur_7[[#This Row],[Delta Jour]],"")&lt;0,"",IFERROR(IF(Str_TypeDonneesCpt7=Cpt_Index,Tab_Compteur_7[[#This Row],[Index]]-E28,Tab_Compteur_7[[#This Row],[Quantité]])/Tab_Compteur_7[[#This Row],[Delta Jour]],""))</f>
        <v/>
      </c>
      <c r="H29" s="256" t="str">
        <f>IFERROR(Tab_Compteur_7[[#This Row],[Montant]]/Tab_Compteur_7[[#This Row],[Delta Jour]],"")</f>
        <v/>
      </c>
      <c r="I29" s="215" t="str">
        <f t="shared" si="1"/>
        <v/>
      </c>
      <c r="J29" s="216"/>
      <c r="K29" s="573"/>
      <c r="L29" s="573"/>
      <c r="M29" s="573"/>
    </row>
    <row r="30" spans="1:13">
      <c r="A30" s="3">
        <f t="shared" si="2"/>
        <v>1</v>
      </c>
      <c r="B30" s="239"/>
      <c r="C30" s="194"/>
      <c r="D30" s="198"/>
      <c r="E30" s="193"/>
      <c r="F30" s="256">
        <f t="shared" si="0"/>
        <v>0</v>
      </c>
      <c r="G30" s="256" t="str">
        <f>IF(IFERROR(IF(Str_TypeDonneesCpt7=Cpt_Index,Tab_Compteur_7[[#This Row],[Index]]-E29,Tab_Compteur_7[[#This Row],[Quantité]])/Tab_Compteur_7[[#This Row],[Delta Jour]],"")&lt;0,"",IFERROR(IF(Str_TypeDonneesCpt7=Cpt_Index,Tab_Compteur_7[[#This Row],[Index]]-E29,Tab_Compteur_7[[#This Row],[Quantité]])/Tab_Compteur_7[[#This Row],[Delta Jour]],""))</f>
        <v/>
      </c>
      <c r="H30" s="256" t="str">
        <f>IFERROR(Tab_Compteur_7[[#This Row],[Montant]]/Tab_Compteur_7[[#This Row],[Delta Jour]],"")</f>
        <v/>
      </c>
      <c r="I30" s="215" t="str">
        <f t="shared" si="1"/>
        <v/>
      </c>
      <c r="J30" s="216"/>
      <c r="K30" s="573"/>
      <c r="L30" s="573"/>
      <c r="M30" s="573"/>
    </row>
    <row r="31" spans="1:13">
      <c r="A31" s="3">
        <f t="shared" si="2"/>
        <v>1</v>
      </c>
      <c r="B31" s="239"/>
      <c r="C31" s="194"/>
      <c r="D31" s="198"/>
      <c r="E31" s="193"/>
      <c r="F31" s="256">
        <f t="shared" si="0"/>
        <v>0</v>
      </c>
      <c r="G31" s="256" t="str">
        <f>IF(IFERROR(IF(Str_TypeDonneesCpt7=Cpt_Index,Tab_Compteur_7[[#This Row],[Index]]-E30,Tab_Compteur_7[[#This Row],[Quantité]])/Tab_Compteur_7[[#This Row],[Delta Jour]],"")&lt;0,"",IFERROR(IF(Str_TypeDonneesCpt7=Cpt_Index,Tab_Compteur_7[[#This Row],[Index]]-E30,Tab_Compteur_7[[#This Row],[Quantité]])/Tab_Compteur_7[[#This Row],[Delta Jour]],""))</f>
        <v/>
      </c>
      <c r="H31" s="256" t="str">
        <f>IFERROR(Tab_Compteur_7[[#This Row],[Montant]]/Tab_Compteur_7[[#This Row],[Delta Jour]],"")</f>
        <v/>
      </c>
      <c r="I31" s="215" t="str">
        <f t="shared" si="1"/>
        <v/>
      </c>
      <c r="J31" s="216"/>
      <c r="K31" s="573"/>
      <c r="L31" s="573"/>
      <c r="M31" s="573"/>
    </row>
    <row r="32" spans="1:13">
      <c r="A32" s="3">
        <f t="shared" si="2"/>
        <v>1</v>
      </c>
      <c r="B32" s="239"/>
      <c r="C32" s="194"/>
      <c r="D32" s="198"/>
      <c r="E32" s="193"/>
      <c r="F32" s="256">
        <f t="shared" si="0"/>
        <v>0</v>
      </c>
      <c r="G32" s="256" t="str">
        <f>IF(IFERROR(IF(Str_TypeDonneesCpt7=Cpt_Index,Tab_Compteur_7[[#This Row],[Index]]-E31,Tab_Compteur_7[[#This Row],[Quantité]])/Tab_Compteur_7[[#This Row],[Delta Jour]],"")&lt;0,"",IFERROR(IF(Str_TypeDonneesCpt7=Cpt_Index,Tab_Compteur_7[[#This Row],[Index]]-E31,Tab_Compteur_7[[#This Row],[Quantité]])/Tab_Compteur_7[[#This Row],[Delta Jour]],""))</f>
        <v/>
      </c>
      <c r="H32" s="256" t="str">
        <f>IFERROR(Tab_Compteur_7[[#This Row],[Montant]]/Tab_Compteur_7[[#This Row],[Delta Jour]],"")</f>
        <v/>
      </c>
      <c r="I32" s="215" t="str">
        <f t="shared" si="1"/>
        <v/>
      </c>
      <c r="J32" s="216"/>
      <c r="K32" s="573"/>
      <c r="L32" s="573"/>
      <c r="M32" s="573"/>
    </row>
    <row r="33" spans="1:13">
      <c r="A33" s="3">
        <f t="shared" si="2"/>
        <v>1</v>
      </c>
      <c r="B33" s="239"/>
      <c r="C33" s="194"/>
      <c r="D33" s="198"/>
      <c r="E33" s="193"/>
      <c r="F33" s="256">
        <f t="shared" si="0"/>
        <v>0</v>
      </c>
      <c r="G33" s="256" t="str">
        <f>IF(IFERROR(IF(Str_TypeDonneesCpt7=Cpt_Index,Tab_Compteur_7[[#This Row],[Index]]-E32,Tab_Compteur_7[[#This Row],[Quantité]])/Tab_Compteur_7[[#This Row],[Delta Jour]],"")&lt;0,"",IFERROR(IF(Str_TypeDonneesCpt7=Cpt_Index,Tab_Compteur_7[[#This Row],[Index]]-E32,Tab_Compteur_7[[#This Row],[Quantité]])/Tab_Compteur_7[[#This Row],[Delta Jour]],""))</f>
        <v/>
      </c>
      <c r="H33" s="256" t="str">
        <f>IFERROR(Tab_Compteur_7[[#This Row],[Montant]]/Tab_Compteur_7[[#This Row],[Delta Jour]],"")</f>
        <v/>
      </c>
      <c r="I33" s="215" t="str">
        <f t="shared" si="1"/>
        <v/>
      </c>
      <c r="J33" s="216"/>
      <c r="K33" s="573"/>
      <c r="L33" s="573"/>
      <c r="M33" s="573"/>
    </row>
    <row r="34" spans="1:13">
      <c r="A34" s="3">
        <f t="shared" si="2"/>
        <v>1</v>
      </c>
      <c r="B34" s="239"/>
      <c r="C34" s="194"/>
      <c r="D34" s="198"/>
      <c r="E34" s="193"/>
      <c r="F34" s="256">
        <f t="shared" si="0"/>
        <v>0</v>
      </c>
      <c r="G34" s="256" t="str">
        <f>IF(IFERROR(IF(Str_TypeDonneesCpt7=Cpt_Index,Tab_Compteur_7[[#This Row],[Index]]-E33,Tab_Compteur_7[[#This Row],[Quantité]])/Tab_Compteur_7[[#This Row],[Delta Jour]],"")&lt;0,"",IFERROR(IF(Str_TypeDonneesCpt7=Cpt_Index,Tab_Compteur_7[[#This Row],[Index]]-E33,Tab_Compteur_7[[#This Row],[Quantité]])/Tab_Compteur_7[[#This Row],[Delta Jour]],""))</f>
        <v/>
      </c>
      <c r="H34" s="256" t="str">
        <f>IFERROR(Tab_Compteur_7[[#This Row],[Montant]]/Tab_Compteur_7[[#This Row],[Delta Jour]],"")</f>
        <v/>
      </c>
      <c r="I34" s="215" t="str">
        <f t="shared" si="1"/>
        <v/>
      </c>
      <c r="J34" s="216"/>
      <c r="K34" s="38"/>
      <c r="L34" s="38"/>
      <c r="M34" s="38"/>
    </row>
    <row r="35" spans="1:13">
      <c r="A35" s="3">
        <f t="shared" si="2"/>
        <v>1</v>
      </c>
      <c r="B35" s="239"/>
      <c r="C35" s="194"/>
      <c r="D35" s="198"/>
      <c r="E35" s="193"/>
      <c r="F35" s="256">
        <f t="shared" si="0"/>
        <v>0</v>
      </c>
      <c r="G35" s="256" t="str">
        <f>IF(IFERROR(IF(Str_TypeDonneesCpt7=Cpt_Index,Tab_Compteur_7[[#This Row],[Index]]-E34,Tab_Compteur_7[[#This Row],[Quantité]])/Tab_Compteur_7[[#This Row],[Delta Jour]],"")&lt;0,"",IFERROR(IF(Str_TypeDonneesCpt7=Cpt_Index,Tab_Compteur_7[[#This Row],[Index]]-E34,Tab_Compteur_7[[#This Row],[Quantité]])/Tab_Compteur_7[[#This Row],[Delta Jour]],""))</f>
        <v/>
      </c>
      <c r="H35" s="256" t="str">
        <f>IFERROR(Tab_Compteur_7[[#This Row],[Montant]]/Tab_Compteur_7[[#This Row],[Delta Jour]],"")</f>
        <v/>
      </c>
      <c r="I35" s="215" t="str">
        <f t="shared" si="1"/>
        <v/>
      </c>
      <c r="J35" s="216"/>
      <c r="K35" s="38"/>
      <c r="L35" s="38"/>
      <c r="M35" s="38"/>
    </row>
    <row r="36" spans="1:13">
      <c r="A36" s="3">
        <f t="shared" si="2"/>
        <v>1</v>
      </c>
      <c r="B36" s="239"/>
      <c r="C36" s="194"/>
      <c r="D36" s="198"/>
      <c r="E36" s="193"/>
      <c r="F36" s="256">
        <f t="shared" si="0"/>
        <v>0</v>
      </c>
      <c r="G36" s="256" t="str">
        <f>IF(IFERROR(IF(Str_TypeDonneesCpt7=Cpt_Index,Tab_Compteur_7[[#This Row],[Index]]-E35,Tab_Compteur_7[[#This Row],[Quantité]])/Tab_Compteur_7[[#This Row],[Delta Jour]],"")&lt;0,"",IFERROR(IF(Str_TypeDonneesCpt7=Cpt_Index,Tab_Compteur_7[[#This Row],[Index]]-E35,Tab_Compteur_7[[#This Row],[Quantité]])/Tab_Compteur_7[[#This Row],[Delta Jour]],""))</f>
        <v/>
      </c>
      <c r="H36" s="256" t="str">
        <f>IFERROR(Tab_Compteur_7[[#This Row],[Montant]]/Tab_Compteur_7[[#This Row],[Delta Jour]],"")</f>
        <v/>
      </c>
      <c r="I36" s="215" t="str">
        <f t="shared" si="1"/>
        <v/>
      </c>
      <c r="J36" s="216"/>
      <c r="K36" s="38"/>
      <c r="L36" s="38"/>
      <c r="M36" s="38"/>
    </row>
    <row r="37" spans="1:13">
      <c r="A37" s="3">
        <f t="shared" si="2"/>
        <v>1</v>
      </c>
      <c r="B37" s="239"/>
      <c r="C37" s="194"/>
      <c r="D37" s="198"/>
      <c r="E37" s="193"/>
      <c r="F37" s="256">
        <f t="shared" si="0"/>
        <v>0</v>
      </c>
      <c r="G37" s="256" t="str">
        <f>IF(IFERROR(IF(Str_TypeDonneesCpt7=Cpt_Index,Tab_Compteur_7[[#This Row],[Index]]-E36,Tab_Compteur_7[[#This Row],[Quantité]])/Tab_Compteur_7[[#This Row],[Delta Jour]],"")&lt;0,"",IFERROR(IF(Str_TypeDonneesCpt7=Cpt_Index,Tab_Compteur_7[[#This Row],[Index]]-E36,Tab_Compteur_7[[#This Row],[Quantité]])/Tab_Compteur_7[[#This Row],[Delta Jour]],""))</f>
        <v/>
      </c>
      <c r="H37" s="256" t="str">
        <f>IFERROR(Tab_Compteur_7[[#This Row],[Montant]]/Tab_Compteur_7[[#This Row],[Delta Jour]],"")</f>
        <v/>
      </c>
      <c r="I37" s="215" t="str">
        <f t="shared" si="1"/>
        <v/>
      </c>
      <c r="J37" s="216"/>
      <c r="K37" s="38"/>
      <c r="L37" s="38"/>
      <c r="M37" s="38"/>
    </row>
    <row r="38" spans="1:13">
      <c r="A38" s="3">
        <f t="shared" si="2"/>
        <v>1</v>
      </c>
      <c r="B38" s="239"/>
      <c r="C38" s="194"/>
      <c r="D38" s="198"/>
      <c r="E38" s="193"/>
      <c r="F38" s="256">
        <f t="shared" si="0"/>
        <v>0</v>
      </c>
      <c r="G38" s="256" t="str">
        <f>IF(IFERROR(IF(Str_TypeDonneesCpt7=Cpt_Index,Tab_Compteur_7[[#This Row],[Index]]-E37,Tab_Compteur_7[[#This Row],[Quantité]])/Tab_Compteur_7[[#This Row],[Delta Jour]],"")&lt;0,"",IFERROR(IF(Str_TypeDonneesCpt7=Cpt_Index,Tab_Compteur_7[[#This Row],[Index]]-E37,Tab_Compteur_7[[#This Row],[Quantité]])/Tab_Compteur_7[[#This Row],[Delta Jour]],""))</f>
        <v/>
      </c>
      <c r="H38" s="256" t="str">
        <f>IFERROR(Tab_Compteur_7[[#This Row],[Montant]]/Tab_Compteur_7[[#This Row],[Delta Jour]],"")</f>
        <v/>
      </c>
      <c r="I38" s="215" t="str">
        <f t="shared" si="1"/>
        <v/>
      </c>
      <c r="J38" s="216"/>
      <c r="K38" s="38"/>
      <c r="L38" s="38"/>
      <c r="M38" s="38"/>
    </row>
    <row r="39" spans="1:13">
      <c r="A39" s="3">
        <f t="shared" si="2"/>
        <v>1</v>
      </c>
      <c r="B39" s="239"/>
      <c r="C39" s="194"/>
      <c r="D39" s="200"/>
      <c r="E39" s="193"/>
      <c r="F39" s="256">
        <f t="shared" si="0"/>
        <v>0</v>
      </c>
      <c r="G39" s="256" t="str">
        <f>IF(IFERROR(IF(Str_TypeDonneesCpt7=Cpt_Index,Tab_Compteur_7[[#This Row],[Index]]-E38,Tab_Compteur_7[[#This Row],[Quantité]])/Tab_Compteur_7[[#This Row],[Delta Jour]],"")&lt;0,"",IFERROR(IF(Str_TypeDonneesCpt7=Cpt_Index,Tab_Compteur_7[[#This Row],[Index]]-E38,Tab_Compteur_7[[#This Row],[Quantité]])/Tab_Compteur_7[[#This Row],[Delta Jour]],""))</f>
        <v/>
      </c>
      <c r="H39" s="256" t="str">
        <f>IFERROR(Tab_Compteur_7[[#This Row],[Montant]]/Tab_Compteur_7[[#This Row],[Delta Jour]],"")</f>
        <v/>
      </c>
      <c r="I39" s="215" t="str">
        <f t="shared" si="1"/>
        <v/>
      </c>
      <c r="J39" s="216"/>
      <c r="K39" s="38"/>
      <c r="L39" s="38"/>
      <c r="M39" s="38"/>
    </row>
    <row r="40" spans="1:13">
      <c r="A40" s="3">
        <f t="shared" si="2"/>
        <v>1</v>
      </c>
      <c r="B40" s="239"/>
      <c r="C40" s="194"/>
      <c r="D40" s="200"/>
      <c r="E40" s="193"/>
      <c r="F40" s="256">
        <f t="shared" si="0"/>
        <v>0</v>
      </c>
      <c r="G40" s="256" t="str">
        <f>IF(IFERROR(IF(Str_TypeDonneesCpt7=Cpt_Index,Tab_Compteur_7[[#This Row],[Index]]-E39,Tab_Compteur_7[[#This Row],[Quantité]])/Tab_Compteur_7[[#This Row],[Delta Jour]],"")&lt;0,"",IFERROR(IF(Str_TypeDonneesCpt7=Cpt_Index,Tab_Compteur_7[[#This Row],[Index]]-E39,Tab_Compteur_7[[#This Row],[Quantité]])/Tab_Compteur_7[[#This Row],[Delta Jour]],""))</f>
        <v/>
      </c>
      <c r="H40" s="256" t="str">
        <f>IFERROR(Tab_Compteur_7[[#This Row],[Montant]]/Tab_Compteur_7[[#This Row],[Delta Jour]],"")</f>
        <v/>
      </c>
      <c r="I40" s="215" t="str">
        <f t="shared" si="1"/>
        <v/>
      </c>
      <c r="J40" s="216"/>
      <c r="K40" s="38"/>
      <c r="L40" s="38"/>
      <c r="M40" s="38"/>
    </row>
    <row r="41" spans="1:13">
      <c r="A41" s="3">
        <f t="shared" si="2"/>
        <v>1</v>
      </c>
      <c r="B41" s="239"/>
      <c r="C41" s="194"/>
      <c r="D41" s="200"/>
      <c r="E41" s="193"/>
      <c r="F41" s="256">
        <f t="shared" si="0"/>
        <v>0</v>
      </c>
      <c r="G41" s="256" t="str">
        <f>IF(IFERROR(IF(Str_TypeDonneesCpt7=Cpt_Index,Tab_Compteur_7[[#This Row],[Index]]-E40,Tab_Compteur_7[[#This Row],[Quantité]])/Tab_Compteur_7[[#This Row],[Delta Jour]],"")&lt;0,"",IFERROR(IF(Str_TypeDonneesCpt7=Cpt_Index,Tab_Compteur_7[[#This Row],[Index]]-E40,Tab_Compteur_7[[#This Row],[Quantité]])/Tab_Compteur_7[[#This Row],[Delta Jour]],""))</f>
        <v/>
      </c>
      <c r="H41" s="256" t="str">
        <f>IFERROR(Tab_Compteur_7[[#This Row],[Montant]]/Tab_Compteur_7[[#This Row],[Delta Jour]],"")</f>
        <v/>
      </c>
      <c r="I41" s="215" t="str">
        <f t="shared" si="1"/>
        <v/>
      </c>
      <c r="J41" s="216"/>
      <c r="K41" s="38"/>
      <c r="L41" s="38"/>
      <c r="M41" s="38"/>
    </row>
    <row r="42" spans="1:13">
      <c r="A42" s="3">
        <f t="shared" si="2"/>
        <v>1</v>
      </c>
      <c r="B42" s="239"/>
      <c r="C42" s="194"/>
      <c r="D42" s="200"/>
      <c r="E42" s="193"/>
      <c r="F42" s="256">
        <f t="shared" si="0"/>
        <v>0</v>
      </c>
      <c r="G42" s="256" t="str">
        <f>IF(IFERROR(IF(Str_TypeDonneesCpt7=Cpt_Index,Tab_Compteur_7[[#This Row],[Index]]-E41,Tab_Compteur_7[[#This Row],[Quantité]])/Tab_Compteur_7[[#This Row],[Delta Jour]],"")&lt;0,"",IFERROR(IF(Str_TypeDonneesCpt7=Cpt_Index,Tab_Compteur_7[[#This Row],[Index]]-E41,Tab_Compteur_7[[#This Row],[Quantité]])/Tab_Compteur_7[[#This Row],[Delta Jour]],""))</f>
        <v/>
      </c>
      <c r="H42" s="256" t="str">
        <f>IFERROR(Tab_Compteur_7[[#This Row],[Montant]]/Tab_Compteur_7[[#This Row],[Delta Jour]],"")</f>
        <v/>
      </c>
      <c r="I42" s="215" t="str">
        <f t="shared" si="1"/>
        <v/>
      </c>
      <c r="J42" s="216"/>
      <c r="K42" s="38"/>
      <c r="L42" s="38"/>
      <c r="M42" s="38"/>
    </row>
    <row r="43" spans="1:13">
      <c r="A43" s="3">
        <f t="shared" si="2"/>
        <v>1</v>
      </c>
      <c r="B43" s="239"/>
      <c r="C43" s="194"/>
      <c r="D43" s="200"/>
      <c r="E43" s="193"/>
      <c r="F43" s="256">
        <f t="shared" si="0"/>
        <v>0</v>
      </c>
      <c r="G43" s="256" t="str">
        <f>IF(IFERROR(IF(Str_TypeDonneesCpt7=Cpt_Index,Tab_Compteur_7[[#This Row],[Index]]-E42,Tab_Compteur_7[[#This Row],[Quantité]])/Tab_Compteur_7[[#This Row],[Delta Jour]],"")&lt;0,"",IFERROR(IF(Str_TypeDonneesCpt7=Cpt_Index,Tab_Compteur_7[[#This Row],[Index]]-E42,Tab_Compteur_7[[#This Row],[Quantité]])/Tab_Compteur_7[[#This Row],[Delta Jour]],""))</f>
        <v/>
      </c>
      <c r="H43" s="256" t="str">
        <f>IFERROR(Tab_Compteur_7[[#This Row],[Montant]]/Tab_Compteur_7[[#This Row],[Delta Jour]],"")</f>
        <v/>
      </c>
      <c r="I43" s="215" t="str">
        <f t="shared" si="1"/>
        <v/>
      </c>
      <c r="J43" s="216"/>
      <c r="K43" s="38"/>
      <c r="L43" s="38"/>
      <c r="M43" s="38"/>
    </row>
    <row r="44" spans="1:13">
      <c r="A44" s="3">
        <f t="shared" si="2"/>
        <v>1</v>
      </c>
      <c r="B44" s="239"/>
      <c r="C44" s="194"/>
      <c r="D44" s="200"/>
      <c r="E44" s="193"/>
      <c r="F44" s="256">
        <f t="shared" si="0"/>
        <v>0</v>
      </c>
      <c r="G44" s="256" t="str">
        <f>IF(IFERROR(IF(Str_TypeDonneesCpt7=Cpt_Index,Tab_Compteur_7[[#This Row],[Index]]-E43,Tab_Compteur_7[[#This Row],[Quantité]])/Tab_Compteur_7[[#This Row],[Delta Jour]],"")&lt;0,"",IFERROR(IF(Str_TypeDonneesCpt7=Cpt_Index,Tab_Compteur_7[[#This Row],[Index]]-E43,Tab_Compteur_7[[#This Row],[Quantité]])/Tab_Compteur_7[[#This Row],[Delta Jour]],""))</f>
        <v/>
      </c>
      <c r="H44" s="256" t="str">
        <f>IFERROR(Tab_Compteur_7[[#This Row],[Montant]]/Tab_Compteur_7[[#This Row],[Delta Jour]],"")</f>
        <v/>
      </c>
      <c r="I44" s="215" t="str">
        <f t="shared" si="1"/>
        <v/>
      </c>
      <c r="J44" s="216"/>
      <c r="K44" s="38"/>
      <c r="L44" s="38"/>
      <c r="M44" s="38"/>
    </row>
    <row r="45" spans="1:13">
      <c r="A45" s="3">
        <f t="shared" si="2"/>
        <v>1</v>
      </c>
      <c r="B45" s="88"/>
      <c r="C45" s="194"/>
      <c r="D45" s="200"/>
      <c r="E45" s="193"/>
      <c r="F45" s="256">
        <f t="shared" si="0"/>
        <v>0</v>
      </c>
      <c r="G45" s="256" t="str">
        <f>IF(IFERROR(IF(Str_TypeDonneesCpt7=Cpt_Index,Tab_Compteur_7[[#This Row],[Index]]-E44,Tab_Compteur_7[[#This Row],[Quantité]])/Tab_Compteur_7[[#This Row],[Delta Jour]],"")&lt;0,"",IFERROR(IF(Str_TypeDonneesCpt7=Cpt_Index,Tab_Compteur_7[[#This Row],[Index]]-E44,Tab_Compteur_7[[#This Row],[Quantité]])/Tab_Compteur_7[[#This Row],[Delta Jour]],""))</f>
        <v/>
      </c>
      <c r="H45" s="256" t="str">
        <f>IFERROR(Tab_Compteur_7[[#This Row],[Montant]]/Tab_Compteur_7[[#This Row],[Delta Jour]],"")</f>
        <v/>
      </c>
      <c r="I45" s="215" t="str">
        <f t="shared" si="1"/>
        <v/>
      </c>
      <c r="J45" s="216"/>
      <c r="K45" s="38"/>
      <c r="L45" s="38"/>
      <c r="M45" s="38"/>
    </row>
    <row r="46" spans="1:13">
      <c r="A46" s="3">
        <f t="shared" si="2"/>
        <v>1</v>
      </c>
      <c r="B46" s="88"/>
      <c r="C46" s="194"/>
      <c r="D46" s="200"/>
      <c r="E46" s="193"/>
      <c r="F46" s="256">
        <f t="shared" si="0"/>
        <v>0</v>
      </c>
      <c r="G46" s="256" t="str">
        <f>IF(IFERROR(IF(Str_TypeDonneesCpt7=Cpt_Index,Tab_Compteur_7[[#This Row],[Index]]-E45,Tab_Compteur_7[[#This Row],[Quantité]])/Tab_Compteur_7[[#This Row],[Delta Jour]],"")&lt;0,"",IFERROR(IF(Str_TypeDonneesCpt7=Cpt_Index,Tab_Compteur_7[[#This Row],[Index]]-E45,Tab_Compteur_7[[#This Row],[Quantité]])/Tab_Compteur_7[[#This Row],[Delta Jour]],""))</f>
        <v/>
      </c>
      <c r="H46" s="256" t="str">
        <f>IFERROR(Tab_Compteur_7[[#This Row],[Montant]]/Tab_Compteur_7[[#This Row],[Delta Jour]],"")</f>
        <v/>
      </c>
      <c r="I46" s="215" t="str">
        <f t="shared" si="1"/>
        <v/>
      </c>
      <c r="J46" s="216"/>
      <c r="K46" s="38"/>
      <c r="L46" s="38"/>
      <c r="M46" s="38"/>
    </row>
    <row r="47" spans="1:13">
      <c r="A47" s="3">
        <f t="shared" si="2"/>
        <v>1</v>
      </c>
      <c r="B47" s="88"/>
      <c r="C47" s="194"/>
      <c r="D47" s="200"/>
      <c r="E47" s="193"/>
      <c r="F47" s="256">
        <f t="shared" si="0"/>
        <v>0</v>
      </c>
      <c r="G47" s="256" t="str">
        <f>IF(IFERROR(IF(Str_TypeDonneesCpt7=Cpt_Index,Tab_Compteur_7[[#This Row],[Index]]-E46,Tab_Compteur_7[[#This Row],[Quantité]])/Tab_Compteur_7[[#This Row],[Delta Jour]],"")&lt;0,"",IFERROR(IF(Str_TypeDonneesCpt7=Cpt_Index,Tab_Compteur_7[[#This Row],[Index]]-E46,Tab_Compteur_7[[#This Row],[Quantité]])/Tab_Compteur_7[[#This Row],[Delta Jour]],""))</f>
        <v/>
      </c>
      <c r="H47" s="256" t="str">
        <f>IFERROR(Tab_Compteur_7[[#This Row],[Montant]]/Tab_Compteur_7[[#This Row],[Delta Jour]],"")</f>
        <v/>
      </c>
      <c r="I47" s="215" t="str">
        <f t="shared" si="1"/>
        <v/>
      </c>
      <c r="J47" s="216"/>
      <c r="K47" s="38"/>
      <c r="L47" s="38"/>
      <c r="M47" s="38"/>
    </row>
    <row r="48" spans="1:13">
      <c r="A48" s="3">
        <f t="shared" si="2"/>
        <v>1</v>
      </c>
      <c r="B48" s="88"/>
      <c r="C48" s="194"/>
      <c r="D48" s="200"/>
      <c r="E48" s="193"/>
      <c r="F48" s="256">
        <f t="shared" si="0"/>
        <v>0</v>
      </c>
      <c r="G48" s="256" t="str">
        <f>IF(IFERROR(IF(Str_TypeDonneesCpt7=Cpt_Index,Tab_Compteur_7[[#This Row],[Index]]-E47,Tab_Compteur_7[[#This Row],[Quantité]])/Tab_Compteur_7[[#This Row],[Delta Jour]],"")&lt;0,"",IFERROR(IF(Str_TypeDonneesCpt7=Cpt_Index,Tab_Compteur_7[[#This Row],[Index]]-E47,Tab_Compteur_7[[#This Row],[Quantité]])/Tab_Compteur_7[[#This Row],[Delta Jour]],""))</f>
        <v/>
      </c>
      <c r="H48" s="256" t="str">
        <f>IFERROR(Tab_Compteur_7[[#This Row],[Montant]]/Tab_Compteur_7[[#This Row],[Delta Jour]],"")</f>
        <v/>
      </c>
      <c r="I48" s="215" t="str">
        <f t="shared" si="1"/>
        <v/>
      </c>
      <c r="J48" s="216"/>
      <c r="K48" s="38"/>
      <c r="L48" s="38"/>
      <c r="M48" s="38"/>
    </row>
    <row r="49" spans="1:13">
      <c r="A49" s="3">
        <f t="shared" si="2"/>
        <v>1</v>
      </c>
      <c r="B49" s="88"/>
      <c r="C49" s="194"/>
      <c r="D49" s="200"/>
      <c r="E49" s="193"/>
      <c r="F49" s="256">
        <f t="shared" si="0"/>
        <v>0</v>
      </c>
      <c r="G49" s="256" t="str">
        <f>IF(IFERROR(IF(Str_TypeDonneesCpt7=Cpt_Index,Tab_Compteur_7[[#This Row],[Index]]-E48,Tab_Compteur_7[[#This Row],[Quantité]])/Tab_Compteur_7[[#This Row],[Delta Jour]],"")&lt;0,"",IFERROR(IF(Str_TypeDonneesCpt7=Cpt_Index,Tab_Compteur_7[[#This Row],[Index]]-E48,Tab_Compteur_7[[#This Row],[Quantité]])/Tab_Compteur_7[[#This Row],[Delta Jour]],""))</f>
        <v/>
      </c>
      <c r="H49" s="256" t="str">
        <f>IFERROR(Tab_Compteur_7[[#This Row],[Montant]]/Tab_Compteur_7[[#This Row],[Delta Jour]],"")</f>
        <v/>
      </c>
      <c r="I49" s="215" t="str">
        <f t="shared" si="1"/>
        <v/>
      </c>
      <c r="J49" s="216"/>
      <c r="K49" s="38"/>
      <c r="L49" s="38"/>
      <c r="M49" s="38"/>
    </row>
    <row r="50" spans="1:13">
      <c r="A50" s="3">
        <f t="shared" si="2"/>
        <v>1</v>
      </c>
      <c r="B50" s="88"/>
      <c r="C50" s="194"/>
      <c r="D50" s="200"/>
      <c r="E50" s="193"/>
      <c r="F50" s="256">
        <f t="shared" si="0"/>
        <v>0</v>
      </c>
      <c r="G50" s="256" t="str">
        <f>IF(IFERROR(IF(Str_TypeDonneesCpt7=Cpt_Index,Tab_Compteur_7[[#This Row],[Index]]-E49,Tab_Compteur_7[[#This Row],[Quantité]])/Tab_Compteur_7[[#This Row],[Delta Jour]],"")&lt;0,"",IFERROR(IF(Str_TypeDonneesCpt7=Cpt_Index,Tab_Compteur_7[[#This Row],[Index]]-E49,Tab_Compteur_7[[#This Row],[Quantité]])/Tab_Compteur_7[[#This Row],[Delta Jour]],""))</f>
        <v/>
      </c>
      <c r="H50" s="256" t="str">
        <f>IFERROR(Tab_Compteur_7[[#This Row],[Montant]]/Tab_Compteur_7[[#This Row],[Delta Jour]],"")</f>
        <v/>
      </c>
      <c r="I50" s="215" t="str">
        <f t="shared" si="1"/>
        <v/>
      </c>
      <c r="J50" s="216"/>
      <c r="K50" s="38"/>
      <c r="L50" s="38"/>
      <c r="M50" s="38"/>
    </row>
    <row r="51" spans="1:13">
      <c r="A51" s="3">
        <f t="shared" si="2"/>
        <v>1</v>
      </c>
      <c r="B51" s="88"/>
      <c r="C51" s="194"/>
      <c r="D51" s="200"/>
      <c r="E51" s="193"/>
      <c r="F51" s="256">
        <f t="shared" si="0"/>
        <v>0</v>
      </c>
      <c r="G51" s="256" t="str">
        <f>IF(IFERROR(IF(Str_TypeDonneesCpt7=Cpt_Index,Tab_Compteur_7[[#This Row],[Index]]-E50,Tab_Compteur_7[[#This Row],[Quantité]])/Tab_Compteur_7[[#This Row],[Delta Jour]],"")&lt;0,"",IFERROR(IF(Str_TypeDonneesCpt7=Cpt_Index,Tab_Compteur_7[[#This Row],[Index]]-E50,Tab_Compteur_7[[#This Row],[Quantité]])/Tab_Compteur_7[[#This Row],[Delta Jour]],""))</f>
        <v/>
      </c>
      <c r="H51" s="256" t="str">
        <f>IFERROR(Tab_Compteur_7[[#This Row],[Montant]]/Tab_Compteur_7[[#This Row],[Delta Jour]],"")</f>
        <v/>
      </c>
      <c r="I51" s="215" t="str">
        <f t="shared" si="1"/>
        <v/>
      </c>
      <c r="J51" s="216"/>
      <c r="K51" s="38"/>
      <c r="L51" s="38"/>
      <c r="M51" s="38"/>
    </row>
    <row r="52" spans="1:13">
      <c r="A52" s="3">
        <f t="shared" si="2"/>
        <v>1</v>
      </c>
      <c r="B52" s="88"/>
      <c r="C52" s="194"/>
      <c r="D52" s="200"/>
      <c r="E52" s="193"/>
      <c r="F52" s="256">
        <f t="shared" si="0"/>
        <v>0</v>
      </c>
      <c r="G52" s="256" t="str">
        <f>IF(IFERROR(IF(Str_TypeDonneesCpt7=Cpt_Index,Tab_Compteur_7[[#This Row],[Index]]-E51,Tab_Compteur_7[[#This Row],[Quantité]])/Tab_Compteur_7[[#This Row],[Delta Jour]],"")&lt;0,"",IFERROR(IF(Str_TypeDonneesCpt7=Cpt_Index,Tab_Compteur_7[[#This Row],[Index]]-E51,Tab_Compteur_7[[#This Row],[Quantité]])/Tab_Compteur_7[[#This Row],[Delta Jour]],""))</f>
        <v/>
      </c>
      <c r="H52" s="256" t="str">
        <f>IFERROR(Tab_Compteur_7[[#This Row],[Montant]]/Tab_Compteur_7[[#This Row],[Delta Jour]],"")</f>
        <v/>
      </c>
      <c r="I52" s="215" t="str">
        <f t="shared" si="1"/>
        <v/>
      </c>
      <c r="J52" s="216"/>
      <c r="K52" s="38"/>
      <c r="L52" s="38"/>
      <c r="M52" s="38"/>
    </row>
    <row r="53" spans="1:13">
      <c r="A53" s="3">
        <f t="shared" si="2"/>
        <v>1</v>
      </c>
      <c r="B53" s="88"/>
      <c r="C53" s="194"/>
      <c r="D53" s="200"/>
      <c r="E53" s="193"/>
      <c r="F53" s="256">
        <f t="shared" si="0"/>
        <v>0</v>
      </c>
      <c r="G53" s="256" t="str">
        <f>IF(IFERROR(IF(Str_TypeDonneesCpt7=Cpt_Index,Tab_Compteur_7[[#This Row],[Index]]-E52,Tab_Compteur_7[[#This Row],[Quantité]])/Tab_Compteur_7[[#This Row],[Delta Jour]],"")&lt;0,"",IFERROR(IF(Str_TypeDonneesCpt7=Cpt_Index,Tab_Compteur_7[[#This Row],[Index]]-E52,Tab_Compteur_7[[#This Row],[Quantité]])/Tab_Compteur_7[[#This Row],[Delta Jour]],""))</f>
        <v/>
      </c>
      <c r="H53" s="256" t="str">
        <f>IFERROR(Tab_Compteur_7[[#This Row],[Montant]]/Tab_Compteur_7[[#This Row],[Delta Jour]],"")</f>
        <v/>
      </c>
      <c r="I53" s="215" t="str">
        <f t="shared" si="1"/>
        <v/>
      </c>
      <c r="J53" s="216"/>
      <c r="K53" s="38"/>
      <c r="L53" s="38"/>
      <c r="M53" s="38"/>
    </row>
    <row r="54" spans="1:13">
      <c r="A54" s="3">
        <f t="shared" si="2"/>
        <v>1</v>
      </c>
      <c r="B54" s="88"/>
      <c r="C54" s="194"/>
      <c r="D54" s="200"/>
      <c r="E54" s="193"/>
      <c r="F54" s="256">
        <f t="shared" si="0"/>
        <v>0</v>
      </c>
      <c r="G54" s="256" t="str">
        <f>IF(IFERROR(IF(Str_TypeDonneesCpt7=Cpt_Index,Tab_Compteur_7[[#This Row],[Index]]-E53,Tab_Compteur_7[[#This Row],[Quantité]])/Tab_Compteur_7[[#This Row],[Delta Jour]],"")&lt;0,"",IFERROR(IF(Str_TypeDonneesCpt7=Cpt_Index,Tab_Compteur_7[[#This Row],[Index]]-E53,Tab_Compteur_7[[#This Row],[Quantité]])/Tab_Compteur_7[[#This Row],[Delta Jour]],""))</f>
        <v/>
      </c>
      <c r="H54" s="256" t="str">
        <f>IFERROR(Tab_Compteur_7[[#This Row],[Montant]]/Tab_Compteur_7[[#This Row],[Delta Jour]],"")</f>
        <v/>
      </c>
      <c r="I54" s="215" t="str">
        <f t="shared" si="1"/>
        <v/>
      </c>
      <c r="J54" s="216"/>
      <c r="K54" s="38"/>
      <c r="L54" s="38"/>
      <c r="M54" s="38"/>
    </row>
    <row r="55" spans="1:13">
      <c r="A55" s="3">
        <f t="shared" si="2"/>
        <v>1</v>
      </c>
      <c r="B55" s="88"/>
      <c r="C55" s="194"/>
      <c r="D55" s="200"/>
      <c r="E55" s="193"/>
      <c r="F55" s="256">
        <f t="shared" si="0"/>
        <v>0</v>
      </c>
      <c r="G55" s="256" t="str">
        <f>IF(IFERROR(IF(Str_TypeDonneesCpt7=Cpt_Index,Tab_Compteur_7[[#This Row],[Index]]-E54,Tab_Compteur_7[[#This Row],[Quantité]])/Tab_Compteur_7[[#This Row],[Delta Jour]],"")&lt;0,"",IFERROR(IF(Str_TypeDonneesCpt7=Cpt_Index,Tab_Compteur_7[[#This Row],[Index]]-E54,Tab_Compteur_7[[#This Row],[Quantité]])/Tab_Compteur_7[[#This Row],[Delta Jour]],""))</f>
        <v/>
      </c>
      <c r="H55" s="256" t="str">
        <f>IFERROR(Tab_Compteur_7[[#This Row],[Montant]]/Tab_Compteur_7[[#This Row],[Delta Jour]],"")</f>
        <v/>
      </c>
      <c r="I55" s="215" t="str">
        <f t="shared" si="1"/>
        <v/>
      </c>
      <c r="J55" s="216"/>
      <c r="K55" s="38"/>
      <c r="L55" s="38"/>
      <c r="M55" s="38"/>
    </row>
    <row r="56" spans="1:13">
      <c r="A56" s="3">
        <f t="shared" si="2"/>
        <v>1</v>
      </c>
      <c r="B56" s="88"/>
      <c r="C56" s="194"/>
      <c r="D56" s="200"/>
      <c r="E56" s="193"/>
      <c r="F56" s="256">
        <f t="shared" si="0"/>
        <v>0</v>
      </c>
      <c r="G56" s="256" t="str">
        <f>IF(IFERROR(IF(Str_TypeDonneesCpt7=Cpt_Index,Tab_Compteur_7[[#This Row],[Index]]-E55,Tab_Compteur_7[[#This Row],[Quantité]])/Tab_Compteur_7[[#This Row],[Delta Jour]],"")&lt;0,"",IFERROR(IF(Str_TypeDonneesCpt7=Cpt_Index,Tab_Compteur_7[[#This Row],[Index]]-E55,Tab_Compteur_7[[#This Row],[Quantité]])/Tab_Compteur_7[[#This Row],[Delta Jour]],""))</f>
        <v/>
      </c>
      <c r="H56" s="256" t="str">
        <f>IFERROR(Tab_Compteur_7[[#This Row],[Montant]]/Tab_Compteur_7[[#This Row],[Delta Jour]],"")</f>
        <v/>
      </c>
      <c r="I56" s="215" t="str">
        <f t="shared" si="1"/>
        <v/>
      </c>
      <c r="J56" s="216"/>
      <c r="K56" s="38"/>
      <c r="L56" s="38"/>
      <c r="M56" s="38"/>
    </row>
    <row r="57" spans="1:13">
      <c r="A57" s="3">
        <f t="shared" si="2"/>
        <v>1</v>
      </c>
      <c r="B57" s="88"/>
      <c r="C57" s="194"/>
      <c r="D57" s="200"/>
      <c r="E57" s="193"/>
      <c r="F57" s="256">
        <f t="shared" si="0"/>
        <v>0</v>
      </c>
      <c r="G57" s="256" t="str">
        <f>IF(IFERROR(IF(Str_TypeDonneesCpt7=Cpt_Index,Tab_Compteur_7[[#This Row],[Index]]-E56,Tab_Compteur_7[[#This Row],[Quantité]])/Tab_Compteur_7[[#This Row],[Delta Jour]],"")&lt;0,"",IFERROR(IF(Str_TypeDonneesCpt7=Cpt_Index,Tab_Compteur_7[[#This Row],[Index]]-E56,Tab_Compteur_7[[#This Row],[Quantité]])/Tab_Compteur_7[[#This Row],[Delta Jour]],""))</f>
        <v/>
      </c>
      <c r="H57" s="256" t="str">
        <f>IFERROR(Tab_Compteur_7[[#This Row],[Montant]]/Tab_Compteur_7[[#This Row],[Delta Jour]],"")</f>
        <v/>
      </c>
      <c r="I57" s="215" t="str">
        <f t="shared" si="1"/>
        <v/>
      </c>
      <c r="J57" s="216"/>
      <c r="K57" s="38"/>
      <c r="L57" s="38"/>
      <c r="M57" s="38"/>
    </row>
    <row r="58" spans="1:13">
      <c r="A58" s="3">
        <f t="shared" si="2"/>
        <v>1</v>
      </c>
      <c r="B58" s="88"/>
      <c r="C58" s="194"/>
      <c r="D58" s="200"/>
      <c r="E58" s="193"/>
      <c r="F58" s="256">
        <f t="shared" si="0"/>
        <v>0</v>
      </c>
      <c r="G58" s="256" t="str">
        <f>IF(IFERROR(IF(Str_TypeDonneesCpt7=Cpt_Index,Tab_Compteur_7[[#This Row],[Index]]-E57,Tab_Compteur_7[[#This Row],[Quantité]])/Tab_Compteur_7[[#This Row],[Delta Jour]],"")&lt;0,"",IFERROR(IF(Str_TypeDonneesCpt7=Cpt_Index,Tab_Compteur_7[[#This Row],[Index]]-E57,Tab_Compteur_7[[#This Row],[Quantité]])/Tab_Compteur_7[[#This Row],[Delta Jour]],""))</f>
        <v/>
      </c>
      <c r="H58" s="256" t="str">
        <f>IFERROR(Tab_Compteur_7[[#This Row],[Montant]]/Tab_Compteur_7[[#This Row],[Delta Jour]],"")</f>
        <v/>
      </c>
      <c r="I58" s="215" t="str">
        <f t="shared" si="1"/>
        <v/>
      </c>
      <c r="J58" s="216"/>
      <c r="K58" s="38"/>
      <c r="L58" s="38"/>
      <c r="M58" s="38"/>
    </row>
    <row r="59" spans="1:13">
      <c r="A59" s="3">
        <f t="shared" si="2"/>
        <v>1</v>
      </c>
      <c r="B59" s="88"/>
      <c r="C59" s="194"/>
      <c r="D59" s="200"/>
      <c r="E59" s="193"/>
      <c r="F59" s="256">
        <f t="shared" si="0"/>
        <v>0</v>
      </c>
      <c r="G59" s="256" t="str">
        <f>IF(IFERROR(IF(Str_TypeDonneesCpt7=Cpt_Index,Tab_Compteur_7[[#This Row],[Index]]-E58,Tab_Compteur_7[[#This Row],[Quantité]])/Tab_Compteur_7[[#This Row],[Delta Jour]],"")&lt;0,"",IFERROR(IF(Str_TypeDonneesCpt7=Cpt_Index,Tab_Compteur_7[[#This Row],[Index]]-E58,Tab_Compteur_7[[#This Row],[Quantité]])/Tab_Compteur_7[[#This Row],[Delta Jour]],""))</f>
        <v/>
      </c>
      <c r="H59" s="256" t="str">
        <f>IFERROR(Tab_Compteur_7[[#This Row],[Montant]]/Tab_Compteur_7[[#This Row],[Delta Jour]],"")</f>
        <v/>
      </c>
      <c r="I59" s="215" t="str">
        <f t="shared" si="1"/>
        <v/>
      </c>
      <c r="J59" s="216"/>
      <c r="K59" s="38"/>
      <c r="L59" s="38"/>
      <c r="M59" s="38"/>
    </row>
    <row r="60" spans="1:13">
      <c r="A60" s="3">
        <f t="shared" si="2"/>
        <v>1</v>
      </c>
      <c r="B60" s="88"/>
      <c r="C60" s="194"/>
      <c r="D60" s="195"/>
      <c r="E60" s="193"/>
      <c r="F60" s="256">
        <f t="shared" si="0"/>
        <v>0</v>
      </c>
      <c r="G60" s="256" t="str">
        <f>IF(IFERROR(IF(Str_TypeDonneesCpt7=Cpt_Index,Tab_Compteur_7[[#This Row],[Index]]-E59,Tab_Compteur_7[[#This Row],[Quantité]])/Tab_Compteur_7[[#This Row],[Delta Jour]],"")&lt;0,"",IFERROR(IF(Str_TypeDonneesCpt7=Cpt_Index,Tab_Compteur_7[[#This Row],[Index]]-E59,Tab_Compteur_7[[#This Row],[Quantité]])/Tab_Compteur_7[[#This Row],[Delta Jour]],""))</f>
        <v/>
      </c>
      <c r="H60" s="256" t="str">
        <f>IFERROR(Tab_Compteur_7[[#This Row],[Montant]]/Tab_Compteur_7[[#This Row],[Delta Jour]],"")</f>
        <v/>
      </c>
      <c r="I60" s="215" t="str">
        <f t="shared" si="1"/>
        <v/>
      </c>
      <c r="J60" s="216"/>
      <c r="K60" s="38"/>
      <c r="L60" s="38"/>
      <c r="M60" s="38"/>
    </row>
    <row r="61" spans="1:13">
      <c r="A61" s="3">
        <f t="shared" si="2"/>
        <v>1</v>
      </c>
      <c r="B61" s="88"/>
      <c r="C61" s="194"/>
      <c r="D61" s="195"/>
      <c r="E61" s="193"/>
      <c r="F61" s="256">
        <f t="shared" si="0"/>
        <v>0</v>
      </c>
      <c r="G61" s="256" t="str">
        <f>IF(IFERROR(IF(Str_TypeDonneesCpt7=Cpt_Index,Tab_Compteur_7[[#This Row],[Index]]-E60,Tab_Compteur_7[[#This Row],[Quantité]])/Tab_Compteur_7[[#This Row],[Delta Jour]],"")&lt;0,"",IFERROR(IF(Str_TypeDonneesCpt7=Cpt_Index,Tab_Compteur_7[[#This Row],[Index]]-E60,Tab_Compteur_7[[#This Row],[Quantité]])/Tab_Compteur_7[[#This Row],[Delta Jour]],""))</f>
        <v/>
      </c>
      <c r="H61" s="256" t="str">
        <f>IFERROR(Tab_Compteur_7[[#This Row],[Montant]]/Tab_Compteur_7[[#This Row],[Delta Jour]],"")</f>
        <v/>
      </c>
      <c r="I61" s="215" t="str">
        <f t="shared" si="1"/>
        <v/>
      </c>
      <c r="J61" s="216"/>
      <c r="K61" s="38"/>
      <c r="L61" s="38"/>
      <c r="M61" s="38"/>
    </row>
    <row r="62" spans="1:13">
      <c r="A62" s="3">
        <f t="shared" si="2"/>
        <v>1</v>
      </c>
      <c r="B62" s="88"/>
      <c r="C62" s="194"/>
      <c r="D62" s="195"/>
      <c r="E62" s="193"/>
      <c r="F62" s="256">
        <f t="shared" si="0"/>
        <v>0</v>
      </c>
      <c r="G62" s="256" t="str">
        <f>IF(IFERROR(IF(Str_TypeDonneesCpt7=Cpt_Index,Tab_Compteur_7[[#This Row],[Index]]-E61,Tab_Compteur_7[[#This Row],[Quantité]])/Tab_Compteur_7[[#This Row],[Delta Jour]],"")&lt;0,"",IFERROR(IF(Str_TypeDonneesCpt7=Cpt_Index,Tab_Compteur_7[[#This Row],[Index]]-E61,Tab_Compteur_7[[#This Row],[Quantité]])/Tab_Compteur_7[[#This Row],[Delta Jour]],""))</f>
        <v/>
      </c>
      <c r="H62" s="256" t="str">
        <f>IFERROR(Tab_Compteur_7[[#This Row],[Montant]]/Tab_Compteur_7[[#This Row],[Delta Jour]],"")</f>
        <v/>
      </c>
      <c r="I62" s="215" t="str">
        <f t="shared" si="1"/>
        <v/>
      </c>
      <c r="J62" s="216"/>
      <c r="K62" s="38"/>
      <c r="L62" s="38"/>
      <c r="M62" s="38"/>
    </row>
    <row r="63" spans="1:13">
      <c r="A63" s="3">
        <f t="shared" si="2"/>
        <v>1</v>
      </c>
      <c r="B63" s="88"/>
      <c r="C63" s="194"/>
      <c r="D63" s="195"/>
      <c r="E63" s="193"/>
      <c r="F63" s="256">
        <f t="shared" si="0"/>
        <v>0</v>
      </c>
      <c r="G63" s="256" t="str">
        <f>IF(IFERROR(IF(Str_TypeDonneesCpt7=Cpt_Index,Tab_Compteur_7[[#This Row],[Index]]-E62,Tab_Compteur_7[[#This Row],[Quantité]])/Tab_Compteur_7[[#This Row],[Delta Jour]],"")&lt;0,"",IFERROR(IF(Str_TypeDonneesCpt7=Cpt_Index,Tab_Compteur_7[[#This Row],[Index]]-E62,Tab_Compteur_7[[#This Row],[Quantité]])/Tab_Compteur_7[[#This Row],[Delta Jour]],""))</f>
        <v/>
      </c>
      <c r="H63" s="256" t="str">
        <f>IFERROR(Tab_Compteur_7[[#This Row],[Montant]]/Tab_Compteur_7[[#This Row],[Delta Jour]],"")</f>
        <v/>
      </c>
      <c r="I63" s="215" t="str">
        <f t="shared" si="1"/>
        <v/>
      </c>
      <c r="J63" s="216"/>
      <c r="K63" s="38"/>
      <c r="L63" s="38"/>
      <c r="M63" s="38"/>
    </row>
    <row r="64" spans="1:13">
      <c r="A64" s="3">
        <f t="shared" si="2"/>
        <v>1</v>
      </c>
      <c r="B64" s="88"/>
      <c r="C64" s="194"/>
      <c r="D64" s="195"/>
      <c r="E64" s="193"/>
      <c r="F64" s="256">
        <f t="shared" si="0"/>
        <v>0</v>
      </c>
      <c r="G64" s="256" t="str">
        <f>IF(IFERROR(IF(Str_TypeDonneesCpt7=Cpt_Index,Tab_Compteur_7[[#This Row],[Index]]-E63,Tab_Compteur_7[[#This Row],[Quantité]])/Tab_Compteur_7[[#This Row],[Delta Jour]],"")&lt;0,"",IFERROR(IF(Str_TypeDonneesCpt7=Cpt_Index,Tab_Compteur_7[[#This Row],[Index]]-E63,Tab_Compteur_7[[#This Row],[Quantité]])/Tab_Compteur_7[[#This Row],[Delta Jour]],""))</f>
        <v/>
      </c>
      <c r="H64" s="256" t="str">
        <f>IFERROR(Tab_Compteur_7[[#This Row],[Montant]]/Tab_Compteur_7[[#This Row],[Delta Jour]],"")</f>
        <v/>
      </c>
      <c r="I64" s="215" t="str">
        <f t="shared" si="1"/>
        <v/>
      </c>
      <c r="J64" s="216"/>
      <c r="K64" s="38"/>
      <c r="L64" s="38"/>
      <c r="M64" s="38"/>
    </row>
    <row r="65" spans="1:13">
      <c r="A65" s="3">
        <f t="shared" si="2"/>
        <v>1</v>
      </c>
      <c r="B65" s="88"/>
      <c r="C65" s="194"/>
      <c r="D65" s="195"/>
      <c r="E65" s="193"/>
      <c r="F65" s="256">
        <f t="shared" si="0"/>
        <v>0</v>
      </c>
      <c r="G65" s="256" t="str">
        <f>IF(IFERROR(IF(Str_TypeDonneesCpt7=Cpt_Index,Tab_Compteur_7[[#This Row],[Index]]-E64,Tab_Compteur_7[[#This Row],[Quantité]])/Tab_Compteur_7[[#This Row],[Delta Jour]],"")&lt;0,"",IFERROR(IF(Str_TypeDonneesCpt7=Cpt_Index,Tab_Compteur_7[[#This Row],[Index]]-E64,Tab_Compteur_7[[#This Row],[Quantité]])/Tab_Compteur_7[[#This Row],[Delta Jour]],""))</f>
        <v/>
      </c>
      <c r="H65" s="256" t="str">
        <f>IFERROR(Tab_Compteur_7[[#This Row],[Montant]]/Tab_Compteur_7[[#This Row],[Delta Jour]],"")</f>
        <v/>
      </c>
      <c r="I65" s="215" t="str">
        <f t="shared" si="1"/>
        <v/>
      </c>
      <c r="J65" s="216"/>
      <c r="K65" s="38"/>
      <c r="L65" s="38"/>
      <c r="M65" s="38"/>
    </row>
    <row r="66" spans="1:13">
      <c r="A66" s="3">
        <f t="shared" si="2"/>
        <v>1</v>
      </c>
      <c r="B66" s="88"/>
      <c r="C66" s="194"/>
      <c r="D66" s="195"/>
      <c r="E66" s="193"/>
      <c r="F66" s="256">
        <f t="shared" si="0"/>
        <v>0</v>
      </c>
      <c r="G66" s="256" t="str">
        <f>IF(IFERROR(IF(Str_TypeDonneesCpt7=Cpt_Index,Tab_Compteur_7[[#This Row],[Index]]-E65,Tab_Compteur_7[[#This Row],[Quantité]])/Tab_Compteur_7[[#This Row],[Delta Jour]],"")&lt;0,"",IFERROR(IF(Str_TypeDonneesCpt7=Cpt_Index,Tab_Compteur_7[[#This Row],[Index]]-E65,Tab_Compteur_7[[#This Row],[Quantité]])/Tab_Compteur_7[[#This Row],[Delta Jour]],""))</f>
        <v/>
      </c>
      <c r="H66" s="256" t="str">
        <f>IFERROR(Tab_Compteur_7[[#This Row],[Montant]]/Tab_Compteur_7[[#This Row],[Delta Jour]],"")</f>
        <v/>
      </c>
      <c r="I66" s="215" t="str">
        <f t="shared" si="1"/>
        <v/>
      </c>
      <c r="J66" s="216"/>
      <c r="K66" s="38"/>
      <c r="L66" s="38"/>
      <c r="M66" s="38"/>
    </row>
    <row r="67" spans="1:13">
      <c r="A67" s="3">
        <f t="shared" si="2"/>
        <v>1</v>
      </c>
      <c r="B67" s="88"/>
      <c r="C67" s="194"/>
      <c r="D67" s="195"/>
      <c r="E67" s="193"/>
      <c r="F67" s="256">
        <f t="shared" ref="F67:F130" si="3">IFERROR(B67-A67+1,"")</f>
        <v>0</v>
      </c>
      <c r="G67" s="256" t="str">
        <f>IF(IFERROR(IF(Str_TypeDonneesCpt7=Cpt_Index,Tab_Compteur_7[[#This Row],[Index]]-E66,Tab_Compteur_7[[#This Row],[Quantité]])/Tab_Compteur_7[[#This Row],[Delta Jour]],"")&lt;0,"",IFERROR(IF(Str_TypeDonneesCpt7=Cpt_Index,Tab_Compteur_7[[#This Row],[Index]]-E66,Tab_Compteur_7[[#This Row],[Quantité]])/Tab_Compteur_7[[#This Row],[Delta Jour]],""))</f>
        <v/>
      </c>
      <c r="H67" s="256" t="str">
        <f>IFERROR(Tab_Compteur_7[[#This Row],[Montant]]/Tab_Compteur_7[[#This Row],[Delta Jour]],"")</f>
        <v/>
      </c>
      <c r="I67" s="215" t="str">
        <f t="shared" ref="I67:I130" si="4">G67</f>
        <v/>
      </c>
      <c r="J67" s="216"/>
      <c r="K67" s="38"/>
      <c r="L67" s="38"/>
      <c r="M67" s="38"/>
    </row>
    <row r="68" spans="1:13">
      <c r="A68" s="3">
        <f t="shared" si="2"/>
        <v>1</v>
      </c>
      <c r="B68" s="88"/>
      <c r="C68" s="194"/>
      <c r="D68" s="195"/>
      <c r="E68" s="193"/>
      <c r="F68" s="256">
        <f t="shared" si="3"/>
        <v>0</v>
      </c>
      <c r="G68" s="256" t="str">
        <f>IF(IFERROR(IF(Str_TypeDonneesCpt7=Cpt_Index,Tab_Compteur_7[[#This Row],[Index]]-E67,Tab_Compteur_7[[#This Row],[Quantité]])/Tab_Compteur_7[[#This Row],[Delta Jour]],"")&lt;0,"",IFERROR(IF(Str_TypeDonneesCpt7=Cpt_Index,Tab_Compteur_7[[#This Row],[Index]]-E67,Tab_Compteur_7[[#This Row],[Quantité]])/Tab_Compteur_7[[#This Row],[Delta Jour]],""))</f>
        <v/>
      </c>
      <c r="H68" s="256" t="str">
        <f>IFERROR(Tab_Compteur_7[[#This Row],[Montant]]/Tab_Compteur_7[[#This Row],[Delta Jour]],"")</f>
        <v/>
      </c>
      <c r="I68" s="215" t="str">
        <f t="shared" si="4"/>
        <v/>
      </c>
      <c r="J68" s="216"/>
      <c r="K68" s="38"/>
      <c r="L68" s="38"/>
      <c r="M68" s="38"/>
    </row>
    <row r="69" spans="1:13">
      <c r="A69" s="3">
        <f t="shared" si="2"/>
        <v>1</v>
      </c>
      <c r="B69" s="88"/>
      <c r="C69" s="194"/>
      <c r="D69" s="195"/>
      <c r="E69" s="193"/>
      <c r="F69" s="256">
        <f t="shared" si="3"/>
        <v>0</v>
      </c>
      <c r="G69" s="256" t="str">
        <f>IF(IFERROR(IF(Str_TypeDonneesCpt7=Cpt_Index,Tab_Compteur_7[[#This Row],[Index]]-E68,Tab_Compteur_7[[#This Row],[Quantité]])/Tab_Compteur_7[[#This Row],[Delta Jour]],"")&lt;0,"",IFERROR(IF(Str_TypeDonneesCpt7=Cpt_Index,Tab_Compteur_7[[#This Row],[Index]]-E68,Tab_Compteur_7[[#This Row],[Quantité]])/Tab_Compteur_7[[#This Row],[Delta Jour]],""))</f>
        <v/>
      </c>
      <c r="H69" s="256" t="str">
        <f>IFERROR(Tab_Compteur_7[[#This Row],[Montant]]/Tab_Compteur_7[[#This Row],[Delta Jour]],"")</f>
        <v/>
      </c>
      <c r="I69" s="215" t="str">
        <f t="shared" si="4"/>
        <v/>
      </c>
      <c r="J69" s="216"/>
      <c r="K69" s="38"/>
      <c r="L69" s="38"/>
      <c r="M69" s="38"/>
    </row>
    <row r="70" spans="1:13">
      <c r="A70" s="3">
        <f t="shared" ref="A70:A133" si="5">IFERROR(B69+1,0)</f>
        <v>1</v>
      </c>
      <c r="B70" s="88"/>
      <c r="C70" s="194"/>
      <c r="D70" s="195"/>
      <c r="E70" s="193"/>
      <c r="F70" s="256">
        <f t="shared" si="3"/>
        <v>0</v>
      </c>
      <c r="G70" s="256" t="str">
        <f>IF(IFERROR(IF(Str_TypeDonneesCpt7=Cpt_Index,Tab_Compteur_7[[#This Row],[Index]]-E69,Tab_Compteur_7[[#This Row],[Quantité]])/Tab_Compteur_7[[#This Row],[Delta Jour]],"")&lt;0,"",IFERROR(IF(Str_TypeDonneesCpt7=Cpt_Index,Tab_Compteur_7[[#This Row],[Index]]-E69,Tab_Compteur_7[[#This Row],[Quantité]])/Tab_Compteur_7[[#This Row],[Delta Jour]],""))</f>
        <v/>
      </c>
      <c r="H70" s="256" t="str">
        <f>IFERROR(Tab_Compteur_7[[#This Row],[Montant]]/Tab_Compteur_7[[#This Row],[Delta Jour]],"")</f>
        <v/>
      </c>
      <c r="I70" s="215" t="str">
        <f t="shared" si="4"/>
        <v/>
      </c>
      <c r="J70" s="216"/>
      <c r="K70" s="38"/>
      <c r="L70" s="38"/>
      <c r="M70" s="38"/>
    </row>
    <row r="71" spans="1:13">
      <c r="A71" s="3">
        <f t="shared" si="5"/>
        <v>1</v>
      </c>
      <c r="B71" s="88"/>
      <c r="C71" s="194"/>
      <c r="D71" s="195"/>
      <c r="E71" s="193"/>
      <c r="F71" s="256">
        <f t="shared" si="3"/>
        <v>0</v>
      </c>
      <c r="G71" s="256" t="str">
        <f>IF(IFERROR(IF(Str_TypeDonneesCpt7=Cpt_Index,Tab_Compteur_7[[#This Row],[Index]]-E70,Tab_Compteur_7[[#This Row],[Quantité]])/Tab_Compteur_7[[#This Row],[Delta Jour]],"")&lt;0,"",IFERROR(IF(Str_TypeDonneesCpt7=Cpt_Index,Tab_Compteur_7[[#This Row],[Index]]-E70,Tab_Compteur_7[[#This Row],[Quantité]])/Tab_Compteur_7[[#This Row],[Delta Jour]],""))</f>
        <v/>
      </c>
      <c r="H71" s="256" t="str">
        <f>IFERROR(Tab_Compteur_7[[#This Row],[Montant]]/Tab_Compteur_7[[#This Row],[Delta Jour]],"")</f>
        <v/>
      </c>
      <c r="I71" s="215" t="str">
        <f t="shared" si="4"/>
        <v/>
      </c>
      <c r="J71" s="216"/>
      <c r="K71" s="38"/>
      <c r="L71" s="38"/>
      <c r="M71" s="38"/>
    </row>
    <row r="72" spans="1:13">
      <c r="A72" s="3">
        <f t="shared" si="5"/>
        <v>1</v>
      </c>
      <c r="B72" s="88"/>
      <c r="C72" s="194"/>
      <c r="D72" s="195"/>
      <c r="E72" s="193"/>
      <c r="F72" s="256">
        <f t="shared" si="3"/>
        <v>0</v>
      </c>
      <c r="G72" s="256" t="str">
        <f>IF(IFERROR(IF(Str_TypeDonneesCpt7=Cpt_Index,Tab_Compteur_7[[#This Row],[Index]]-E71,Tab_Compteur_7[[#This Row],[Quantité]])/Tab_Compteur_7[[#This Row],[Delta Jour]],"")&lt;0,"",IFERROR(IF(Str_TypeDonneesCpt7=Cpt_Index,Tab_Compteur_7[[#This Row],[Index]]-E71,Tab_Compteur_7[[#This Row],[Quantité]])/Tab_Compteur_7[[#This Row],[Delta Jour]],""))</f>
        <v/>
      </c>
      <c r="H72" s="256" t="str">
        <f>IFERROR(Tab_Compteur_7[[#This Row],[Montant]]/Tab_Compteur_7[[#This Row],[Delta Jour]],"")</f>
        <v/>
      </c>
      <c r="I72" s="215" t="str">
        <f t="shared" si="4"/>
        <v/>
      </c>
      <c r="J72" s="216"/>
      <c r="K72" s="38"/>
      <c r="L72" s="38"/>
      <c r="M72" s="38"/>
    </row>
    <row r="73" spans="1:13">
      <c r="A73" s="3">
        <f t="shared" si="5"/>
        <v>1</v>
      </c>
      <c r="B73" s="88"/>
      <c r="C73" s="194"/>
      <c r="D73" s="195"/>
      <c r="E73" s="193"/>
      <c r="F73" s="256">
        <f t="shared" si="3"/>
        <v>0</v>
      </c>
      <c r="G73" s="256" t="str">
        <f>IF(IFERROR(IF(Str_TypeDonneesCpt7=Cpt_Index,Tab_Compteur_7[[#This Row],[Index]]-E72,Tab_Compteur_7[[#This Row],[Quantité]])/Tab_Compteur_7[[#This Row],[Delta Jour]],"")&lt;0,"",IFERROR(IF(Str_TypeDonneesCpt7=Cpt_Index,Tab_Compteur_7[[#This Row],[Index]]-E72,Tab_Compteur_7[[#This Row],[Quantité]])/Tab_Compteur_7[[#This Row],[Delta Jour]],""))</f>
        <v/>
      </c>
      <c r="H73" s="256" t="str">
        <f>IFERROR(Tab_Compteur_7[[#This Row],[Montant]]/Tab_Compteur_7[[#This Row],[Delta Jour]],"")</f>
        <v/>
      </c>
      <c r="I73" s="215" t="str">
        <f t="shared" si="4"/>
        <v/>
      </c>
      <c r="J73" s="216"/>
      <c r="K73" s="38"/>
      <c r="L73" s="38"/>
      <c r="M73" s="38"/>
    </row>
    <row r="74" spans="1:13">
      <c r="A74" s="3">
        <f t="shared" si="5"/>
        <v>1</v>
      </c>
      <c r="B74" s="88"/>
      <c r="C74" s="194"/>
      <c r="D74" s="195"/>
      <c r="E74" s="193"/>
      <c r="F74" s="256">
        <f t="shared" si="3"/>
        <v>0</v>
      </c>
      <c r="G74" s="256" t="str">
        <f>IF(IFERROR(IF(Str_TypeDonneesCpt7=Cpt_Index,Tab_Compteur_7[[#This Row],[Index]]-E73,Tab_Compteur_7[[#This Row],[Quantité]])/Tab_Compteur_7[[#This Row],[Delta Jour]],"")&lt;0,"",IFERROR(IF(Str_TypeDonneesCpt7=Cpt_Index,Tab_Compteur_7[[#This Row],[Index]]-E73,Tab_Compteur_7[[#This Row],[Quantité]])/Tab_Compteur_7[[#This Row],[Delta Jour]],""))</f>
        <v/>
      </c>
      <c r="H74" s="256" t="str">
        <f>IFERROR(Tab_Compteur_7[[#This Row],[Montant]]/Tab_Compteur_7[[#This Row],[Delta Jour]],"")</f>
        <v/>
      </c>
      <c r="I74" s="215" t="str">
        <f t="shared" si="4"/>
        <v/>
      </c>
      <c r="J74" s="216"/>
      <c r="K74" s="38"/>
      <c r="L74" s="38"/>
      <c r="M74" s="38"/>
    </row>
    <row r="75" spans="1:13">
      <c r="A75" s="3">
        <f t="shared" si="5"/>
        <v>1</v>
      </c>
      <c r="B75" s="88"/>
      <c r="C75" s="194"/>
      <c r="D75" s="195"/>
      <c r="E75" s="193"/>
      <c r="F75" s="256">
        <f t="shared" si="3"/>
        <v>0</v>
      </c>
      <c r="G75" s="256" t="str">
        <f>IF(IFERROR(IF(Str_TypeDonneesCpt7=Cpt_Index,Tab_Compteur_7[[#This Row],[Index]]-E74,Tab_Compteur_7[[#This Row],[Quantité]])/Tab_Compteur_7[[#This Row],[Delta Jour]],"")&lt;0,"",IFERROR(IF(Str_TypeDonneesCpt7=Cpt_Index,Tab_Compteur_7[[#This Row],[Index]]-E74,Tab_Compteur_7[[#This Row],[Quantité]])/Tab_Compteur_7[[#This Row],[Delta Jour]],""))</f>
        <v/>
      </c>
      <c r="H75" s="256" t="str">
        <f>IFERROR(Tab_Compteur_7[[#This Row],[Montant]]/Tab_Compteur_7[[#This Row],[Delta Jour]],"")</f>
        <v/>
      </c>
      <c r="I75" s="215" t="str">
        <f t="shared" si="4"/>
        <v/>
      </c>
      <c r="J75" s="216"/>
      <c r="K75" s="38"/>
      <c r="L75" s="38"/>
      <c r="M75" s="38"/>
    </row>
    <row r="76" spans="1:13">
      <c r="A76" s="3">
        <f t="shared" si="5"/>
        <v>1</v>
      </c>
      <c r="B76" s="88"/>
      <c r="C76" s="194"/>
      <c r="D76" s="195"/>
      <c r="E76" s="193"/>
      <c r="F76" s="256">
        <f t="shared" si="3"/>
        <v>0</v>
      </c>
      <c r="G76" s="256" t="str">
        <f>IF(IFERROR(IF(Str_TypeDonneesCpt7=Cpt_Index,Tab_Compteur_7[[#This Row],[Index]]-E75,Tab_Compteur_7[[#This Row],[Quantité]])/Tab_Compteur_7[[#This Row],[Delta Jour]],"")&lt;0,"",IFERROR(IF(Str_TypeDonneesCpt7=Cpt_Index,Tab_Compteur_7[[#This Row],[Index]]-E75,Tab_Compteur_7[[#This Row],[Quantité]])/Tab_Compteur_7[[#This Row],[Delta Jour]],""))</f>
        <v/>
      </c>
      <c r="H76" s="256" t="str">
        <f>IFERROR(Tab_Compteur_7[[#This Row],[Montant]]/Tab_Compteur_7[[#This Row],[Delta Jour]],"")</f>
        <v/>
      </c>
      <c r="I76" s="215" t="str">
        <f t="shared" si="4"/>
        <v/>
      </c>
      <c r="J76" s="216"/>
      <c r="K76" s="38"/>
      <c r="L76" s="38"/>
      <c r="M76" s="38"/>
    </row>
    <row r="77" spans="1:13">
      <c r="A77" s="3">
        <f t="shared" si="5"/>
        <v>1</v>
      </c>
      <c r="B77" s="88"/>
      <c r="C77" s="194"/>
      <c r="D77" s="195"/>
      <c r="E77" s="193"/>
      <c r="F77" s="256">
        <f t="shared" si="3"/>
        <v>0</v>
      </c>
      <c r="G77" s="256" t="str">
        <f>IF(IFERROR(IF(Str_TypeDonneesCpt7=Cpt_Index,Tab_Compteur_7[[#This Row],[Index]]-E76,Tab_Compteur_7[[#This Row],[Quantité]])/Tab_Compteur_7[[#This Row],[Delta Jour]],"")&lt;0,"",IFERROR(IF(Str_TypeDonneesCpt7=Cpt_Index,Tab_Compteur_7[[#This Row],[Index]]-E76,Tab_Compteur_7[[#This Row],[Quantité]])/Tab_Compteur_7[[#This Row],[Delta Jour]],""))</f>
        <v/>
      </c>
      <c r="H77" s="256" t="str">
        <f>IFERROR(Tab_Compteur_7[[#This Row],[Montant]]/Tab_Compteur_7[[#This Row],[Delta Jour]],"")</f>
        <v/>
      </c>
      <c r="I77" s="215" t="str">
        <f t="shared" si="4"/>
        <v/>
      </c>
      <c r="J77" s="216"/>
      <c r="K77" s="38"/>
      <c r="L77" s="38"/>
      <c r="M77" s="38"/>
    </row>
    <row r="78" spans="1:13">
      <c r="A78" s="3">
        <f t="shared" si="5"/>
        <v>1</v>
      </c>
      <c r="B78" s="88"/>
      <c r="C78" s="194"/>
      <c r="D78" s="195"/>
      <c r="E78" s="193"/>
      <c r="F78" s="256">
        <f t="shared" si="3"/>
        <v>0</v>
      </c>
      <c r="G78" s="256" t="str">
        <f>IF(IFERROR(IF(Str_TypeDonneesCpt7=Cpt_Index,Tab_Compteur_7[[#This Row],[Index]]-E77,Tab_Compteur_7[[#This Row],[Quantité]])/Tab_Compteur_7[[#This Row],[Delta Jour]],"")&lt;0,"",IFERROR(IF(Str_TypeDonneesCpt7=Cpt_Index,Tab_Compteur_7[[#This Row],[Index]]-E77,Tab_Compteur_7[[#This Row],[Quantité]])/Tab_Compteur_7[[#This Row],[Delta Jour]],""))</f>
        <v/>
      </c>
      <c r="H78" s="256" t="str">
        <f>IFERROR(Tab_Compteur_7[[#This Row],[Montant]]/Tab_Compteur_7[[#This Row],[Delta Jour]],"")</f>
        <v/>
      </c>
      <c r="I78" s="215" t="str">
        <f t="shared" si="4"/>
        <v/>
      </c>
      <c r="J78" s="216"/>
      <c r="K78" s="38"/>
      <c r="L78" s="38"/>
      <c r="M78" s="38"/>
    </row>
    <row r="79" spans="1:13">
      <c r="A79" s="3">
        <f t="shared" si="5"/>
        <v>1</v>
      </c>
      <c r="B79" s="88"/>
      <c r="C79" s="194"/>
      <c r="D79" s="195"/>
      <c r="E79" s="193"/>
      <c r="F79" s="256">
        <f t="shared" si="3"/>
        <v>0</v>
      </c>
      <c r="G79" s="256" t="str">
        <f>IF(IFERROR(IF(Str_TypeDonneesCpt7=Cpt_Index,Tab_Compteur_7[[#This Row],[Index]]-E78,Tab_Compteur_7[[#This Row],[Quantité]])/Tab_Compteur_7[[#This Row],[Delta Jour]],"")&lt;0,"",IFERROR(IF(Str_TypeDonneesCpt7=Cpt_Index,Tab_Compteur_7[[#This Row],[Index]]-E78,Tab_Compteur_7[[#This Row],[Quantité]])/Tab_Compteur_7[[#This Row],[Delta Jour]],""))</f>
        <v/>
      </c>
      <c r="H79" s="256" t="str">
        <f>IFERROR(Tab_Compteur_7[[#This Row],[Montant]]/Tab_Compteur_7[[#This Row],[Delta Jour]],"")</f>
        <v/>
      </c>
      <c r="I79" s="215" t="str">
        <f t="shared" si="4"/>
        <v/>
      </c>
      <c r="J79" s="216"/>
      <c r="K79" s="38"/>
      <c r="L79" s="38"/>
      <c r="M79" s="38"/>
    </row>
    <row r="80" spans="1:13">
      <c r="A80" s="3">
        <f t="shared" si="5"/>
        <v>1</v>
      </c>
      <c r="B80" s="88"/>
      <c r="C80" s="194"/>
      <c r="D80" s="195"/>
      <c r="E80" s="193"/>
      <c r="F80" s="256">
        <f t="shared" si="3"/>
        <v>0</v>
      </c>
      <c r="G80" s="256" t="str">
        <f>IF(IFERROR(IF(Str_TypeDonneesCpt7=Cpt_Index,Tab_Compteur_7[[#This Row],[Index]]-E79,Tab_Compteur_7[[#This Row],[Quantité]])/Tab_Compteur_7[[#This Row],[Delta Jour]],"")&lt;0,"",IFERROR(IF(Str_TypeDonneesCpt7=Cpt_Index,Tab_Compteur_7[[#This Row],[Index]]-E79,Tab_Compteur_7[[#This Row],[Quantité]])/Tab_Compteur_7[[#This Row],[Delta Jour]],""))</f>
        <v/>
      </c>
      <c r="H80" s="256" t="str">
        <f>IFERROR(Tab_Compteur_7[[#This Row],[Montant]]/Tab_Compteur_7[[#This Row],[Delta Jour]],"")</f>
        <v/>
      </c>
      <c r="I80" s="215" t="str">
        <f t="shared" si="4"/>
        <v/>
      </c>
      <c r="J80" s="216"/>
      <c r="K80" s="38"/>
      <c r="L80" s="38"/>
      <c r="M80" s="38"/>
    </row>
    <row r="81" spans="1:13">
      <c r="A81" s="3">
        <f t="shared" si="5"/>
        <v>1</v>
      </c>
      <c r="B81" s="88"/>
      <c r="C81" s="194"/>
      <c r="D81" s="195"/>
      <c r="E81" s="193"/>
      <c r="F81" s="256">
        <f t="shared" si="3"/>
        <v>0</v>
      </c>
      <c r="G81" s="256" t="str">
        <f>IF(IFERROR(IF(Str_TypeDonneesCpt7=Cpt_Index,Tab_Compteur_7[[#This Row],[Index]]-E80,Tab_Compteur_7[[#This Row],[Quantité]])/Tab_Compteur_7[[#This Row],[Delta Jour]],"")&lt;0,"",IFERROR(IF(Str_TypeDonneesCpt7=Cpt_Index,Tab_Compteur_7[[#This Row],[Index]]-E80,Tab_Compteur_7[[#This Row],[Quantité]])/Tab_Compteur_7[[#This Row],[Delta Jour]],""))</f>
        <v/>
      </c>
      <c r="H81" s="256" t="str">
        <f>IFERROR(Tab_Compteur_7[[#This Row],[Montant]]/Tab_Compteur_7[[#This Row],[Delta Jour]],"")</f>
        <v/>
      </c>
      <c r="I81" s="215" t="str">
        <f t="shared" si="4"/>
        <v/>
      </c>
      <c r="J81" s="216"/>
      <c r="K81" s="38"/>
      <c r="L81" s="38"/>
      <c r="M81" s="38"/>
    </row>
    <row r="82" spans="1:13">
      <c r="A82" s="3">
        <f t="shared" si="5"/>
        <v>1</v>
      </c>
      <c r="B82" s="88"/>
      <c r="C82" s="194"/>
      <c r="D82" s="195"/>
      <c r="E82" s="193"/>
      <c r="F82" s="256">
        <f t="shared" si="3"/>
        <v>0</v>
      </c>
      <c r="G82" s="256" t="str">
        <f>IF(IFERROR(IF(Str_TypeDonneesCpt7=Cpt_Index,Tab_Compteur_7[[#This Row],[Index]]-E81,Tab_Compteur_7[[#This Row],[Quantité]])/Tab_Compteur_7[[#This Row],[Delta Jour]],"")&lt;0,"",IFERROR(IF(Str_TypeDonneesCpt7=Cpt_Index,Tab_Compteur_7[[#This Row],[Index]]-E81,Tab_Compteur_7[[#This Row],[Quantité]])/Tab_Compteur_7[[#This Row],[Delta Jour]],""))</f>
        <v/>
      </c>
      <c r="H82" s="256" t="str">
        <f>IFERROR(Tab_Compteur_7[[#This Row],[Montant]]/Tab_Compteur_7[[#This Row],[Delta Jour]],"")</f>
        <v/>
      </c>
      <c r="I82" s="215" t="str">
        <f t="shared" si="4"/>
        <v/>
      </c>
      <c r="J82" s="216"/>
      <c r="K82" s="38"/>
      <c r="L82" s="38"/>
      <c r="M82" s="38"/>
    </row>
    <row r="83" spans="1:13">
      <c r="A83" s="3">
        <f t="shared" si="5"/>
        <v>1</v>
      </c>
      <c r="B83" s="88"/>
      <c r="C83" s="194"/>
      <c r="D83" s="195"/>
      <c r="E83" s="193"/>
      <c r="F83" s="256">
        <f t="shared" si="3"/>
        <v>0</v>
      </c>
      <c r="G83" s="256" t="str">
        <f>IF(IFERROR(IF(Str_TypeDonneesCpt7=Cpt_Index,Tab_Compteur_7[[#This Row],[Index]]-E82,Tab_Compteur_7[[#This Row],[Quantité]])/Tab_Compteur_7[[#This Row],[Delta Jour]],"")&lt;0,"",IFERROR(IF(Str_TypeDonneesCpt7=Cpt_Index,Tab_Compteur_7[[#This Row],[Index]]-E82,Tab_Compteur_7[[#This Row],[Quantité]])/Tab_Compteur_7[[#This Row],[Delta Jour]],""))</f>
        <v/>
      </c>
      <c r="H83" s="256" t="str">
        <f>IFERROR(Tab_Compteur_7[[#This Row],[Montant]]/Tab_Compteur_7[[#This Row],[Delta Jour]],"")</f>
        <v/>
      </c>
      <c r="I83" s="215" t="str">
        <f t="shared" si="4"/>
        <v/>
      </c>
      <c r="J83" s="216"/>
      <c r="K83" s="38"/>
      <c r="L83" s="38"/>
      <c r="M83" s="38"/>
    </row>
    <row r="84" spans="1:13">
      <c r="A84" s="3">
        <f t="shared" si="5"/>
        <v>1</v>
      </c>
      <c r="B84" s="88"/>
      <c r="C84" s="194"/>
      <c r="D84" s="195"/>
      <c r="E84" s="193"/>
      <c r="F84" s="256">
        <f t="shared" si="3"/>
        <v>0</v>
      </c>
      <c r="G84" s="256" t="str">
        <f>IF(IFERROR(IF(Str_TypeDonneesCpt7=Cpt_Index,Tab_Compteur_7[[#This Row],[Index]]-E83,Tab_Compteur_7[[#This Row],[Quantité]])/Tab_Compteur_7[[#This Row],[Delta Jour]],"")&lt;0,"",IFERROR(IF(Str_TypeDonneesCpt7=Cpt_Index,Tab_Compteur_7[[#This Row],[Index]]-E83,Tab_Compteur_7[[#This Row],[Quantité]])/Tab_Compteur_7[[#This Row],[Delta Jour]],""))</f>
        <v/>
      </c>
      <c r="H84" s="256" t="str">
        <f>IFERROR(Tab_Compteur_7[[#This Row],[Montant]]/Tab_Compteur_7[[#This Row],[Delta Jour]],"")</f>
        <v/>
      </c>
      <c r="I84" s="215" t="str">
        <f t="shared" si="4"/>
        <v/>
      </c>
      <c r="J84" s="216"/>
      <c r="K84" s="38"/>
      <c r="L84" s="38"/>
      <c r="M84" s="38"/>
    </row>
    <row r="85" spans="1:13">
      <c r="A85" s="3">
        <f t="shared" si="5"/>
        <v>1</v>
      </c>
      <c r="B85" s="88"/>
      <c r="C85" s="194"/>
      <c r="D85" s="195"/>
      <c r="E85" s="193"/>
      <c r="F85" s="256">
        <f t="shared" si="3"/>
        <v>0</v>
      </c>
      <c r="G85" s="256" t="str">
        <f>IF(IFERROR(IF(Str_TypeDonneesCpt7=Cpt_Index,Tab_Compteur_7[[#This Row],[Index]]-E84,Tab_Compteur_7[[#This Row],[Quantité]])/Tab_Compteur_7[[#This Row],[Delta Jour]],"")&lt;0,"",IFERROR(IF(Str_TypeDonneesCpt7=Cpt_Index,Tab_Compteur_7[[#This Row],[Index]]-E84,Tab_Compteur_7[[#This Row],[Quantité]])/Tab_Compteur_7[[#This Row],[Delta Jour]],""))</f>
        <v/>
      </c>
      <c r="H85" s="256" t="str">
        <f>IFERROR(Tab_Compteur_7[[#This Row],[Montant]]/Tab_Compteur_7[[#This Row],[Delta Jour]],"")</f>
        <v/>
      </c>
      <c r="I85" s="215" t="str">
        <f t="shared" si="4"/>
        <v/>
      </c>
      <c r="J85" s="216"/>
      <c r="K85" s="38"/>
      <c r="L85" s="38"/>
      <c r="M85" s="38"/>
    </row>
    <row r="86" spans="1:13">
      <c r="A86" s="3">
        <f t="shared" si="5"/>
        <v>1</v>
      </c>
      <c r="B86" s="88"/>
      <c r="C86" s="194"/>
      <c r="D86" s="195"/>
      <c r="E86" s="193"/>
      <c r="F86" s="256">
        <f t="shared" si="3"/>
        <v>0</v>
      </c>
      <c r="G86" s="256" t="str">
        <f>IF(IFERROR(IF(Str_TypeDonneesCpt7=Cpt_Index,Tab_Compteur_7[[#This Row],[Index]]-E85,Tab_Compteur_7[[#This Row],[Quantité]])/Tab_Compteur_7[[#This Row],[Delta Jour]],"")&lt;0,"",IFERROR(IF(Str_TypeDonneesCpt7=Cpt_Index,Tab_Compteur_7[[#This Row],[Index]]-E85,Tab_Compteur_7[[#This Row],[Quantité]])/Tab_Compteur_7[[#This Row],[Delta Jour]],""))</f>
        <v/>
      </c>
      <c r="H86" s="256" t="str">
        <f>IFERROR(Tab_Compteur_7[[#This Row],[Montant]]/Tab_Compteur_7[[#This Row],[Delta Jour]],"")</f>
        <v/>
      </c>
      <c r="I86" s="215" t="str">
        <f t="shared" si="4"/>
        <v/>
      </c>
      <c r="J86" s="216"/>
      <c r="K86" s="38"/>
      <c r="L86" s="38"/>
      <c r="M86" s="38"/>
    </row>
    <row r="87" spans="1:13">
      <c r="A87" s="3">
        <f t="shared" si="5"/>
        <v>1</v>
      </c>
      <c r="B87" s="88"/>
      <c r="C87" s="194"/>
      <c r="D87" s="195"/>
      <c r="E87" s="193"/>
      <c r="F87" s="256">
        <f t="shared" si="3"/>
        <v>0</v>
      </c>
      <c r="G87" s="256" t="str">
        <f>IF(IFERROR(IF(Str_TypeDonneesCpt7=Cpt_Index,Tab_Compteur_7[[#This Row],[Index]]-E86,Tab_Compteur_7[[#This Row],[Quantité]])/Tab_Compteur_7[[#This Row],[Delta Jour]],"")&lt;0,"",IFERROR(IF(Str_TypeDonneesCpt7=Cpt_Index,Tab_Compteur_7[[#This Row],[Index]]-E86,Tab_Compteur_7[[#This Row],[Quantité]])/Tab_Compteur_7[[#This Row],[Delta Jour]],""))</f>
        <v/>
      </c>
      <c r="H87" s="256" t="str">
        <f>IFERROR(Tab_Compteur_7[[#This Row],[Montant]]/Tab_Compteur_7[[#This Row],[Delta Jour]],"")</f>
        <v/>
      </c>
      <c r="I87" s="215" t="str">
        <f t="shared" si="4"/>
        <v/>
      </c>
      <c r="J87" s="216"/>
      <c r="K87" s="38"/>
      <c r="L87" s="38"/>
      <c r="M87" s="38"/>
    </row>
    <row r="88" spans="1:13">
      <c r="A88" s="3">
        <f t="shared" si="5"/>
        <v>1</v>
      </c>
      <c r="B88" s="88"/>
      <c r="C88" s="194"/>
      <c r="D88" s="195"/>
      <c r="E88" s="193"/>
      <c r="F88" s="256">
        <f t="shared" si="3"/>
        <v>0</v>
      </c>
      <c r="G88" s="256" t="str">
        <f>IF(IFERROR(IF(Str_TypeDonneesCpt7=Cpt_Index,Tab_Compteur_7[[#This Row],[Index]]-E87,Tab_Compteur_7[[#This Row],[Quantité]])/Tab_Compteur_7[[#This Row],[Delta Jour]],"")&lt;0,"",IFERROR(IF(Str_TypeDonneesCpt7=Cpt_Index,Tab_Compteur_7[[#This Row],[Index]]-E87,Tab_Compteur_7[[#This Row],[Quantité]])/Tab_Compteur_7[[#This Row],[Delta Jour]],""))</f>
        <v/>
      </c>
      <c r="H88" s="256" t="str">
        <f>IFERROR(Tab_Compteur_7[[#This Row],[Montant]]/Tab_Compteur_7[[#This Row],[Delta Jour]],"")</f>
        <v/>
      </c>
      <c r="I88" s="215" t="str">
        <f t="shared" si="4"/>
        <v/>
      </c>
      <c r="J88" s="216"/>
      <c r="K88" s="38"/>
      <c r="L88" s="38"/>
      <c r="M88" s="38"/>
    </row>
    <row r="89" spans="1:13">
      <c r="A89" s="3">
        <f t="shared" si="5"/>
        <v>1</v>
      </c>
      <c r="B89" s="88"/>
      <c r="C89" s="194"/>
      <c r="D89" s="195"/>
      <c r="E89" s="193"/>
      <c r="F89" s="256">
        <f t="shared" si="3"/>
        <v>0</v>
      </c>
      <c r="G89" s="256" t="str">
        <f>IF(IFERROR(IF(Str_TypeDonneesCpt7=Cpt_Index,Tab_Compteur_7[[#This Row],[Index]]-E88,Tab_Compteur_7[[#This Row],[Quantité]])/Tab_Compteur_7[[#This Row],[Delta Jour]],"")&lt;0,"",IFERROR(IF(Str_TypeDonneesCpt7=Cpt_Index,Tab_Compteur_7[[#This Row],[Index]]-E88,Tab_Compteur_7[[#This Row],[Quantité]])/Tab_Compteur_7[[#This Row],[Delta Jour]],""))</f>
        <v/>
      </c>
      <c r="H89" s="256" t="str">
        <f>IFERROR(Tab_Compteur_7[[#This Row],[Montant]]/Tab_Compteur_7[[#This Row],[Delta Jour]],"")</f>
        <v/>
      </c>
      <c r="I89" s="215" t="str">
        <f t="shared" si="4"/>
        <v/>
      </c>
      <c r="J89" s="216"/>
      <c r="K89" s="38"/>
      <c r="L89" s="38"/>
      <c r="M89" s="38"/>
    </row>
    <row r="90" spans="1:13">
      <c r="A90" s="3">
        <f t="shared" si="5"/>
        <v>1</v>
      </c>
      <c r="B90" s="88"/>
      <c r="C90" s="194"/>
      <c r="D90" s="195"/>
      <c r="E90" s="193"/>
      <c r="F90" s="256">
        <f t="shared" si="3"/>
        <v>0</v>
      </c>
      <c r="G90" s="256" t="str">
        <f>IF(IFERROR(IF(Str_TypeDonneesCpt7=Cpt_Index,Tab_Compteur_7[[#This Row],[Index]]-E89,Tab_Compteur_7[[#This Row],[Quantité]])/Tab_Compteur_7[[#This Row],[Delta Jour]],"")&lt;0,"",IFERROR(IF(Str_TypeDonneesCpt7=Cpt_Index,Tab_Compteur_7[[#This Row],[Index]]-E89,Tab_Compteur_7[[#This Row],[Quantité]])/Tab_Compteur_7[[#This Row],[Delta Jour]],""))</f>
        <v/>
      </c>
      <c r="H90" s="256" t="str">
        <f>IFERROR(Tab_Compteur_7[[#This Row],[Montant]]/Tab_Compteur_7[[#This Row],[Delta Jour]],"")</f>
        <v/>
      </c>
      <c r="I90" s="215" t="str">
        <f t="shared" si="4"/>
        <v/>
      </c>
      <c r="J90" s="216"/>
      <c r="K90" s="38"/>
      <c r="L90" s="38"/>
      <c r="M90" s="38"/>
    </row>
    <row r="91" spans="1:13">
      <c r="A91" s="3">
        <f t="shared" si="5"/>
        <v>1</v>
      </c>
      <c r="B91" s="88"/>
      <c r="C91" s="194"/>
      <c r="D91" s="195"/>
      <c r="E91" s="193"/>
      <c r="F91" s="256">
        <f t="shared" si="3"/>
        <v>0</v>
      </c>
      <c r="G91" s="256" t="str">
        <f>IF(IFERROR(IF(Str_TypeDonneesCpt7=Cpt_Index,Tab_Compteur_7[[#This Row],[Index]]-E90,Tab_Compteur_7[[#This Row],[Quantité]])/Tab_Compteur_7[[#This Row],[Delta Jour]],"")&lt;0,"",IFERROR(IF(Str_TypeDonneesCpt7=Cpt_Index,Tab_Compteur_7[[#This Row],[Index]]-E90,Tab_Compteur_7[[#This Row],[Quantité]])/Tab_Compteur_7[[#This Row],[Delta Jour]],""))</f>
        <v/>
      </c>
      <c r="H91" s="256" t="str">
        <f>IFERROR(Tab_Compteur_7[[#This Row],[Montant]]/Tab_Compteur_7[[#This Row],[Delta Jour]],"")</f>
        <v/>
      </c>
      <c r="I91" s="215" t="str">
        <f t="shared" si="4"/>
        <v/>
      </c>
      <c r="J91" s="216"/>
      <c r="K91" s="38"/>
      <c r="L91" s="38"/>
      <c r="M91" s="38"/>
    </row>
    <row r="92" spans="1:13">
      <c r="A92" s="3">
        <f t="shared" si="5"/>
        <v>1</v>
      </c>
      <c r="B92" s="88"/>
      <c r="C92" s="194"/>
      <c r="D92" s="195"/>
      <c r="E92" s="193"/>
      <c r="F92" s="256">
        <f t="shared" si="3"/>
        <v>0</v>
      </c>
      <c r="G92" s="256" t="str">
        <f>IF(IFERROR(IF(Str_TypeDonneesCpt7=Cpt_Index,Tab_Compteur_7[[#This Row],[Index]]-E91,Tab_Compteur_7[[#This Row],[Quantité]])/Tab_Compteur_7[[#This Row],[Delta Jour]],"")&lt;0,"",IFERROR(IF(Str_TypeDonneesCpt7=Cpt_Index,Tab_Compteur_7[[#This Row],[Index]]-E91,Tab_Compteur_7[[#This Row],[Quantité]])/Tab_Compteur_7[[#This Row],[Delta Jour]],""))</f>
        <v/>
      </c>
      <c r="H92" s="256" t="str">
        <f>IFERROR(Tab_Compteur_7[[#This Row],[Montant]]/Tab_Compteur_7[[#This Row],[Delta Jour]],"")</f>
        <v/>
      </c>
      <c r="I92" s="215" t="str">
        <f t="shared" si="4"/>
        <v/>
      </c>
      <c r="J92" s="216"/>
      <c r="K92" s="38"/>
      <c r="L92" s="38"/>
      <c r="M92" s="38"/>
    </row>
    <row r="93" spans="1:13">
      <c r="A93" s="3">
        <f t="shared" si="5"/>
        <v>1</v>
      </c>
      <c r="B93" s="88"/>
      <c r="C93" s="194"/>
      <c r="D93" s="195"/>
      <c r="E93" s="193"/>
      <c r="F93" s="256">
        <f t="shared" si="3"/>
        <v>0</v>
      </c>
      <c r="G93" s="256" t="str">
        <f>IF(IFERROR(IF(Str_TypeDonneesCpt7=Cpt_Index,Tab_Compteur_7[[#This Row],[Index]]-E92,Tab_Compteur_7[[#This Row],[Quantité]])/Tab_Compteur_7[[#This Row],[Delta Jour]],"")&lt;0,"",IFERROR(IF(Str_TypeDonneesCpt7=Cpt_Index,Tab_Compteur_7[[#This Row],[Index]]-E92,Tab_Compteur_7[[#This Row],[Quantité]])/Tab_Compteur_7[[#This Row],[Delta Jour]],""))</f>
        <v/>
      </c>
      <c r="H93" s="256" t="str">
        <f>IFERROR(Tab_Compteur_7[[#This Row],[Montant]]/Tab_Compteur_7[[#This Row],[Delta Jour]],"")</f>
        <v/>
      </c>
      <c r="I93" s="215" t="str">
        <f t="shared" si="4"/>
        <v/>
      </c>
      <c r="J93" s="216"/>
      <c r="K93" s="38"/>
      <c r="L93" s="38"/>
      <c r="M93" s="38"/>
    </row>
    <row r="94" spans="1:13">
      <c r="A94" s="3">
        <f t="shared" si="5"/>
        <v>1</v>
      </c>
      <c r="B94" s="88"/>
      <c r="C94" s="194"/>
      <c r="D94" s="195"/>
      <c r="E94" s="193"/>
      <c r="F94" s="256">
        <f t="shared" si="3"/>
        <v>0</v>
      </c>
      <c r="G94" s="256" t="str">
        <f>IF(IFERROR(IF(Str_TypeDonneesCpt7=Cpt_Index,Tab_Compteur_7[[#This Row],[Index]]-E93,Tab_Compteur_7[[#This Row],[Quantité]])/Tab_Compteur_7[[#This Row],[Delta Jour]],"")&lt;0,"",IFERROR(IF(Str_TypeDonneesCpt7=Cpt_Index,Tab_Compteur_7[[#This Row],[Index]]-E93,Tab_Compteur_7[[#This Row],[Quantité]])/Tab_Compteur_7[[#This Row],[Delta Jour]],""))</f>
        <v/>
      </c>
      <c r="H94" s="256" t="str">
        <f>IFERROR(Tab_Compteur_7[[#This Row],[Montant]]/Tab_Compteur_7[[#This Row],[Delta Jour]],"")</f>
        <v/>
      </c>
      <c r="I94" s="215" t="str">
        <f t="shared" si="4"/>
        <v/>
      </c>
      <c r="J94" s="216"/>
      <c r="K94" s="38"/>
      <c r="L94" s="38"/>
      <c r="M94" s="38"/>
    </row>
    <row r="95" spans="1:13">
      <c r="A95" s="3">
        <f t="shared" si="5"/>
        <v>1</v>
      </c>
      <c r="B95" s="88"/>
      <c r="C95" s="194"/>
      <c r="D95" s="195"/>
      <c r="E95" s="193"/>
      <c r="F95" s="256">
        <f t="shared" si="3"/>
        <v>0</v>
      </c>
      <c r="G95" s="256" t="str">
        <f>IF(IFERROR(IF(Str_TypeDonneesCpt7=Cpt_Index,Tab_Compteur_7[[#This Row],[Index]]-E94,Tab_Compteur_7[[#This Row],[Quantité]])/Tab_Compteur_7[[#This Row],[Delta Jour]],"")&lt;0,"",IFERROR(IF(Str_TypeDonneesCpt7=Cpt_Index,Tab_Compteur_7[[#This Row],[Index]]-E94,Tab_Compteur_7[[#This Row],[Quantité]])/Tab_Compteur_7[[#This Row],[Delta Jour]],""))</f>
        <v/>
      </c>
      <c r="H95" s="256" t="str">
        <f>IFERROR(Tab_Compteur_7[[#This Row],[Montant]]/Tab_Compteur_7[[#This Row],[Delta Jour]],"")</f>
        <v/>
      </c>
      <c r="I95" s="215" t="str">
        <f t="shared" si="4"/>
        <v/>
      </c>
      <c r="J95" s="216"/>
      <c r="K95" s="38"/>
      <c r="L95" s="38"/>
      <c r="M95" s="38"/>
    </row>
    <row r="96" spans="1:13">
      <c r="A96" s="3">
        <f t="shared" si="5"/>
        <v>1</v>
      </c>
      <c r="B96" s="88"/>
      <c r="C96" s="194"/>
      <c r="D96" s="195"/>
      <c r="E96" s="193"/>
      <c r="F96" s="256">
        <f t="shared" si="3"/>
        <v>0</v>
      </c>
      <c r="G96" s="256" t="str">
        <f>IF(IFERROR(IF(Str_TypeDonneesCpt7=Cpt_Index,Tab_Compteur_7[[#This Row],[Index]]-E95,Tab_Compteur_7[[#This Row],[Quantité]])/Tab_Compteur_7[[#This Row],[Delta Jour]],"")&lt;0,"",IFERROR(IF(Str_TypeDonneesCpt7=Cpt_Index,Tab_Compteur_7[[#This Row],[Index]]-E95,Tab_Compteur_7[[#This Row],[Quantité]])/Tab_Compteur_7[[#This Row],[Delta Jour]],""))</f>
        <v/>
      </c>
      <c r="H96" s="256" t="str">
        <f>IFERROR(Tab_Compteur_7[[#This Row],[Montant]]/Tab_Compteur_7[[#This Row],[Delta Jour]],"")</f>
        <v/>
      </c>
      <c r="I96" s="215" t="str">
        <f t="shared" si="4"/>
        <v/>
      </c>
      <c r="J96" s="216"/>
      <c r="K96" s="38"/>
      <c r="L96" s="38"/>
      <c r="M96" s="38"/>
    </row>
    <row r="97" spans="1:13">
      <c r="A97" s="3">
        <f t="shared" si="5"/>
        <v>1</v>
      </c>
      <c r="B97" s="88"/>
      <c r="C97" s="194"/>
      <c r="D97" s="195"/>
      <c r="E97" s="193"/>
      <c r="F97" s="256">
        <f t="shared" si="3"/>
        <v>0</v>
      </c>
      <c r="G97" s="256" t="str">
        <f>IF(IFERROR(IF(Str_TypeDonneesCpt7=Cpt_Index,Tab_Compteur_7[[#This Row],[Index]]-E96,Tab_Compteur_7[[#This Row],[Quantité]])/Tab_Compteur_7[[#This Row],[Delta Jour]],"")&lt;0,"",IFERROR(IF(Str_TypeDonneesCpt7=Cpt_Index,Tab_Compteur_7[[#This Row],[Index]]-E96,Tab_Compteur_7[[#This Row],[Quantité]])/Tab_Compteur_7[[#This Row],[Delta Jour]],""))</f>
        <v/>
      </c>
      <c r="H97" s="256" t="str">
        <f>IFERROR(Tab_Compteur_7[[#This Row],[Montant]]/Tab_Compteur_7[[#This Row],[Delta Jour]],"")</f>
        <v/>
      </c>
      <c r="I97" s="215" t="str">
        <f t="shared" si="4"/>
        <v/>
      </c>
      <c r="J97" s="216"/>
      <c r="K97" s="38"/>
      <c r="L97" s="38"/>
      <c r="M97" s="38"/>
    </row>
    <row r="98" spans="1:13">
      <c r="A98" s="3">
        <f t="shared" si="5"/>
        <v>1</v>
      </c>
      <c r="B98" s="88"/>
      <c r="C98" s="194"/>
      <c r="D98" s="195"/>
      <c r="E98" s="193"/>
      <c r="F98" s="256">
        <f t="shared" si="3"/>
        <v>0</v>
      </c>
      <c r="G98" s="256" t="str">
        <f>IF(IFERROR(IF(Str_TypeDonneesCpt7=Cpt_Index,Tab_Compteur_7[[#This Row],[Index]]-E97,Tab_Compteur_7[[#This Row],[Quantité]])/Tab_Compteur_7[[#This Row],[Delta Jour]],"")&lt;0,"",IFERROR(IF(Str_TypeDonneesCpt7=Cpt_Index,Tab_Compteur_7[[#This Row],[Index]]-E97,Tab_Compteur_7[[#This Row],[Quantité]])/Tab_Compteur_7[[#This Row],[Delta Jour]],""))</f>
        <v/>
      </c>
      <c r="H98" s="256" t="str">
        <f>IFERROR(Tab_Compteur_7[[#This Row],[Montant]]/Tab_Compteur_7[[#This Row],[Delta Jour]],"")</f>
        <v/>
      </c>
      <c r="I98" s="215" t="str">
        <f t="shared" si="4"/>
        <v/>
      </c>
      <c r="J98" s="216"/>
      <c r="K98" s="38"/>
      <c r="L98" s="38"/>
      <c r="M98" s="38"/>
    </row>
    <row r="99" spans="1:13">
      <c r="A99" s="3">
        <f t="shared" si="5"/>
        <v>1</v>
      </c>
      <c r="B99" s="88"/>
      <c r="C99" s="194"/>
      <c r="D99" s="195"/>
      <c r="E99" s="193"/>
      <c r="F99" s="256">
        <f t="shared" si="3"/>
        <v>0</v>
      </c>
      <c r="G99" s="256" t="str">
        <f>IF(IFERROR(IF(Str_TypeDonneesCpt7=Cpt_Index,Tab_Compteur_7[[#This Row],[Index]]-E98,Tab_Compteur_7[[#This Row],[Quantité]])/Tab_Compteur_7[[#This Row],[Delta Jour]],"")&lt;0,"",IFERROR(IF(Str_TypeDonneesCpt7=Cpt_Index,Tab_Compteur_7[[#This Row],[Index]]-E98,Tab_Compteur_7[[#This Row],[Quantité]])/Tab_Compteur_7[[#This Row],[Delta Jour]],""))</f>
        <v/>
      </c>
      <c r="H99" s="256" t="str">
        <f>IFERROR(Tab_Compteur_7[[#This Row],[Montant]]/Tab_Compteur_7[[#This Row],[Delta Jour]],"")</f>
        <v/>
      </c>
      <c r="I99" s="215" t="str">
        <f t="shared" si="4"/>
        <v/>
      </c>
      <c r="J99" s="216"/>
      <c r="K99" s="38"/>
      <c r="L99" s="38"/>
      <c r="M99" s="38"/>
    </row>
    <row r="100" spans="1:13">
      <c r="A100" s="3">
        <f t="shared" si="5"/>
        <v>1</v>
      </c>
      <c r="B100" s="88"/>
      <c r="C100" s="194"/>
      <c r="D100" s="195"/>
      <c r="E100" s="193"/>
      <c r="F100" s="256">
        <f t="shared" si="3"/>
        <v>0</v>
      </c>
      <c r="G100" s="256" t="str">
        <f>IF(IFERROR(IF(Str_TypeDonneesCpt7=Cpt_Index,Tab_Compteur_7[[#This Row],[Index]]-E99,Tab_Compteur_7[[#This Row],[Quantité]])/Tab_Compteur_7[[#This Row],[Delta Jour]],"")&lt;0,"",IFERROR(IF(Str_TypeDonneesCpt7=Cpt_Index,Tab_Compteur_7[[#This Row],[Index]]-E99,Tab_Compteur_7[[#This Row],[Quantité]])/Tab_Compteur_7[[#This Row],[Delta Jour]],""))</f>
        <v/>
      </c>
      <c r="H100" s="256" t="str">
        <f>IFERROR(Tab_Compteur_7[[#This Row],[Montant]]/Tab_Compteur_7[[#This Row],[Delta Jour]],"")</f>
        <v/>
      </c>
      <c r="I100" s="215" t="str">
        <f t="shared" si="4"/>
        <v/>
      </c>
      <c r="J100" s="216"/>
      <c r="K100" s="38"/>
      <c r="L100" s="38"/>
      <c r="M100" s="38"/>
    </row>
    <row r="101" spans="1:13">
      <c r="A101" s="3">
        <f t="shared" si="5"/>
        <v>1</v>
      </c>
      <c r="B101" s="88"/>
      <c r="C101" s="194"/>
      <c r="D101" s="195"/>
      <c r="E101" s="193"/>
      <c r="F101" s="256">
        <f t="shared" si="3"/>
        <v>0</v>
      </c>
      <c r="G101" s="256" t="str">
        <f>IF(IFERROR(IF(Str_TypeDonneesCpt7=Cpt_Index,Tab_Compteur_7[[#This Row],[Index]]-E100,Tab_Compteur_7[[#This Row],[Quantité]])/Tab_Compteur_7[[#This Row],[Delta Jour]],"")&lt;0,"",IFERROR(IF(Str_TypeDonneesCpt7=Cpt_Index,Tab_Compteur_7[[#This Row],[Index]]-E100,Tab_Compteur_7[[#This Row],[Quantité]])/Tab_Compteur_7[[#This Row],[Delta Jour]],""))</f>
        <v/>
      </c>
      <c r="H101" s="256" t="str">
        <f>IFERROR(Tab_Compteur_7[[#This Row],[Montant]]/Tab_Compteur_7[[#This Row],[Delta Jour]],"")</f>
        <v/>
      </c>
      <c r="I101" s="215" t="str">
        <f t="shared" si="4"/>
        <v/>
      </c>
      <c r="J101" s="216"/>
      <c r="K101" s="38"/>
      <c r="L101" s="38"/>
      <c r="M101" s="38"/>
    </row>
    <row r="102" spans="1:13">
      <c r="A102" s="3">
        <f t="shared" si="5"/>
        <v>1</v>
      </c>
      <c r="B102" s="88"/>
      <c r="C102" s="194"/>
      <c r="D102" s="195"/>
      <c r="E102" s="193"/>
      <c r="F102" s="256">
        <f t="shared" si="3"/>
        <v>0</v>
      </c>
      <c r="G102" s="256" t="str">
        <f>IF(IFERROR(IF(Str_TypeDonneesCpt7=Cpt_Index,Tab_Compteur_7[[#This Row],[Index]]-E101,Tab_Compteur_7[[#This Row],[Quantité]])/Tab_Compteur_7[[#This Row],[Delta Jour]],"")&lt;0,"",IFERROR(IF(Str_TypeDonneesCpt7=Cpt_Index,Tab_Compteur_7[[#This Row],[Index]]-E101,Tab_Compteur_7[[#This Row],[Quantité]])/Tab_Compteur_7[[#This Row],[Delta Jour]],""))</f>
        <v/>
      </c>
      <c r="H102" s="256" t="str">
        <f>IFERROR(Tab_Compteur_7[[#This Row],[Montant]]/Tab_Compteur_7[[#This Row],[Delta Jour]],"")</f>
        <v/>
      </c>
      <c r="I102" s="215" t="str">
        <f t="shared" si="4"/>
        <v/>
      </c>
      <c r="J102" s="216"/>
      <c r="K102" s="38"/>
      <c r="L102" s="38"/>
      <c r="M102" s="38"/>
    </row>
    <row r="103" spans="1:13">
      <c r="A103" s="3">
        <f t="shared" si="5"/>
        <v>1</v>
      </c>
      <c r="B103" s="88"/>
      <c r="C103" s="194"/>
      <c r="D103" s="195"/>
      <c r="E103" s="193"/>
      <c r="F103" s="256">
        <f t="shared" si="3"/>
        <v>0</v>
      </c>
      <c r="G103" s="256" t="str">
        <f>IF(IFERROR(IF(Str_TypeDonneesCpt7=Cpt_Index,Tab_Compteur_7[[#This Row],[Index]]-E102,Tab_Compteur_7[[#This Row],[Quantité]])/Tab_Compteur_7[[#This Row],[Delta Jour]],"")&lt;0,"",IFERROR(IF(Str_TypeDonneesCpt7=Cpt_Index,Tab_Compteur_7[[#This Row],[Index]]-E102,Tab_Compteur_7[[#This Row],[Quantité]])/Tab_Compteur_7[[#This Row],[Delta Jour]],""))</f>
        <v/>
      </c>
      <c r="H103" s="256" t="str">
        <f>IFERROR(Tab_Compteur_7[[#This Row],[Montant]]/Tab_Compteur_7[[#This Row],[Delta Jour]],"")</f>
        <v/>
      </c>
      <c r="I103" s="215" t="str">
        <f t="shared" si="4"/>
        <v/>
      </c>
      <c r="J103" s="216"/>
      <c r="K103" s="38"/>
      <c r="L103" s="38"/>
      <c r="M103" s="38"/>
    </row>
    <row r="104" spans="1:13">
      <c r="A104" s="3">
        <f t="shared" si="5"/>
        <v>1</v>
      </c>
      <c r="B104" s="88"/>
      <c r="C104" s="194"/>
      <c r="D104" s="195"/>
      <c r="E104" s="193"/>
      <c r="F104" s="256">
        <f t="shared" si="3"/>
        <v>0</v>
      </c>
      <c r="G104" s="256" t="str">
        <f>IF(IFERROR(IF(Str_TypeDonneesCpt7=Cpt_Index,Tab_Compteur_7[[#This Row],[Index]]-E103,Tab_Compteur_7[[#This Row],[Quantité]])/Tab_Compteur_7[[#This Row],[Delta Jour]],"")&lt;0,"",IFERROR(IF(Str_TypeDonneesCpt7=Cpt_Index,Tab_Compteur_7[[#This Row],[Index]]-E103,Tab_Compteur_7[[#This Row],[Quantité]])/Tab_Compteur_7[[#This Row],[Delta Jour]],""))</f>
        <v/>
      </c>
      <c r="H104" s="256" t="str">
        <f>IFERROR(Tab_Compteur_7[[#This Row],[Montant]]/Tab_Compteur_7[[#This Row],[Delta Jour]],"")</f>
        <v/>
      </c>
      <c r="I104" s="215" t="str">
        <f t="shared" si="4"/>
        <v/>
      </c>
      <c r="J104" s="216"/>
      <c r="K104" s="38"/>
      <c r="L104" s="38"/>
      <c r="M104" s="38"/>
    </row>
    <row r="105" spans="1:13">
      <c r="A105" s="3">
        <f t="shared" si="5"/>
        <v>1</v>
      </c>
      <c r="B105" s="88"/>
      <c r="C105" s="194"/>
      <c r="D105" s="195"/>
      <c r="E105" s="193"/>
      <c r="F105" s="256">
        <f t="shared" si="3"/>
        <v>0</v>
      </c>
      <c r="G105" s="256" t="str">
        <f>IF(IFERROR(IF(Str_TypeDonneesCpt7=Cpt_Index,Tab_Compteur_7[[#This Row],[Index]]-E104,Tab_Compteur_7[[#This Row],[Quantité]])/Tab_Compteur_7[[#This Row],[Delta Jour]],"")&lt;0,"",IFERROR(IF(Str_TypeDonneesCpt7=Cpt_Index,Tab_Compteur_7[[#This Row],[Index]]-E104,Tab_Compteur_7[[#This Row],[Quantité]])/Tab_Compteur_7[[#This Row],[Delta Jour]],""))</f>
        <v/>
      </c>
      <c r="H105" s="256" t="str">
        <f>IFERROR(Tab_Compteur_7[[#This Row],[Montant]]/Tab_Compteur_7[[#This Row],[Delta Jour]],"")</f>
        <v/>
      </c>
      <c r="I105" s="215" t="str">
        <f t="shared" si="4"/>
        <v/>
      </c>
      <c r="J105" s="216"/>
      <c r="K105" s="38"/>
      <c r="L105" s="38"/>
      <c r="M105" s="38"/>
    </row>
    <row r="106" spans="1:13">
      <c r="A106" s="3">
        <f t="shared" si="5"/>
        <v>1</v>
      </c>
      <c r="B106" s="88"/>
      <c r="C106" s="194"/>
      <c r="D106" s="195"/>
      <c r="E106" s="193"/>
      <c r="F106" s="256">
        <f t="shared" si="3"/>
        <v>0</v>
      </c>
      <c r="G106" s="256" t="str">
        <f>IF(IFERROR(IF(Str_TypeDonneesCpt7=Cpt_Index,Tab_Compteur_7[[#This Row],[Index]]-E105,Tab_Compteur_7[[#This Row],[Quantité]])/Tab_Compteur_7[[#This Row],[Delta Jour]],"")&lt;0,"",IFERROR(IF(Str_TypeDonneesCpt7=Cpt_Index,Tab_Compteur_7[[#This Row],[Index]]-E105,Tab_Compteur_7[[#This Row],[Quantité]])/Tab_Compteur_7[[#This Row],[Delta Jour]],""))</f>
        <v/>
      </c>
      <c r="H106" s="256" t="str">
        <f>IFERROR(Tab_Compteur_7[[#This Row],[Montant]]/Tab_Compteur_7[[#This Row],[Delta Jour]],"")</f>
        <v/>
      </c>
      <c r="I106" s="215" t="str">
        <f t="shared" si="4"/>
        <v/>
      </c>
      <c r="J106" s="216"/>
      <c r="K106" s="38"/>
      <c r="L106" s="38"/>
      <c r="M106" s="38"/>
    </row>
    <row r="107" spans="1:13">
      <c r="A107" s="3">
        <f t="shared" si="5"/>
        <v>1</v>
      </c>
      <c r="B107" s="88"/>
      <c r="C107" s="194"/>
      <c r="D107" s="195"/>
      <c r="E107" s="193"/>
      <c r="F107" s="256">
        <f t="shared" si="3"/>
        <v>0</v>
      </c>
      <c r="G107" s="256" t="str">
        <f>IF(IFERROR(IF(Str_TypeDonneesCpt7=Cpt_Index,Tab_Compteur_7[[#This Row],[Index]]-E106,Tab_Compteur_7[[#This Row],[Quantité]])/Tab_Compteur_7[[#This Row],[Delta Jour]],"")&lt;0,"",IFERROR(IF(Str_TypeDonneesCpt7=Cpt_Index,Tab_Compteur_7[[#This Row],[Index]]-E106,Tab_Compteur_7[[#This Row],[Quantité]])/Tab_Compteur_7[[#This Row],[Delta Jour]],""))</f>
        <v/>
      </c>
      <c r="H107" s="256" t="str">
        <f>IFERROR(Tab_Compteur_7[[#This Row],[Montant]]/Tab_Compteur_7[[#This Row],[Delta Jour]],"")</f>
        <v/>
      </c>
      <c r="I107" s="215" t="str">
        <f t="shared" si="4"/>
        <v/>
      </c>
      <c r="J107" s="216"/>
      <c r="K107" s="38"/>
      <c r="L107" s="38"/>
      <c r="M107" s="38"/>
    </row>
    <row r="108" spans="1:13">
      <c r="A108" s="3">
        <f t="shared" si="5"/>
        <v>1</v>
      </c>
      <c r="B108" s="88"/>
      <c r="C108" s="194"/>
      <c r="D108" s="195"/>
      <c r="E108" s="193"/>
      <c r="F108" s="256">
        <f t="shared" si="3"/>
        <v>0</v>
      </c>
      <c r="G108" s="256" t="str">
        <f>IF(IFERROR(IF(Str_TypeDonneesCpt7=Cpt_Index,Tab_Compteur_7[[#This Row],[Index]]-E107,Tab_Compteur_7[[#This Row],[Quantité]])/Tab_Compteur_7[[#This Row],[Delta Jour]],"")&lt;0,"",IFERROR(IF(Str_TypeDonneesCpt7=Cpt_Index,Tab_Compteur_7[[#This Row],[Index]]-E107,Tab_Compteur_7[[#This Row],[Quantité]])/Tab_Compteur_7[[#This Row],[Delta Jour]],""))</f>
        <v/>
      </c>
      <c r="H108" s="256" t="str">
        <f>IFERROR(Tab_Compteur_7[[#This Row],[Montant]]/Tab_Compteur_7[[#This Row],[Delta Jour]],"")</f>
        <v/>
      </c>
      <c r="I108" s="215" t="str">
        <f t="shared" si="4"/>
        <v/>
      </c>
      <c r="J108" s="216"/>
      <c r="K108" s="38"/>
      <c r="L108" s="38"/>
      <c r="M108" s="38"/>
    </row>
    <row r="109" spans="1:13">
      <c r="A109" s="3">
        <f t="shared" si="5"/>
        <v>1</v>
      </c>
      <c r="B109" s="88"/>
      <c r="C109" s="194"/>
      <c r="D109" s="195"/>
      <c r="E109" s="193"/>
      <c r="F109" s="256">
        <f t="shared" si="3"/>
        <v>0</v>
      </c>
      <c r="G109" s="256" t="str">
        <f>IF(IFERROR(IF(Str_TypeDonneesCpt7=Cpt_Index,Tab_Compteur_7[[#This Row],[Index]]-E108,Tab_Compteur_7[[#This Row],[Quantité]])/Tab_Compteur_7[[#This Row],[Delta Jour]],"")&lt;0,"",IFERROR(IF(Str_TypeDonneesCpt7=Cpt_Index,Tab_Compteur_7[[#This Row],[Index]]-E108,Tab_Compteur_7[[#This Row],[Quantité]])/Tab_Compteur_7[[#This Row],[Delta Jour]],""))</f>
        <v/>
      </c>
      <c r="H109" s="256" t="str">
        <f>IFERROR(Tab_Compteur_7[[#This Row],[Montant]]/Tab_Compteur_7[[#This Row],[Delta Jour]],"")</f>
        <v/>
      </c>
      <c r="I109" s="215" t="str">
        <f t="shared" si="4"/>
        <v/>
      </c>
      <c r="J109" s="216"/>
      <c r="K109" s="38"/>
      <c r="L109" s="38"/>
      <c r="M109" s="38"/>
    </row>
    <row r="110" spans="1:13">
      <c r="A110" s="3">
        <f t="shared" si="5"/>
        <v>1</v>
      </c>
      <c r="B110" s="88"/>
      <c r="C110" s="194"/>
      <c r="D110" s="195"/>
      <c r="E110" s="193"/>
      <c r="F110" s="256">
        <f t="shared" si="3"/>
        <v>0</v>
      </c>
      <c r="G110" s="256" t="str">
        <f>IF(IFERROR(IF(Str_TypeDonneesCpt7=Cpt_Index,Tab_Compteur_7[[#This Row],[Index]]-E109,Tab_Compteur_7[[#This Row],[Quantité]])/Tab_Compteur_7[[#This Row],[Delta Jour]],"")&lt;0,"",IFERROR(IF(Str_TypeDonneesCpt7=Cpt_Index,Tab_Compteur_7[[#This Row],[Index]]-E109,Tab_Compteur_7[[#This Row],[Quantité]])/Tab_Compteur_7[[#This Row],[Delta Jour]],""))</f>
        <v/>
      </c>
      <c r="H110" s="256" t="str">
        <f>IFERROR(Tab_Compteur_7[[#This Row],[Montant]]/Tab_Compteur_7[[#This Row],[Delta Jour]],"")</f>
        <v/>
      </c>
      <c r="I110" s="215" t="str">
        <f t="shared" si="4"/>
        <v/>
      </c>
      <c r="J110" s="216"/>
      <c r="K110" s="38"/>
      <c r="L110" s="38"/>
      <c r="M110" s="38"/>
    </row>
    <row r="111" spans="1:13">
      <c r="A111" s="3">
        <f t="shared" si="5"/>
        <v>1</v>
      </c>
      <c r="B111" s="88"/>
      <c r="C111" s="194"/>
      <c r="D111" s="195"/>
      <c r="E111" s="193"/>
      <c r="F111" s="256">
        <f t="shared" si="3"/>
        <v>0</v>
      </c>
      <c r="G111" s="256" t="str">
        <f>IF(IFERROR(IF(Str_TypeDonneesCpt7=Cpt_Index,Tab_Compteur_7[[#This Row],[Index]]-E110,Tab_Compteur_7[[#This Row],[Quantité]])/Tab_Compteur_7[[#This Row],[Delta Jour]],"")&lt;0,"",IFERROR(IF(Str_TypeDonneesCpt7=Cpt_Index,Tab_Compteur_7[[#This Row],[Index]]-E110,Tab_Compteur_7[[#This Row],[Quantité]])/Tab_Compteur_7[[#This Row],[Delta Jour]],""))</f>
        <v/>
      </c>
      <c r="H111" s="256" t="str">
        <f>IFERROR(Tab_Compteur_7[[#This Row],[Montant]]/Tab_Compteur_7[[#This Row],[Delta Jour]],"")</f>
        <v/>
      </c>
      <c r="I111" s="215" t="str">
        <f t="shared" si="4"/>
        <v/>
      </c>
      <c r="J111" s="216"/>
      <c r="K111" s="38"/>
      <c r="L111" s="38"/>
      <c r="M111" s="38"/>
    </row>
    <row r="112" spans="1:13">
      <c r="A112" s="3">
        <f t="shared" si="5"/>
        <v>1</v>
      </c>
      <c r="B112" s="88"/>
      <c r="C112" s="194"/>
      <c r="D112" s="195"/>
      <c r="E112" s="193"/>
      <c r="F112" s="256">
        <f t="shared" si="3"/>
        <v>0</v>
      </c>
      <c r="G112" s="256" t="str">
        <f>IF(IFERROR(IF(Str_TypeDonneesCpt7=Cpt_Index,Tab_Compteur_7[[#This Row],[Index]]-E111,Tab_Compteur_7[[#This Row],[Quantité]])/Tab_Compteur_7[[#This Row],[Delta Jour]],"")&lt;0,"",IFERROR(IF(Str_TypeDonneesCpt7=Cpt_Index,Tab_Compteur_7[[#This Row],[Index]]-E111,Tab_Compteur_7[[#This Row],[Quantité]])/Tab_Compteur_7[[#This Row],[Delta Jour]],""))</f>
        <v/>
      </c>
      <c r="H112" s="256" t="str">
        <f>IFERROR(Tab_Compteur_7[[#This Row],[Montant]]/Tab_Compteur_7[[#This Row],[Delta Jour]],"")</f>
        <v/>
      </c>
      <c r="I112" s="215" t="str">
        <f t="shared" si="4"/>
        <v/>
      </c>
      <c r="J112" s="216"/>
      <c r="K112" s="38"/>
      <c r="L112" s="38"/>
      <c r="M112" s="38"/>
    </row>
    <row r="113" spans="1:13">
      <c r="A113" s="3">
        <f t="shared" si="5"/>
        <v>1</v>
      </c>
      <c r="B113" s="88"/>
      <c r="C113" s="194"/>
      <c r="D113" s="195"/>
      <c r="E113" s="193"/>
      <c r="F113" s="256">
        <f t="shared" si="3"/>
        <v>0</v>
      </c>
      <c r="G113" s="256" t="str">
        <f>IF(IFERROR(IF(Str_TypeDonneesCpt7=Cpt_Index,Tab_Compteur_7[[#This Row],[Index]]-E112,Tab_Compteur_7[[#This Row],[Quantité]])/Tab_Compteur_7[[#This Row],[Delta Jour]],"")&lt;0,"",IFERROR(IF(Str_TypeDonneesCpt7=Cpt_Index,Tab_Compteur_7[[#This Row],[Index]]-E112,Tab_Compteur_7[[#This Row],[Quantité]])/Tab_Compteur_7[[#This Row],[Delta Jour]],""))</f>
        <v/>
      </c>
      <c r="H113" s="256" t="str">
        <f>IFERROR(Tab_Compteur_7[[#This Row],[Montant]]/Tab_Compteur_7[[#This Row],[Delta Jour]],"")</f>
        <v/>
      </c>
      <c r="I113" s="215" t="str">
        <f t="shared" si="4"/>
        <v/>
      </c>
      <c r="J113" s="216"/>
      <c r="K113" s="38"/>
      <c r="L113" s="38"/>
      <c r="M113" s="38"/>
    </row>
    <row r="114" spans="1:13">
      <c r="A114" s="3">
        <f t="shared" si="5"/>
        <v>1</v>
      </c>
      <c r="B114" s="88"/>
      <c r="C114" s="194"/>
      <c r="D114" s="195"/>
      <c r="E114" s="193"/>
      <c r="F114" s="256">
        <f t="shared" si="3"/>
        <v>0</v>
      </c>
      <c r="G114" s="256" t="str">
        <f>IF(IFERROR(IF(Str_TypeDonneesCpt7=Cpt_Index,Tab_Compteur_7[[#This Row],[Index]]-E113,Tab_Compteur_7[[#This Row],[Quantité]])/Tab_Compteur_7[[#This Row],[Delta Jour]],"")&lt;0,"",IFERROR(IF(Str_TypeDonneesCpt7=Cpt_Index,Tab_Compteur_7[[#This Row],[Index]]-E113,Tab_Compteur_7[[#This Row],[Quantité]])/Tab_Compteur_7[[#This Row],[Delta Jour]],""))</f>
        <v/>
      </c>
      <c r="H114" s="256" t="str">
        <f>IFERROR(Tab_Compteur_7[[#This Row],[Montant]]/Tab_Compteur_7[[#This Row],[Delta Jour]],"")</f>
        <v/>
      </c>
      <c r="I114" s="215" t="str">
        <f t="shared" si="4"/>
        <v/>
      </c>
      <c r="J114" s="216"/>
      <c r="K114" s="38"/>
      <c r="L114" s="38"/>
      <c r="M114" s="38"/>
    </row>
    <row r="115" spans="1:13">
      <c r="A115" s="3">
        <f t="shared" si="5"/>
        <v>1</v>
      </c>
      <c r="B115" s="88"/>
      <c r="C115" s="194"/>
      <c r="D115" s="195"/>
      <c r="E115" s="193"/>
      <c r="F115" s="256">
        <f t="shared" si="3"/>
        <v>0</v>
      </c>
      <c r="G115" s="256" t="str">
        <f>IF(IFERROR(IF(Str_TypeDonneesCpt7=Cpt_Index,Tab_Compteur_7[[#This Row],[Index]]-E114,Tab_Compteur_7[[#This Row],[Quantité]])/Tab_Compteur_7[[#This Row],[Delta Jour]],"")&lt;0,"",IFERROR(IF(Str_TypeDonneesCpt7=Cpt_Index,Tab_Compteur_7[[#This Row],[Index]]-E114,Tab_Compteur_7[[#This Row],[Quantité]])/Tab_Compteur_7[[#This Row],[Delta Jour]],""))</f>
        <v/>
      </c>
      <c r="H115" s="256" t="str">
        <f>IFERROR(Tab_Compteur_7[[#This Row],[Montant]]/Tab_Compteur_7[[#This Row],[Delta Jour]],"")</f>
        <v/>
      </c>
      <c r="I115" s="215" t="str">
        <f t="shared" si="4"/>
        <v/>
      </c>
      <c r="J115" s="216"/>
      <c r="K115" s="38"/>
      <c r="L115" s="38"/>
      <c r="M115" s="38"/>
    </row>
    <row r="116" spans="1:13">
      <c r="A116" s="3">
        <f t="shared" si="5"/>
        <v>1</v>
      </c>
      <c r="B116" s="88"/>
      <c r="C116" s="194"/>
      <c r="D116" s="195"/>
      <c r="E116" s="193"/>
      <c r="F116" s="256">
        <f t="shared" si="3"/>
        <v>0</v>
      </c>
      <c r="G116" s="256" t="str">
        <f>IF(IFERROR(IF(Str_TypeDonneesCpt7=Cpt_Index,Tab_Compteur_7[[#This Row],[Index]]-E115,Tab_Compteur_7[[#This Row],[Quantité]])/Tab_Compteur_7[[#This Row],[Delta Jour]],"")&lt;0,"",IFERROR(IF(Str_TypeDonneesCpt7=Cpt_Index,Tab_Compteur_7[[#This Row],[Index]]-E115,Tab_Compteur_7[[#This Row],[Quantité]])/Tab_Compteur_7[[#This Row],[Delta Jour]],""))</f>
        <v/>
      </c>
      <c r="H116" s="256" t="str">
        <f>IFERROR(Tab_Compteur_7[[#This Row],[Montant]]/Tab_Compteur_7[[#This Row],[Delta Jour]],"")</f>
        <v/>
      </c>
      <c r="I116" s="215" t="str">
        <f t="shared" si="4"/>
        <v/>
      </c>
      <c r="J116" s="216"/>
      <c r="K116" s="38"/>
      <c r="L116" s="38"/>
      <c r="M116" s="38"/>
    </row>
    <row r="117" spans="1:13">
      <c r="A117" s="3">
        <f t="shared" si="5"/>
        <v>1</v>
      </c>
      <c r="B117" s="88"/>
      <c r="C117" s="194"/>
      <c r="D117" s="195"/>
      <c r="E117" s="193"/>
      <c r="F117" s="256">
        <f t="shared" si="3"/>
        <v>0</v>
      </c>
      <c r="G117" s="256" t="str">
        <f>IF(IFERROR(IF(Str_TypeDonneesCpt7=Cpt_Index,Tab_Compteur_7[[#This Row],[Index]]-E116,Tab_Compteur_7[[#This Row],[Quantité]])/Tab_Compteur_7[[#This Row],[Delta Jour]],"")&lt;0,"",IFERROR(IF(Str_TypeDonneesCpt7=Cpt_Index,Tab_Compteur_7[[#This Row],[Index]]-E116,Tab_Compteur_7[[#This Row],[Quantité]])/Tab_Compteur_7[[#This Row],[Delta Jour]],""))</f>
        <v/>
      </c>
      <c r="H117" s="256" t="str">
        <f>IFERROR(Tab_Compteur_7[[#This Row],[Montant]]/Tab_Compteur_7[[#This Row],[Delta Jour]],"")</f>
        <v/>
      </c>
      <c r="I117" s="215" t="str">
        <f t="shared" si="4"/>
        <v/>
      </c>
      <c r="J117" s="216"/>
      <c r="K117" s="38"/>
      <c r="L117" s="38"/>
      <c r="M117" s="38"/>
    </row>
    <row r="118" spans="1:13">
      <c r="A118" s="3">
        <f t="shared" si="5"/>
        <v>1</v>
      </c>
      <c r="B118" s="88"/>
      <c r="C118" s="194"/>
      <c r="D118" s="195"/>
      <c r="E118" s="193"/>
      <c r="F118" s="256">
        <f t="shared" si="3"/>
        <v>0</v>
      </c>
      <c r="G118" s="256" t="str">
        <f>IF(IFERROR(IF(Str_TypeDonneesCpt7=Cpt_Index,Tab_Compteur_7[[#This Row],[Index]]-E117,Tab_Compteur_7[[#This Row],[Quantité]])/Tab_Compteur_7[[#This Row],[Delta Jour]],"")&lt;0,"",IFERROR(IF(Str_TypeDonneesCpt7=Cpt_Index,Tab_Compteur_7[[#This Row],[Index]]-E117,Tab_Compteur_7[[#This Row],[Quantité]])/Tab_Compteur_7[[#This Row],[Delta Jour]],""))</f>
        <v/>
      </c>
      <c r="H118" s="256" t="str">
        <f>IFERROR(Tab_Compteur_7[[#This Row],[Montant]]/Tab_Compteur_7[[#This Row],[Delta Jour]],"")</f>
        <v/>
      </c>
      <c r="I118" s="215" t="str">
        <f t="shared" si="4"/>
        <v/>
      </c>
      <c r="J118" s="216"/>
      <c r="K118" s="38"/>
      <c r="L118" s="38"/>
      <c r="M118" s="38"/>
    </row>
    <row r="119" spans="1:13">
      <c r="A119" s="3">
        <f t="shared" si="5"/>
        <v>1</v>
      </c>
      <c r="B119" s="88"/>
      <c r="C119" s="194"/>
      <c r="D119" s="195"/>
      <c r="E119" s="193"/>
      <c r="F119" s="256">
        <f t="shared" si="3"/>
        <v>0</v>
      </c>
      <c r="G119" s="256" t="str">
        <f>IF(IFERROR(IF(Str_TypeDonneesCpt7=Cpt_Index,Tab_Compteur_7[[#This Row],[Index]]-E118,Tab_Compteur_7[[#This Row],[Quantité]])/Tab_Compteur_7[[#This Row],[Delta Jour]],"")&lt;0,"",IFERROR(IF(Str_TypeDonneesCpt7=Cpt_Index,Tab_Compteur_7[[#This Row],[Index]]-E118,Tab_Compteur_7[[#This Row],[Quantité]])/Tab_Compteur_7[[#This Row],[Delta Jour]],""))</f>
        <v/>
      </c>
      <c r="H119" s="256" t="str">
        <f>IFERROR(Tab_Compteur_7[[#This Row],[Montant]]/Tab_Compteur_7[[#This Row],[Delta Jour]],"")</f>
        <v/>
      </c>
      <c r="I119" s="215" t="str">
        <f t="shared" si="4"/>
        <v/>
      </c>
      <c r="J119" s="216"/>
      <c r="K119" s="38"/>
      <c r="L119" s="38"/>
      <c r="M119" s="38"/>
    </row>
    <row r="120" spans="1:13">
      <c r="A120" s="3">
        <f t="shared" si="5"/>
        <v>1</v>
      </c>
      <c r="B120" s="88"/>
      <c r="C120" s="194"/>
      <c r="D120" s="195"/>
      <c r="E120" s="193"/>
      <c r="F120" s="256">
        <f t="shared" si="3"/>
        <v>0</v>
      </c>
      <c r="G120" s="256" t="str">
        <f>IF(IFERROR(IF(Str_TypeDonneesCpt7=Cpt_Index,Tab_Compteur_7[[#This Row],[Index]]-E119,Tab_Compteur_7[[#This Row],[Quantité]])/Tab_Compteur_7[[#This Row],[Delta Jour]],"")&lt;0,"",IFERROR(IF(Str_TypeDonneesCpt7=Cpt_Index,Tab_Compteur_7[[#This Row],[Index]]-E119,Tab_Compteur_7[[#This Row],[Quantité]])/Tab_Compteur_7[[#This Row],[Delta Jour]],""))</f>
        <v/>
      </c>
      <c r="H120" s="256" t="str">
        <f>IFERROR(Tab_Compteur_7[[#This Row],[Montant]]/Tab_Compteur_7[[#This Row],[Delta Jour]],"")</f>
        <v/>
      </c>
      <c r="I120" s="215" t="str">
        <f t="shared" si="4"/>
        <v/>
      </c>
      <c r="J120" s="216"/>
      <c r="K120" s="38"/>
      <c r="L120" s="38"/>
      <c r="M120" s="38"/>
    </row>
    <row r="121" spans="1:13">
      <c r="A121" s="3">
        <f t="shared" si="5"/>
        <v>1</v>
      </c>
      <c r="B121" s="88"/>
      <c r="C121" s="194"/>
      <c r="D121" s="195"/>
      <c r="E121" s="193"/>
      <c r="F121" s="256">
        <f t="shared" si="3"/>
        <v>0</v>
      </c>
      <c r="G121" s="256" t="str">
        <f>IF(IFERROR(IF(Str_TypeDonneesCpt7=Cpt_Index,Tab_Compteur_7[[#This Row],[Index]]-E120,Tab_Compteur_7[[#This Row],[Quantité]])/Tab_Compteur_7[[#This Row],[Delta Jour]],"")&lt;0,"",IFERROR(IF(Str_TypeDonneesCpt7=Cpt_Index,Tab_Compteur_7[[#This Row],[Index]]-E120,Tab_Compteur_7[[#This Row],[Quantité]])/Tab_Compteur_7[[#This Row],[Delta Jour]],""))</f>
        <v/>
      </c>
      <c r="H121" s="256" t="str">
        <f>IFERROR(Tab_Compteur_7[[#This Row],[Montant]]/Tab_Compteur_7[[#This Row],[Delta Jour]],"")</f>
        <v/>
      </c>
      <c r="I121" s="215" t="str">
        <f t="shared" si="4"/>
        <v/>
      </c>
      <c r="J121" s="216"/>
      <c r="K121" s="38"/>
      <c r="L121" s="38"/>
      <c r="M121" s="38"/>
    </row>
    <row r="122" spans="1:13">
      <c r="A122" s="3">
        <f t="shared" si="5"/>
        <v>1</v>
      </c>
      <c r="B122" s="88"/>
      <c r="C122" s="194"/>
      <c r="D122" s="195"/>
      <c r="E122" s="193"/>
      <c r="F122" s="256">
        <f t="shared" si="3"/>
        <v>0</v>
      </c>
      <c r="G122" s="256" t="str">
        <f>IF(IFERROR(IF(Str_TypeDonneesCpt7=Cpt_Index,Tab_Compteur_7[[#This Row],[Index]]-E121,Tab_Compteur_7[[#This Row],[Quantité]])/Tab_Compteur_7[[#This Row],[Delta Jour]],"")&lt;0,"",IFERROR(IF(Str_TypeDonneesCpt7=Cpt_Index,Tab_Compteur_7[[#This Row],[Index]]-E121,Tab_Compteur_7[[#This Row],[Quantité]])/Tab_Compteur_7[[#This Row],[Delta Jour]],""))</f>
        <v/>
      </c>
      <c r="H122" s="256" t="str">
        <f>IFERROR(Tab_Compteur_7[[#This Row],[Montant]]/Tab_Compteur_7[[#This Row],[Delta Jour]],"")</f>
        <v/>
      </c>
      <c r="I122" s="215" t="str">
        <f t="shared" si="4"/>
        <v/>
      </c>
      <c r="J122" s="216"/>
      <c r="K122" s="38"/>
      <c r="L122" s="38"/>
      <c r="M122" s="38"/>
    </row>
    <row r="123" spans="1:13">
      <c r="A123" s="3">
        <f t="shared" si="5"/>
        <v>1</v>
      </c>
      <c r="B123" s="88"/>
      <c r="C123" s="194"/>
      <c r="D123" s="195"/>
      <c r="E123" s="193"/>
      <c r="F123" s="256">
        <f t="shared" si="3"/>
        <v>0</v>
      </c>
      <c r="G123" s="256" t="str">
        <f>IF(IFERROR(IF(Str_TypeDonneesCpt7=Cpt_Index,Tab_Compteur_7[[#This Row],[Index]]-E122,Tab_Compteur_7[[#This Row],[Quantité]])/Tab_Compteur_7[[#This Row],[Delta Jour]],"")&lt;0,"",IFERROR(IF(Str_TypeDonneesCpt7=Cpt_Index,Tab_Compteur_7[[#This Row],[Index]]-E122,Tab_Compteur_7[[#This Row],[Quantité]])/Tab_Compteur_7[[#This Row],[Delta Jour]],""))</f>
        <v/>
      </c>
      <c r="H123" s="256" t="str">
        <f>IFERROR(Tab_Compteur_7[[#This Row],[Montant]]/Tab_Compteur_7[[#This Row],[Delta Jour]],"")</f>
        <v/>
      </c>
      <c r="I123" s="215" t="str">
        <f t="shared" si="4"/>
        <v/>
      </c>
      <c r="J123" s="216"/>
      <c r="K123" s="38"/>
      <c r="L123" s="38"/>
      <c r="M123" s="38"/>
    </row>
    <row r="124" spans="1:13">
      <c r="A124" s="3">
        <f t="shared" si="5"/>
        <v>1</v>
      </c>
      <c r="B124" s="88"/>
      <c r="C124" s="194"/>
      <c r="D124" s="195"/>
      <c r="E124" s="193"/>
      <c r="F124" s="256">
        <f t="shared" si="3"/>
        <v>0</v>
      </c>
      <c r="G124" s="256" t="str">
        <f>IF(IFERROR(IF(Str_TypeDonneesCpt7=Cpt_Index,Tab_Compteur_7[[#This Row],[Index]]-E123,Tab_Compteur_7[[#This Row],[Quantité]])/Tab_Compteur_7[[#This Row],[Delta Jour]],"")&lt;0,"",IFERROR(IF(Str_TypeDonneesCpt7=Cpt_Index,Tab_Compteur_7[[#This Row],[Index]]-E123,Tab_Compteur_7[[#This Row],[Quantité]])/Tab_Compteur_7[[#This Row],[Delta Jour]],""))</f>
        <v/>
      </c>
      <c r="H124" s="256" t="str">
        <f>IFERROR(Tab_Compteur_7[[#This Row],[Montant]]/Tab_Compteur_7[[#This Row],[Delta Jour]],"")</f>
        <v/>
      </c>
      <c r="I124" s="215" t="str">
        <f t="shared" si="4"/>
        <v/>
      </c>
      <c r="J124" s="216"/>
      <c r="K124" s="38"/>
      <c r="L124" s="38"/>
      <c r="M124" s="38"/>
    </row>
    <row r="125" spans="1:13">
      <c r="A125" s="3">
        <f t="shared" si="5"/>
        <v>1</v>
      </c>
      <c r="B125" s="88"/>
      <c r="C125" s="194"/>
      <c r="D125" s="195"/>
      <c r="E125" s="193"/>
      <c r="F125" s="256">
        <f t="shared" si="3"/>
        <v>0</v>
      </c>
      <c r="G125" s="256" t="str">
        <f>IF(IFERROR(IF(Str_TypeDonneesCpt7=Cpt_Index,Tab_Compteur_7[[#This Row],[Index]]-E124,Tab_Compteur_7[[#This Row],[Quantité]])/Tab_Compteur_7[[#This Row],[Delta Jour]],"")&lt;0,"",IFERROR(IF(Str_TypeDonneesCpt7=Cpt_Index,Tab_Compteur_7[[#This Row],[Index]]-E124,Tab_Compteur_7[[#This Row],[Quantité]])/Tab_Compteur_7[[#This Row],[Delta Jour]],""))</f>
        <v/>
      </c>
      <c r="H125" s="256" t="str">
        <f>IFERROR(Tab_Compteur_7[[#This Row],[Montant]]/Tab_Compteur_7[[#This Row],[Delta Jour]],"")</f>
        <v/>
      </c>
      <c r="I125" s="215" t="str">
        <f t="shared" si="4"/>
        <v/>
      </c>
      <c r="J125" s="216"/>
      <c r="K125" s="38"/>
      <c r="L125" s="38"/>
      <c r="M125" s="38"/>
    </row>
    <row r="126" spans="1:13">
      <c r="A126" s="3">
        <f t="shared" si="5"/>
        <v>1</v>
      </c>
      <c r="B126" s="88"/>
      <c r="C126" s="194"/>
      <c r="D126" s="195"/>
      <c r="E126" s="193"/>
      <c r="F126" s="256">
        <f t="shared" si="3"/>
        <v>0</v>
      </c>
      <c r="G126" s="256" t="str">
        <f>IF(IFERROR(IF(Str_TypeDonneesCpt7=Cpt_Index,Tab_Compteur_7[[#This Row],[Index]]-E125,Tab_Compteur_7[[#This Row],[Quantité]])/Tab_Compteur_7[[#This Row],[Delta Jour]],"")&lt;0,"",IFERROR(IF(Str_TypeDonneesCpt7=Cpt_Index,Tab_Compteur_7[[#This Row],[Index]]-E125,Tab_Compteur_7[[#This Row],[Quantité]])/Tab_Compteur_7[[#This Row],[Delta Jour]],""))</f>
        <v/>
      </c>
      <c r="H126" s="256" t="str">
        <f>IFERROR(Tab_Compteur_7[[#This Row],[Montant]]/Tab_Compteur_7[[#This Row],[Delta Jour]],"")</f>
        <v/>
      </c>
      <c r="I126" s="215" t="str">
        <f t="shared" si="4"/>
        <v/>
      </c>
      <c r="J126" s="216"/>
      <c r="K126" s="38"/>
      <c r="L126" s="38"/>
      <c r="M126" s="38"/>
    </row>
    <row r="127" spans="1:13">
      <c r="A127" s="3">
        <f t="shared" si="5"/>
        <v>1</v>
      </c>
      <c r="B127" s="88"/>
      <c r="C127" s="194"/>
      <c r="D127" s="195"/>
      <c r="E127" s="193"/>
      <c r="F127" s="256">
        <f t="shared" si="3"/>
        <v>0</v>
      </c>
      <c r="G127" s="256" t="str">
        <f>IF(IFERROR(IF(Str_TypeDonneesCpt7=Cpt_Index,Tab_Compteur_7[[#This Row],[Index]]-E126,Tab_Compteur_7[[#This Row],[Quantité]])/Tab_Compteur_7[[#This Row],[Delta Jour]],"")&lt;0,"",IFERROR(IF(Str_TypeDonneesCpt7=Cpt_Index,Tab_Compteur_7[[#This Row],[Index]]-E126,Tab_Compteur_7[[#This Row],[Quantité]])/Tab_Compteur_7[[#This Row],[Delta Jour]],""))</f>
        <v/>
      </c>
      <c r="H127" s="256" t="str">
        <f>IFERROR(Tab_Compteur_7[[#This Row],[Montant]]/Tab_Compteur_7[[#This Row],[Delta Jour]],"")</f>
        <v/>
      </c>
      <c r="I127" s="215" t="str">
        <f t="shared" si="4"/>
        <v/>
      </c>
      <c r="J127" s="216"/>
      <c r="K127" s="38"/>
      <c r="L127" s="38"/>
      <c r="M127" s="38"/>
    </row>
    <row r="128" spans="1:13">
      <c r="A128" s="3">
        <f t="shared" si="5"/>
        <v>1</v>
      </c>
      <c r="B128" s="88"/>
      <c r="C128" s="194"/>
      <c r="D128" s="195"/>
      <c r="E128" s="193"/>
      <c r="F128" s="256">
        <f t="shared" si="3"/>
        <v>0</v>
      </c>
      <c r="G128" s="256" t="str">
        <f>IF(IFERROR(IF(Str_TypeDonneesCpt7=Cpt_Index,Tab_Compteur_7[[#This Row],[Index]]-E127,Tab_Compteur_7[[#This Row],[Quantité]])/Tab_Compteur_7[[#This Row],[Delta Jour]],"")&lt;0,"",IFERROR(IF(Str_TypeDonneesCpt7=Cpt_Index,Tab_Compteur_7[[#This Row],[Index]]-E127,Tab_Compteur_7[[#This Row],[Quantité]])/Tab_Compteur_7[[#This Row],[Delta Jour]],""))</f>
        <v/>
      </c>
      <c r="H128" s="256" t="str">
        <f>IFERROR(Tab_Compteur_7[[#This Row],[Montant]]/Tab_Compteur_7[[#This Row],[Delta Jour]],"")</f>
        <v/>
      </c>
      <c r="I128" s="215" t="str">
        <f t="shared" si="4"/>
        <v/>
      </c>
      <c r="J128" s="216"/>
      <c r="K128" s="38"/>
      <c r="L128" s="38"/>
      <c r="M128" s="38"/>
    </row>
    <row r="129" spans="1:13">
      <c r="A129" s="3">
        <f t="shared" si="5"/>
        <v>1</v>
      </c>
      <c r="B129" s="88"/>
      <c r="C129" s="194"/>
      <c r="D129" s="195"/>
      <c r="E129" s="193"/>
      <c r="F129" s="256">
        <f t="shared" si="3"/>
        <v>0</v>
      </c>
      <c r="G129" s="256" t="str">
        <f>IF(IFERROR(IF(Str_TypeDonneesCpt7=Cpt_Index,Tab_Compteur_7[[#This Row],[Index]]-E128,Tab_Compteur_7[[#This Row],[Quantité]])/Tab_Compteur_7[[#This Row],[Delta Jour]],"")&lt;0,"",IFERROR(IF(Str_TypeDonneesCpt7=Cpt_Index,Tab_Compteur_7[[#This Row],[Index]]-E128,Tab_Compteur_7[[#This Row],[Quantité]])/Tab_Compteur_7[[#This Row],[Delta Jour]],""))</f>
        <v/>
      </c>
      <c r="H129" s="256" t="str">
        <f>IFERROR(Tab_Compteur_7[[#This Row],[Montant]]/Tab_Compteur_7[[#This Row],[Delta Jour]],"")</f>
        <v/>
      </c>
      <c r="I129" s="215" t="str">
        <f t="shared" si="4"/>
        <v/>
      </c>
      <c r="J129" s="216"/>
      <c r="K129" s="38"/>
      <c r="L129" s="38"/>
      <c r="M129" s="38"/>
    </row>
    <row r="130" spans="1:13">
      <c r="A130" s="3">
        <f t="shared" si="5"/>
        <v>1</v>
      </c>
      <c r="B130" s="88"/>
      <c r="C130" s="194"/>
      <c r="D130" s="195"/>
      <c r="E130" s="193"/>
      <c r="F130" s="256">
        <f t="shared" si="3"/>
        <v>0</v>
      </c>
      <c r="G130" s="256" t="str">
        <f>IF(IFERROR(IF(Str_TypeDonneesCpt7=Cpt_Index,Tab_Compteur_7[[#This Row],[Index]]-E129,Tab_Compteur_7[[#This Row],[Quantité]])/Tab_Compteur_7[[#This Row],[Delta Jour]],"")&lt;0,"",IFERROR(IF(Str_TypeDonneesCpt7=Cpt_Index,Tab_Compteur_7[[#This Row],[Index]]-E129,Tab_Compteur_7[[#This Row],[Quantité]])/Tab_Compteur_7[[#This Row],[Delta Jour]],""))</f>
        <v/>
      </c>
      <c r="H130" s="256" t="str">
        <f>IFERROR(Tab_Compteur_7[[#This Row],[Montant]]/Tab_Compteur_7[[#This Row],[Delta Jour]],"")</f>
        <v/>
      </c>
      <c r="I130" s="215" t="str">
        <f t="shared" si="4"/>
        <v/>
      </c>
      <c r="J130" s="216"/>
      <c r="K130" s="38"/>
      <c r="L130" s="38"/>
      <c r="M130" s="38"/>
    </row>
    <row r="131" spans="1:13">
      <c r="A131" s="3">
        <f t="shared" si="5"/>
        <v>1</v>
      </c>
      <c r="B131" s="88"/>
      <c r="C131" s="194"/>
      <c r="D131" s="195"/>
      <c r="E131" s="193"/>
      <c r="F131" s="256">
        <f t="shared" ref="F131:F194" si="6">IFERROR(B131-A131+1,"")</f>
        <v>0</v>
      </c>
      <c r="G131" s="256" t="str">
        <f>IF(IFERROR(IF(Str_TypeDonneesCpt7=Cpt_Index,Tab_Compteur_7[[#This Row],[Index]]-E130,Tab_Compteur_7[[#This Row],[Quantité]])/Tab_Compteur_7[[#This Row],[Delta Jour]],"")&lt;0,"",IFERROR(IF(Str_TypeDonneesCpt7=Cpt_Index,Tab_Compteur_7[[#This Row],[Index]]-E130,Tab_Compteur_7[[#This Row],[Quantité]])/Tab_Compteur_7[[#This Row],[Delta Jour]],""))</f>
        <v/>
      </c>
      <c r="H131" s="256" t="str">
        <f>IFERROR(Tab_Compteur_7[[#This Row],[Montant]]/Tab_Compteur_7[[#This Row],[Delta Jour]],"")</f>
        <v/>
      </c>
      <c r="I131" s="215" t="str">
        <f t="shared" ref="I131:I194" si="7">G131</f>
        <v/>
      </c>
      <c r="J131" s="216"/>
      <c r="K131" s="38"/>
      <c r="L131" s="38"/>
      <c r="M131" s="38"/>
    </row>
    <row r="132" spans="1:13">
      <c r="A132" s="3">
        <f t="shared" si="5"/>
        <v>1</v>
      </c>
      <c r="B132" s="88"/>
      <c r="C132" s="194"/>
      <c r="D132" s="195"/>
      <c r="E132" s="193"/>
      <c r="F132" s="256">
        <f t="shared" si="6"/>
        <v>0</v>
      </c>
      <c r="G132" s="256" t="str">
        <f>IF(IFERROR(IF(Str_TypeDonneesCpt7=Cpt_Index,Tab_Compteur_7[[#This Row],[Index]]-E131,Tab_Compteur_7[[#This Row],[Quantité]])/Tab_Compteur_7[[#This Row],[Delta Jour]],"")&lt;0,"",IFERROR(IF(Str_TypeDonneesCpt7=Cpt_Index,Tab_Compteur_7[[#This Row],[Index]]-E131,Tab_Compteur_7[[#This Row],[Quantité]])/Tab_Compteur_7[[#This Row],[Delta Jour]],""))</f>
        <v/>
      </c>
      <c r="H132" s="256" t="str">
        <f>IFERROR(Tab_Compteur_7[[#This Row],[Montant]]/Tab_Compteur_7[[#This Row],[Delta Jour]],"")</f>
        <v/>
      </c>
      <c r="I132" s="215" t="str">
        <f t="shared" si="7"/>
        <v/>
      </c>
      <c r="J132" s="216"/>
      <c r="K132" s="38"/>
      <c r="L132" s="38"/>
      <c r="M132" s="38"/>
    </row>
    <row r="133" spans="1:13">
      <c r="A133" s="3">
        <f t="shared" si="5"/>
        <v>1</v>
      </c>
      <c r="B133" s="88"/>
      <c r="C133" s="194"/>
      <c r="D133" s="195"/>
      <c r="E133" s="193"/>
      <c r="F133" s="256">
        <f t="shared" si="6"/>
        <v>0</v>
      </c>
      <c r="G133" s="256" t="str">
        <f>IF(IFERROR(IF(Str_TypeDonneesCpt7=Cpt_Index,Tab_Compteur_7[[#This Row],[Index]]-E132,Tab_Compteur_7[[#This Row],[Quantité]])/Tab_Compteur_7[[#This Row],[Delta Jour]],"")&lt;0,"",IFERROR(IF(Str_TypeDonneesCpt7=Cpt_Index,Tab_Compteur_7[[#This Row],[Index]]-E132,Tab_Compteur_7[[#This Row],[Quantité]])/Tab_Compteur_7[[#This Row],[Delta Jour]],""))</f>
        <v/>
      </c>
      <c r="H133" s="256" t="str">
        <f>IFERROR(Tab_Compteur_7[[#This Row],[Montant]]/Tab_Compteur_7[[#This Row],[Delta Jour]],"")</f>
        <v/>
      </c>
      <c r="I133" s="215" t="str">
        <f t="shared" si="7"/>
        <v/>
      </c>
      <c r="J133" s="216"/>
      <c r="K133" s="38"/>
      <c r="L133" s="38"/>
      <c r="M133" s="38"/>
    </row>
    <row r="134" spans="1:13">
      <c r="A134" s="3">
        <f t="shared" ref="A134:A197" si="8">IFERROR(B133+1,0)</f>
        <v>1</v>
      </c>
      <c r="B134" s="88"/>
      <c r="C134" s="194"/>
      <c r="D134" s="195"/>
      <c r="E134" s="193"/>
      <c r="F134" s="256">
        <f t="shared" si="6"/>
        <v>0</v>
      </c>
      <c r="G134" s="256" t="str">
        <f>IF(IFERROR(IF(Str_TypeDonneesCpt7=Cpt_Index,Tab_Compteur_7[[#This Row],[Index]]-E133,Tab_Compteur_7[[#This Row],[Quantité]])/Tab_Compteur_7[[#This Row],[Delta Jour]],"")&lt;0,"",IFERROR(IF(Str_TypeDonneesCpt7=Cpt_Index,Tab_Compteur_7[[#This Row],[Index]]-E133,Tab_Compteur_7[[#This Row],[Quantité]])/Tab_Compteur_7[[#This Row],[Delta Jour]],""))</f>
        <v/>
      </c>
      <c r="H134" s="256" t="str">
        <f>IFERROR(Tab_Compteur_7[[#This Row],[Montant]]/Tab_Compteur_7[[#This Row],[Delta Jour]],"")</f>
        <v/>
      </c>
      <c r="I134" s="215" t="str">
        <f t="shared" si="7"/>
        <v/>
      </c>
      <c r="J134" s="216"/>
      <c r="K134" s="38"/>
      <c r="L134" s="38"/>
      <c r="M134" s="38"/>
    </row>
    <row r="135" spans="1:13">
      <c r="A135" s="3">
        <f t="shared" si="8"/>
        <v>1</v>
      </c>
      <c r="B135" s="88"/>
      <c r="C135" s="194"/>
      <c r="D135" s="195"/>
      <c r="E135" s="193"/>
      <c r="F135" s="256">
        <f t="shared" si="6"/>
        <v>0</v>
      </c>
      <c r="G135" s="256" t="str">
        <f>IF(IFERROR(IF(Str_TypeDonneesCpt7=Cpt_Index,Tab_Compteur_7[[#This Row],[Index]]-E134,Tab_Compteur_7[[#This Row],[Quantité]])/Tab_Compteur_7[[#This Row],[Delta Jour]],"")&lt;0,"",IFERROR(IF(Str_TypeDonneesCpt7=Cpt_Index,Tab_Compteur_7[[#This Row],[Index]]-E134,Tab_Compteur_7[[#This Row],[Quantité]])/Tab_Compteur_7[[#This Row],[Delta Jour]],""))</f>
        <v/>
      </c>
      <c r="H135" s="256" t="str">
        <f>IFERROR(Tab_Compteur_7[[#This Row],[Montant]]/Tab_Compteur_7[[#This Row],[Delta Jour]],"")</f>
        <v/>
      </c>
      <c r="I135" s="215" t="str">
        <f t="shared" si="7"/>
        <v/>
      </c>
      <c r="J135" s="216"/>
      <c r="K135" s="38"/>
      <c r="L135" s="38"/>
      <c r="M135" s="38"/>
    </row>
    <row r="136" spans="1:13">
      <c r="A136" s="3">
        <f t="shared" si="8"/>
        <v>1</v>
      </c>
      <c r="B136" s="88"/>
      <c r="C136" s="194"/>
      <c r="D136" s="195"/>
      <c r="E136" s="193"/>
      <c r="F136" s="256">
        <f t="shared" si="6"/>
        <v>0</v>
      </c>
      <c r="G136" s="256" t="str">
        <f>IF(IFERROR(IF(Str_TypeDonneesCpt7=Cpt_Index,Tab_Compteur_7[[#This Row],[Index]]-E135,Tab_Compteur_7[[#This Row],[Quantité]])/Tab_Compteur_7[[#This Row],[Delta Jour]],"")&lt;0,"",IFERROR(IF(Str_TypeDonneesCpt7=Cpt_Index,Tab_Compteur_7[[#This Row],[Index]]-E135,Tab_Compteur_7[[#This Row],[Quantité]])/Tab_Compteur_7[[#This Row],[Delta Jour]],""))</f>
        <v/>
      </c>
      <c r="H136" s="256" t="str">
        <f>IFERROR(Tab_Compteur_7[[#This Row],[Montant]]/Tab_Compteur_7[[#This Row],[Delta Jour]],"")</f>
        <v/>
      </c>
      <c r="I136" s="215" t="str">
        <f t="shared" si="7"/>
        <v/>
      </c>
      <c r="J136" s="216"/>
      <c r="K136" s="38"/>
      <c r="L136" s="38"/>
      <c r="M136" s="38"/>
    </row>
    <row r="137" spans="1:13">
      <c r="A137" s="3">
        <f t="shared" si="8"/>
        <v>1</v>
      </c>
      <c r="B137" s="88"/>
      <c r="C137" s="194"/>
      <c r="D137" s="195"/>
      <c r="E137" s="193"/>
      <c r="F137" s="256">
        <f t="shared" si="6"/>
        <v>0</v>
      </c>
      <c r="G137" s="256" t="str">
        <f>IF(IFERROR(IF(Str_TypeDonneesCpt7=Cpt_Index,Tab_Compteur_7[[#This Row],[Index]]-E136,Tab_Compteur_7[[#This Row],[Quantité]])/Tab_Compteur_7[[#This Row],[Delta Jour]],"")&lt;0,"",IFERROR(IF(Str_TypeDonneesCpt7=Cpt_Index,Tab_Compteur_7[[#This Row],[Index]]-E136,Tab_Compteur_7[[#This Row],[Quantité]])/Tab_Compteur_7[[#This Row],[Delta Jour]],""))</f>
        <v/>
      </c>
      <c r="H137" s="256" t="str">
        <f>IFERROR(Tab_Compteur_7[[#This Row],[Montant]]/Tab_Compteur_7[[#This Row],[Delta Jour]],"")</f>
        <v/>
      </c>
      <c r="I137" s="215" t="str">
        <f t="shared" si="7"/>
        <v/>
      </c>
      <c r="J137" s="216"/>
      <c r="K137" s="38"/>
      <c r="L137" s="38"/>
      <c r="M137" s="38"/>
    </row>
    <row r="138" spans="1:13">
      <c r="A138" s="3">
        <f t="shared" si="8"/>
        <v>1</v>
      </c>
      <c r="B138" s="88"/>
      <c r="C138" s="194"/>
      <c r="D138" s="195"/>
      <c r="E138" s="193"/>
      <c r="F138" s="256">
        <f t="shared" si="6"/>
        <v>0</v>
      </c>
      <c r="G138" s="256" t="str">
        <f>IF(IFERROR(IF(Str_TypeDonneesCpt7=Cpt_Index,Tab_Compteur_7[[#This Row],[Index]]-E137,Tab_Compteur_7[[#This Row],[Quantité]])/Tab_Compteur_7[[#This Row],[Delta Jour]],"")&lt;0,"",IFERROR(IF(Str_TypeDonneesCpt7=Cpt_Index,Tab_Compteur_7[[#This Row],[Index]]-E137,Tab_Compteur_7[[#This Row],[Quantité]])/Tab_Compteur_7[[#This Row],[Delta Jour]],""))</f>
        <v/>
      </c>
      <c r="H138" s="256" t="str">
        <f>IFERROR(Tab_Compteur_7[[#This Row],[Montant]]/Tab_Compteur_7[[#This Row],[Delta Jour]],"")</f>
        <v/>
      </c>
      <c r="I138" s="215" t="str">
        <f t="shared" si="7"/>
        <v/>
      </c>
      <c r="J138" s="216"/>
      <c r="K138" s="38"/>
      <c r="L138" s="38"/>
      <c r="M138" s="38"/>
    </row>
    <row r="139" spans="1:13">
      <c r="A139" s="3">
        <f t="shared" si="8"/>
        <v>1</v>
      </c>
      <c r="B139" s="88"/>
      <c r="C139" s="194"/>
      <c r="D139" s="195"/>
      <c r="E139" s="193"/>
      <c r="F139" s="256">
        <f t="shared" si="6"/>
        <v>0</v>
      </c>
      <c r="G139" s="256" t="str">
        <f>IF(IFERROR(IF(Str_TypeDonneesCpt7=Cpt_Index,Tab_Compteur_7[[#This Row],[Index]]-E138,Tab_Compteur_7[[#This Row],[Quantité]])/Tab_Compteur_7[[#This Row],[Delta Jour]],"")&lt;0,"",IFERROR(IF(Str_TypeDonneesCpt7=Cpt_Index,Tab_Compteur_7[[#This Row],[Index]]-E138,Tab_Compteur_7[[#This Row],[Quantité]])/Tab_Compteur_7[[#This Row],[Delta Jour]],""))</f>
        <v/>
      </c>
      <c r="H139" s="256" t="str">
        <f>IFERROR(Tab_Compteur_7[[#This Row],[Montant]]/Tab_Compteur_7[[#This Row],[Delta Jour]],"")</f>
        <v/>
      </c>
      <c r="I139" s="215" t="str">
        <f t="shared" si="7"/>
        <v/>
      </c>
      <c r="J139" s="216"/>
      <c r="K139" s="38"/>
      <c r="L139" s="38"/>
      <c r="M139" s="38"/>
    </row>
    <row r="140" spans="1:13">
      <c r="A140" s="3">
        <f t="shared" si="8"/>
        <v>1</v>
      </c>
      <c r="B140" s="88"/>
      <c r="C140" s="194"/>
      <c r="D140" s="195"/>
      <c r="E140" s="193"/>
      <c r="F140" s="256">
        <f t="shared" si="6"/>
        <v>0</v>
      </c>
      <c r="G140" s="256" t="str">
        <f>IF(IFERROR(IF(Str_TypeDonneesCpt7=Cpt_Index,Tab_Compteur_7[[#This Row],[Index]]-E139,Tab_Compteur_7[[#This Row],[Quantité]])/Tab_Compteur_7[[#This Row],[Delta Jour]],"")&lt;0,"",IFERROR(IF(Str_TypeDonneesCpt7=Cpt_Index,Tab_Compteur_7[[#This Row],[Index]]-E139,Tab_Compteur_7[[#This Row],[Quantité]])/Tab_Compteur_7[[#This Row],[Delta Jour]],""))</f>
        <v/>
      </c>
      <c r="H140" s="256" t="str">
        <f>IFERROR(Tab_Compteur_7[[#This Row],[Montant]]/Tab_Compteur_7[[#This Row],[Delta Jour]],"")</f>
        <v/>
      </c>
      <c r="I140" s="215" t="str">
        <f t="shared" si="7"/>
        <v/>
      </c>
      <c r="J140" s="216"/>
      <c r="K140" s="38"/>
      <c r="L140" s="38"/>
      <c r="M140" s="38"/>
    </row>
    <row r="141" spans="1:13">
      <c r="A141" s="3">
        <f t="shared" si="8"/>
        <v>1</v>
      </c>
      <c r="B141" s="88"/>
      <c r="C141" s="194"/>
      <c r="D141" s="195"/>
      <c r="E141" s="193"/>
      <c r="F141" s="256">
        <f t="shared" si="6"/>
        <v>0</v>
      </c>
      <c r="G141" s="256" t="str">
        <f>IF(IFERROR(IF(Str_TypeDonneesCpt7=Cpt_Index,Tab_Compteur_7[[#This Row],[Index]]-E140,Tab_Compteur_7[[#This Row],[Quantité]])/Tab_Compteur_7[[#This Row],[Delta Jour]],"")&lt;0,"",IFERROR(IF(Str_TypeDonneesCpt7=Cpt_Index,Tab_Compteur_7[[#This Row],[Index]]-E140,Tab_Compteur_7[[#This Row],[Quantité]])/Tab_Compteur_7[[#This Row],[Delta Jour]],""))</f>
        <v/>
      </c>
      <c r="H141" s="256" t="str">
        <f>IFERROR(Tab_Compteur_7[[#This Row],[Montant]]/Tab_Compteur_7[[#This Row],[Delta Jour]],"")</f>
        <v/>
      </c>
      <c r="I141" s="215" t="str">
        <f t="shared" si="7"/>
        <v/>
      </c>
      <c r="J141" s="216"/>
      <c r="K141" s="38"/>
      <c r="L141" s="38"/>
      <c r="M141" s="38"/>
    </row>
    <row r="142" spans="1:13">
      <c r="A142" s="3">
        <f t="shared" si="8"/>
        <v>1</v>
      </c>
      <c r="B142" s="88"/>
      <c r="C142" s="194"/>
      <c r="D142" s="195"/>
      <c r="E142" s="193"/>
      <c r="F142" s="256">
        <f t="shared" si="6"/>
        <v>0</v>
      </c>
      <c r="G142" s="256" t="str">
        <f>IF(IFERROR(IF(Str_TypeDonneesCpt7=Cpt_Index,Tab_Compteur_7[[#This Row],[Index]]-E141,Tab_Compteur_7[[#This Row],[Quantité]])/Tab_Compteur_7[[#This Row],[Delta Jour]],"")&lt;0,"",IFERROR(IF(Str_TypeDonneesCpt7=Cpt_Index,Tab_Compteur_7[[#This Row],[Index]]-E141,Tab_Compteur_7[[#This Row],[Quantité]])/Tab_Compteur_7[[#This Row],[Delta Jour]],""))</f>
        <v/>
      </c>
      <c r="H142" s="256" t="str">
        <f>IFERROR(Tab_Compteur_7[[#This Row],[Montant]]/Tab_Compteur_7[[#This Row],[Delta Jour]],"")</f>
        <v/>
      </c>
      <c r="I142" s="215" t="str">
        <f t="shared" si="7"/>
        <v/>
      </c>
      <c r="J142" s="216"/>
      <c r="K142" s="38"/>
      <c r="L142" s="38"/>
      <c r="M142" s="38"/>
    </row>
    <row r="143" spans="1:13">
      <c r="A143" s="3">
        <f t="shared" si="8"/>
        <v>1</v>
      </c>
      <c r="B143" s="88"/>
      <c r="C143" s="194"/>
      <c r="D143" s="195"/>
      <c r="E143" s="193"/>
      <c r="F143" s="256">
        <f t="shared" si="6"/>
        <v>0</v>
      </c>
      <c r="G143" s="256" t="str">
        <f>IF(IFERROR(IF(Str_TypeDonneesCpt7=Cpt_Index,Tab_Compteur_7[[#This Row],[Index]]-E142,Tab_Compteur_7[[#This Row],[Quantité]])/Tab_Compteur_7[[#This Row],[Delta Jour]],"")&lt;0,"",IFERROR(IF(Str_TypeDonneesCpt7=Cpt_Index,Tab_Compteur_7[[#This Row],[Index]]-E142,Tab_Compteur_7[[#This Row],[Quantité]])/Tab_Compteur_7[[#This Row],[Delta Jour]],""))</f>
        <v/>
      </c>
      <c r="H143" s="256" t="str">
        <f>IFERROR(Tab_Compteur_7[[#This Row],[Montant]]/Tab_Compteur_7[[#This Row],[Delta Jour]],"")</f>
        <v/>
      </c>
      <c r="I143" s="215" t="str">
        <f t="shared" si="7"/>
        <v/>
      </c>
      <c r="J143" s="216"/>
      <c r="K143" s="38"/>
      <c r="L143" s="38"/>
      <c r="M143" s="38"/>
    </row>
    <row r="144" spans="1:13">
      <c r="A144" s="3">
        <f t="shared" si="8"/>
        <v>1</v>
      </c>
      <c r="B144" s="88"/>
      <c r="C144" s="194"/>
      <c r="D144" s="195"/>
      <c r="E144" s="193"/>
      <c r="F144" s="256">
        <f t="shared" si="6"/>
        <v>0</v>
      </c>
      <c r="G144" s="256" t="str">
        <f>IF(IFERROR(IF(Str_TypeDonneesCpt7=Cpt_Index,Tab_Compteur_7[[#This Row],[Index]]-E143,Tab_Compteur_7[[#This Row],[Quantité]])/Tab_Compteur_7[[#This Row],[Delta Jour]],"")&lt;0,"",IFERROR(IF(Str_TypeDonneesCpt7=Cpt_Index,Tab_Compteur_7[[#This Row],[Index]]-E143,Tab_Compteur_7[[#This Row],[Quantité]])/Tab_Compteur_7[[#This Row],[Delta Jour]],""))</f>
        <v/>
      </c>
      <c r="H144" s="256" t="str">
        <f>IFERROR(Tab_Compteur_7[[#This Row],[Montant]]/Tab_Compteur_7[[#This Row],[Delta Jour]],"")</f>
        <v/>
      </c>
      <c r="I144" s="215" t="str">
        <f t="shared" si="7"/>
        <v/>
      </c>
      <c r="J144" s="216"/>
      <c r="K144" s="38"/>
      <c r="L144" s="38"/>
      <c r="M144" s="38"/>
    </row>
    <row r="145" spans="1:13">
      <c r="A145" s="3">
        <f t="shared" si="8"/>
        <v>1</v>
      </c>
      <c r="B145" s="88"/>
      <c r="C145" s="194"/>
      <c r="D145" s="195"/>
      <c r="E145" s="193"/>
      <c r="F145" s="256">
        <f t="shared" si="6"/>
        <v>0</v>
      </c>
      <c r="G145" s="256" t="str">
        <f>IF(IFERROR(IF(Str_TypeDonneesCpt7=Cpt_Index,Tab_Compteur_7[[#This Row],[Index]]-E144,Tab_Compteur_7[[#This Row],[Quantité]])/Tab_Compteur_7[[#This Row],[Delta Jour]],"")&lt;0,"",IFERROR(IF(Str_TypeDonneesCpt7=Cpt_Index,Tab_Compteur_7[[#This Row],[Index]]-E144,Tab_Compteur_7[[#This Row],[Quantité]])/Tab_Compteur_7[[#This Row],[Delta Jour]],""))</f>
        <v/>
      </c>
      <c r="H145" s="256" t="str">
        <f>IFERROR(Tab_Compteur_7[[#This Row],[Montant]]/Tab_Compteur_7[[#This Row],[Delta Jour]],"")</f>
        <v/>
      </c>
      <c r="I145" s="215" t="str">
        <f t="shared" si="7"/>
        <v/>
      </c>
      <c r="J145" s="216"/>
      <c r="K145" s="38"/>
      <c r="L145" s="38"/>
      <c r="M145" s="38"/>
    </row>
    <row r="146" spans="1:13">
      <c r="A146" s="3">
        <f t="shared" si="8"/>
        <v>1</v>
      </c>
      <c r="B146" s="88"/>
      <c r="C146" s="194"/>
      <c r="D146" s="195"/>
      <c r="E146" s="193"/>
      <c r="F146" s="256">
        <f t="shared" si="6"/>
        <v>0</v>
      </c>
      <c r="G146" s="256" t="str">
        <f>IF(IFERROR(IF(Str_TypeDonneesCpt7=Cpt_Index,Tab_Compteur_7[[#This Row],[Index]]-E145,Tab_Compteur_7[[#This Row],[Quantité]])/Tab_Compteur_7[[#This Row],[Delta Jour]],"")&lt;0,"",IFERROR(IF(Str_TypeDonneesCpt7=Cpt_Index,Tab_Compteur_7[[#This Row],[Index]]-E145,Tab_Compteur_7[[#This Row],[Quantité]])/Tab_Compteur_7[[#This Row],[Delta Jour]],""))</f>
        <v/>
      </c>
      <c r="H146" s="256" t="str">
        <f>IFERROR(Tab_Compteur_7[[#This Row],[Montant]]/Tab_Compteur_7[[#This Row],[Delta Jour]],"")</f>
        <v/>
      </c>
      <c r="I146" s="215" t="str">
        <f t="shared" si="7"/>
        <v/>
      </c>
      <c r="J146" s="216"/>
      <c r="K146" s="38"/>
      <c r="L146" s="38"/>
      <c r="M146" s="38"/>
    </row>
    <row r="147" spans="1:13">
      <c r="A147" s="3">
        <f t="shared" si="8"/>
        <v>1</v>
      </c>
      <c r="B147" s="88"/>
      <c r="C147" s="194"/>
      <c r="D147" s="195"/>
      <c r="E147" s="193"/>
      <c r="F147" s="256">
        <f t="shared" si="6"/>
        <v>0</v>
      </c>
      <c r="G147" s="256" t="str">
        <f>IF(IFERROR(IF(Str_TypeDonneesCpt7=Cpt_Index,Tab_Compteur_7[[#This Row],[Index]]-E146,Tab_Compteur_7[[#This Row],[Quantité]])/Tab_Compteur_7[[#This Row],[Delta Jour]],"")&lt;0,"",IFERROR(IF(Str_TypeDonneesCpt7=Cpt_Index,Tab_Compteur_7[[#This Row],[Index]]-E146,Tab_Compteur_7[[#This Row],[Quantité]])/Tab_Compteur_7[[#This Row],[Delta Jour]],""))</f>
        <v/>
      </c>
      <c r="H147" s="256" t="str">
        <f>IFERROR(Tab_Compteur_7[[#This Row],[Montant]]/Tab_Compteur_7[[#This Row],[Delta Jour]],"")</f>
        <v/>
      </c>
      <c r="I147" s="215" t="str">
        <f t="shared" si="7"/>
        <v/>
      </c>
      <c r="J147" s="216"/>
      <c r="K147" s="38"/>
      <c r="L147" s="38"/>
      <c r="M147" s="38"/>
    </row>
    <row r="148" spans="1:13">
      <c r="A148" s="3">
        <f t="shared" si="8"/>
        <v>1</v>
      </c>
      <c r="B148" s="88"/>
      <c r="C148" s="194"/>
      <c r="D148" s="195"/>
      <c r="E148" s="193"/>
      <c r="F148" s="256">
        <f t="shared" si="6"/>
        <v>0</v>
      </c>
      <c r="G148" s="256" t="str">
        <f>IF(IFERROR(IF(Str_TypeDonneesCpt7=Cpt_Index,Tab_Compteur_7[[#This Row],[Index]]-E147,Tab_Compteur_7[[#This Row],[Quantité]])/Tab_Compteur_7[[#This Row],[Delta Jour]],"")&lt;0,"",IFERROR(IF(Str_TypeDonneesCpt7=Cpt_Index,Tab_Compteur_7[[#This Row],[Index]]-E147,Tab_Compteur_7[[#This Row],[Quantité]])/Tab_Compteur_7[[#This Row],[Delta Jour]],""))</f>
        <v/>
      </c>
      <c r="H148" s="256" t="str">
        <f>IFERROR(Tab_Compteur_7[[#This Row],[Montant]]/Tab_Compteur_7[[#This Row],[Delta Jour]],"")</f>
        <v/>
      </c>
      <c r="I148" s="215" t="str">
        <f t="shared" si="7"/>
        <v/>
      </c>
      <c r="J148" s="216"/>
      <c r="K148" s="38"/>
      <c r="L148" s="38"/>
      <c r="M148" s="38"/>
    </row>
    <row r="149" spans="1:13">
      <c r="A149" s="3">
        <f t="shared" si="8"/>
        <v>1</v>
      </c>
      <c r="B149" s="88"/>
      <c r="C149" s="194"/>
      <c r="D149" s="195"/>
      <c r="E149" s="193"/>
      <c r="F149" s="256">
        <f t="shared" si="6"/>
        <v>0</v>
      </c>
      <c r="G149" s="256" t="str">
        <f>IF(IFERROR(IF(Str_TypeDonneesCpt7=Cpt_Index,Tab_Compteur_7[[#This Row],[Index]]-E148,Tab_Compteur_7[[#This Row],[Quantité]])/Tab_Compteur_7[[#This Row],[Delta Jour]],"")&lt;0,"",IFERROR(IF(Str_TypeDonneesCpt7=Cpt_Index,Tab_Compteur_7[[#This Row],[Index]]-E148,Tab_Compteur_7[[#This Row],[Quantité]])/Tab_Compteur_7[[#This Row],[Delta Jour]],""))</f>
        <v/>
      </c>
      <c r="H149" s="256" t="str">
        <f>IFERROR(Tab_Compteur_7[[#This Row],[Montant]]/Tab_Compteur_7[[#This Row],[Delta Jour]],"")</f>
        <v/>
      </c>
      <c r="I149" s="215" t="str">
        <f t="shared" si="7"/>
        <v/>
      </c>
      <c r="J149" s="216"/>
      <c r="K149" s="38"/>
      <c r="L149" s="38"/>
      <c r="M149" s="38"/>
    </row>
    <row r="150" spans="1:13">
      <c r="A150" s="3">
        <f t="shared" si="8"/>
        <v>1</v>
      </c>
      <c r="B150" s="88"/>
      <c r="C150" s="194"/>
      <c r="D150" s="195"/>
      <c r="E150" s="193"/>
      <c r="F150" s="256">
        <f t="shared" si="6"/>
        <v>0</v>
      </c>
      <c r="G150" s="256" t="str">
        <f>IF(IFERROR(IF(Str_TypeDonneesCpt7=Cpt_Index,Tab_Compteur_7[[#This Row],[Index]]-E149,Tab_Compteur_7[[#This Row],[Quantité]])/Tab_Compteur_7[[#This Row],[Delta Jour]],"")&lt;0,"",IFERROR(IF(Str_TypeDonneesCpt7=Cpt_Index,Tab_Compteur_7[[#This Row],[Index]]-E149,Tab_Compteur_7[[#This Row],[Quantité]])/Tab_Compteur_7[[#This Row],[Delta Jour]],""))</f>
        <v/>
      </c>
      <c r="H150" s="256" t="str">
        <f>IFERROR(Tab_Compteur_7[[#This Row],[Montant]]/Tab_Compteur_7[[#This Row],[Delta Jour]],"")</f>
        <v/>
      </c>
      <c r="I150" s="215" t="str">
        <f t="shared" si="7"/>
        <v/>
      </c>
      <c r="J150" s="216"/>
      <c r="K150" s="38"/>
      <c r="L150" s="38"/>
      <c r="M150" s="38"/>
    </row>
    <row r="151" spans="1:13">
      <c r="A151" s="3">
        <f t="shared" si="8"/>
        <v>1</v>
      </c>
      <c r="B151" s="88"/>
      <c r="C151" s="194"/>
      <c r="D151" s="195"/>
      <c r="E151" s="193"/>
      <c r="F151" s="256">
        <f t="shared" si="6"/>
        <v>0</v>
      </c>
      <c r="G151" s="256" t="str">
        <f>IF(IFERROR(IF(Str_TypeDonneesCpt7=Cpt_Index,Tab_Compteur_7[[#This Row],[Index]]-E150,Tab_Compteur_7[[#This Row],[Quantité]])/Tab_Compteur_7[[#This Row],[Delta Jour]],"")&lt;0,"",IFERROR(IF(Str_TypeDonneesCpt7=Cpt_Index,Tab_Compteur_7[[#This Row],[Index]]-E150,Tab_Compteur_7[[#This Row],[Quantité]])/Tab_Compteur_7[[#This Row],[Delta Jour]],""))</f>
        <v/>
      </c>
      <c r="H151" s="256" t="str">
        <f>IFERROR(Tab_Compteur_7[[#This Row],[Montant]]/Tab_Compteur_7[[#This Row],[Delta Jour]],"")</f>
        <v/>
      </c>
      <c r="I151" s="215" t="str">
        <f t="shared" si="7"/>
        <v/>
      </c>
      <c r="J151" s="216"/>
      <c r="K151" s="38"/>
      <c r="L151" s="38"/>
      <c r="M151" s="38"/>
    </row>
    <row r="152" spans="1:13">
      <c r="A152" s="3">
        <f t="shared" si="8"/>
        <v>1</v>
      </c>
      <c r="B152" s="88"/>
      <c r="C152" s="194"/>
      <c r="D152" s="195"/>
      <c r="E152" s="193"/>
      <c r="F152" s="256">
        <f t="shared" si="6"/>
        <v>0</v>
      </c>
      <c r="G152" s="256" t="str">
        <f>IF(IFERROR(IF(Str_TypeDonneesCpt7=Cpt_Index,Tab_Compteur_7[[#This Row],[Index]]-E151,Tab_Compteur_7[[#This Row],[Quantité]])/Tab_Compteur_7[[#This Row],[Delta Jour]],"")&lt;0,"",IFERROR(IF(Str_TypeDonneesCpt7=Cpt_Index,Tab_Compteur_7[[#This Row],[Index]]-E151,Tab_Compteur_7[[#This Row],[Quantité]])/Tab_Compteur_7[[#This Row],[Delta Jour]],""))</f>
        <v/>
      </c>
      <c r="H152" s="256" t="str">
        <f>IFERROR(Tab_Compteur_7[[#This Row],[Montant]]/Tab_Compteur_7[[#This Row],[Delta Jour]],"")</f>
        <v/>
      </c>
      <c r="I152" s="215" t="str">
        <f t="shared" si="7"/>
        <v/>
      </c>
      <c r="J152" s="216"/>
      <c r="K152" s="38"/>
      <c r="L152" s="38"/>
      <c r="M152" s="38"/>
    </row>
    <row r="153" spans="1:13">
      <c r="A153" s="3">
        <f t="shared" si="8"/>
        <v>1</v>
      </c>
      <c r="B153" s="88"/>
      <c r="C153" s="194"/>
      <c r="D153" s="195"/>
      <c r="E153" s="193"/>
      <c r="F153" s="256">
        <f t="shared" si="6"/>
        <v>0</v>
      </c>
      <c r="G153" s="256" t="str">
        <f>IF(IFERROR(IF(Str_TypeDonneesCpt7=Cpt_Index,Tab_Compteur_7[[#This Row],[Index]]-E152,Tab_Compteur_7[[#This Row],[Quantité]])/Tab_Compteur_7[[#This Row],[Delta Jour]],"")&lt;0,"",IFERROR(IF(Str_TypeDonneesCpt7=Cpt_Index,Tab_Compteur_7[[#This Row],[Index]]-E152,Tab_Compteur_7[[#This Row],[Quantité]])/Tab_Compteur_7[[#This Row],[Delta Jour]],""))</f>
        <v/>
      </c>
      <c r="H153" s="256" t="str">
        <f>IFERROR(Tab_Compteur_7[[#This Row],[Montant]]/Tab_Compteur_7[[#This Row],[Delta Jour]],"")</f>
        <v/>
      </c>
      <c r="I153" s="215" t="str">
        <f t="shared" si="7"/>
        <v/>
      </c>
      <c r="J153" s="216"/>
      <c r="K153" s="38"/>
      <c r="L153" s="38"/>
      <c r="M153" s="38"/>
    </row>
    <row r="154" spans="1:13">
      <c r="A154" s="3">
        <f t="shared" si="8"/>
        <v>1</v>
      </c>
      <c r="B154" s="88"/>
      <c r="C154" s="194"/>
      <c r="D154" s="195"/>
      <c r="E154" s="193"/>
      <c r="F154" s="256">
        <f t="shared" si="6"/>
        <v>0</v>
      </c>
      <c r="G154" s="256" t="str">
        <f>IF(IFERROR(IF(Str_TypeDonneesCpt7=Cpt_Index,Tab_Compteur_7[[#This Row],[Index]]-E153,Tab_Compteur_7[[#This Row],[Quantité]])/Tab_Compteur_7[[#This Row],[Delta Jour]],"")&lt;0,"",IFERROR(IF(Str_TypeDonneesCpt7=Cpt_Index,Tab_Compteur_7[[#This Row],[Index]]-E153,Tab_Compteur_7[[#This Row],[Quantité]])/Tab_Compteur_7[[#This Row],[Delta Jour]],""))</f>
        <v/>
      </c>
      <c r="H154" s="256" t="str">
        <f>IFERROR(Tab_Compteur_7[[#This Row],[Montant]]/Tab_Compteur_7[[#This Row],[Delta Jour]],"")</f>
        <v/>
      </c>
      <c r="I154" s="215" t="str">
        <f t="shared" si="7"/>
        <v/>
      </c>
      <c r="J154" s="216"/>
      <c r="K154" s="38"/>
      <c r="L154" s="38"/>
      <c r="M154" s="38"/>
    </row>
    <row r="155" spans="1:13">
      <c r="A155" s="3">
        <f t="shared" si="8"/>
        <v>1</v>
      </c>
      <c r="B155" s="88"/>
      <c r="C155" s="194"/>
      <c r="D155" s="195"/>
      <c r="E155" s="193"/>
      <c r="F155" s="256">
        <f t="shared" si="6"/>
        <v>0</v>
      </c>
      <c r="G155" s="256" t="str">
        <f>IF(IFERROR(IF(Str_TypeDonneesCpt7=Cpt_Index,Tab_Compteur_7[[#This Row],[Index]]-E154,Tab_Compteur_7[[#This Row],[Quantité]])/Tab_Compteur_7[[#This Row],[Delta Jour]],"")&lt;0,"",IFERROR(IF(Str_TypeDonneesCpt7=Cpt_Index,Tab_Compteur_7[[#This Row],[Index]]-E154,Tab_Compteur_7[[#This Row],[Quantité]])/Tab_Compteur_7[[#This Row],[Delta Jour]],""))</f>
        <v/>
      </c>
      <c r="H155" s="256" t="str">
        <f>IFERROR(Tab_Compteur_7[[#This Row],[Montant]]/Tab_Compteur_7[[#This Row],[Delta Jour]],"")</f>
        <v/>
      </c>
      <c r="I155" s="215" t="str">
        <f t="shared" si="7"/>
        <v/>
      </c>
      <c r="J155" s="216"/>
      <c r="K155" s="38"/>
      <c r="L155" s="38"/>
      <c r="M155" s="38"/>
    </row>
    <row r="156" spans="1:13">
      <c r="A156" s="3">
        <f t="shared" si="8"/>
        <v>1</v>
      </c>
      <c r="B156" s="88"/>
      <c r="C156" s="194"/>
      <c r="D156" s="195"/>
      <c r="E156" s="193"/>
      <c r="F156" s="256">
        <f t="shared" si="6"/>
        <v>0</v>
      </c>
      <c r="G156" s="256" t="str">
        <f>IF(IFERROR(IF(Str_TypeDonneesCpt7=Cpt_Index,Tab_Compteur_7[[#This Row],[Index]]-E155,Tab_Compteur_7[[#This Row],[Quantité]])/Tab_Compteur_7[[#This Row],[Delta Jour]],"")&lt;0,"",IFERROR(IF(Str_TypeDonneesCpt7=Cpt_Index,Tab_Compteur_7[[#This Row],[Index]]-E155,Tab_Compteur_7[[#This Row],[Quantité]])/Tab_Compteur_7[[#This Row],[Delta Jour]],""))</f>
        <v/>
      </c>
      <c r="H156" s="256" t="str">
        <f>IFERROR(Tab_Compteur_7[[#This Row],[Montant]]/Tab_Compteur_7[[#This Row],[Delta Jour]],"")</f>
        <v/>
      </c>
      <c r="I156" s="215" t="str">
        <f t="shared" si="7"/>
        <v/>
      </c>
      <c r="J156" s="216"/>
      <c r="K156" s="38"/>
      <c r="L156" s="38"/>
      <c r="M156" s="38"/>
    </row>
    <row r="157" spans="1:13">
      <c r="A157" s="3">
        <f t="shared" si="8"/>
        <v>1</v>
      </c>
      <c r="B157" s="88"/>
      <c r="C157" s="194"/>
      <c r="D157" s="195"/>
      <c r="E157" s="193"/>
      <c r="F157" s="256">
        <f t="shared" si="6"/>
        <v>0</v>
      </c>
      <c r="G157" s="256" t="str">
        <f>IF(IFERROR(IF(Str_TypeDonneesCpt7=Cpt_Index,Tab_Compteur_7[[#This Row],[Index]]-E156,Tab_Compteur_7[[#This Row],[Quantité]])/Tab_Compteur_7[[#This Row],[Delta Jour]],"")&lt;0,"",IFERROR(IF(Str_TypeDonneesCpt7=Cpt_Index,Tab_Compteur_7[[#This Row],[Index]]-E156,Tab_Compteur_7[[#This Row],[Quantité]])/Tab_Compteur_7[[#This Row],[Delta Jour]],""))</f>
        <v/>
      </c>
      <c r="H157" s="256" t="str">
        <f>IFERROR(Tab_Compteur_7[[#This Row],[Montant]]/Tab_Compteur_7[[#This Row],[Delta Jour]],"")</f>
        <v/>
      </c>
      <c r="I157" s="215" t="str">
        <f t="shared" si="7"/>
        <v/>
      </c>
      <c r="J157" s="216"/>
      <c r="K157" s="38"/>
      <c r="L157" s="38"/>
      <c r="M157" s="38"/>
    </row>
    <row r="158" spans="1:13">
      <c r="A158" s="3">
        <f t="shared" si="8"/>
        <v>1</v>
      </c>
      <c r="B158" s="88"/>
      <c r="C158" s="194"/>
      <c r="D158" s="195"/>
      <c r="E158" s="193"/>
      <c r="F158" s="256">
        <f t="shared" si="6"/>
        <v>0</v>
      </c>
      <c r="G158" s="256" t="str">
        <f>IF(IFERROR(IF(Str_TypeDonneesCpt7=Cpt_Index,Tab_Compteur_7[[#This Row],[Index]]-E157,Tab_Compteur_7[[#This Row],[Quantité]])/Tab_Compteur_7[[#This Row],[Delta Jour]],"")&lt;0,"",IFERROR(IF(Str_TypeDonneesCpt7=Cpt_Index,Tab_Compteur_7[[#This Row],[Index]]-E157,Tab_Compteur_7[[#This Row],[Quantité]])/Tab_Compteur_7[[#This Row],[Delta Jour]],""))</f>
        <v/>
      </c>
      <c r="H158" s="256" t="str">
        <f>IFERROR(Tab_Compteur_7[[#This Row],[Montant]]/Tab_Compteur_7[[#This Row],[Delta Jour]],"")</f>
        <v/>
      </c>
      <c r="I158" s="215" t="str">
        <f t="shared" si="7"/>
        <v/>
      </c>
      <c r="J158" s="216"/>
      <c r="K158" s="38"/>
      <c r="L158" s="38"/>
      <c r="M158" s="38"/>
    </row>
    <row r="159" spans="1:13">
      <c r="A159" s="3">
        <f t="shared" si="8"/>
        <v>1</v>
      </c>
      <c r="B159" s="88"/>
      <c r="C159" s="194"/>
      <c r="D159" s="195"/>
      <c r="E159" s="193"/>
      <c r="F159" s="256">
        <f t="shared" si="6"/>
        <v>0</v>
      </c>
      <c r="G159" s="256" t="str">
        <f>IF(IFERROR(IF(Str_TypeDonneesCpt7=Cpt_Index,Tab_Compteur_7[[#This Row],[Index]]-E158,Tab_Compteur_7[[#This Row],[Quantité]])/Tab_Compteur_7[[#This Row],[Delta Jour]],"")&lt;0,"",IFERROR(IF(Str_TypeDonneesCpt7=Cpt_Index,Tab_Compteur_7[[#This Row],[Index]]-E158,Tab_Compteur_7[[#This Row],[Quantité]])/Tab_Compteur_7[[#This Row],[Delta Jour]],""))</f>
        <v/>
      </c>
      <c r="H159" s="256" t="str">
        <f>IFERROR(Tab_Compteur_7[[#This Row],[Montant]]/Tab_Compteur_7[[#This Row],[Delta Jour]],"")</f>
        <v/>
      </c>
      <c r="I159" s="215" t="str">
        <f t="shared" si="7"/>
        <v/>
      </c>
      <c r="J159" s="216"/>
      <c r="K159" s="38"/>
      <c r="L159" s="38"/>
      <c r="M159" s="38"/>
    </row>
    <row r="160" spans="1:13">
      <c r="A160" s="3">
        <f t="shared" si="8"/>
        <v>1</v>
      </c>
      <c r="B160" s="88"/>
      <c r="C160" s="194"/>
      <c r="D160" s="195"/>
      <c r="E160" s="193"/>
      <c r="F160" s="256">
        <f t="shared" si="6"/>
        <v>0</v>
      </c>
      <c r="G160" s="256" t="str">
        <f>IF(IFERROR(IF(Str_TypeDonneesCpt7=Cpt_Index,Tab_Compteur_7[[#This Row],[Index]]-E159,Tab_Compteur_7[[#This Row],[Quantité]])/Tab_Compteur_7[[#This Row],[Delta Jour]],"")&lt;0,"",IFERROR(IF(Str_TypeDonneesCpt7=Cpt_Index,Tab_Compteur_7[[#This Row],[Index]]-E159,Tab_Compteur_7[[#This Row],[Quantité]])/Tab_Compteur_7[[#This Row],[Delta Jour]],""))</f>
        <v/>
      </c>
      <c r="H160" s="256" t="str">
        <f>IFERROR(Tab_Compteur_7[[#This Row],[Montant]]/Tab_Compteur_7[[#This Row],[Delta Jour]],"")</f>
        <v/>
      </c>
      <c r="I160" s="215" t="str">
        <f t="shared" si="7"/>
        <v/>
      </c>
      <c r="J160" s="216"/>
      <c r="K160" s="38"/>
      <c r="L160" s="38"/>
      <c r="M160" s="38"/>
    </row>
    <row r="161" spans="1:13">
      <c r="A161" s="3">
        <f t="shared" si="8"/>
        <v>1</v>
      </c>
      <c r="B161" s="88"/>
      <c r="C161" s="194"/>
      <c r="D161" s="195"/>
      <c r="E161" s="193"/>
      <c r="F161" s="256">
        <f t="shared" si="6"/>
        <v>0</v>
      </c>
      <c r="G161" s="256" t="str">
        <f>IF(IFERROR(IF(Str_TypeDonneesCpt7=Cpt_Index,Tab_Compteur_7[[#This Row],[Index]]-E160,Tab_Compteur_7[[#This Row],[Quantité]])/Tab_Compteur_7[[#This Row],[Delta Jour]],"")&lt;0,"",IFERROR(IF(Str_TypeDonneesCpt7=Cpt_Index,Tab_Compteur_7[[#This Row],[Index]]-E160,Tab_Compteur_7[[#This Row],[Quantité]])/Tab_Compteur_7[[#This Row],[Delta Jour]],""))</f>
        <v/>
      </c>
      <c r="H161" s="256" t="str">
        <f>IFERROR(Tab_Compteur_7[[#This Row],[Montant]]/Tab_Compteur_7[[#This Row],[Delta Jour]],"")</f>
        <v/>
      </c>
      <c r="I161" s="215" t="str">
        <f t="shared" si="7"/>
        <v/>
      </c>
      <c r="J161" s="216"/>
      <c r="K161" s="38"/>
      <c r="L161" s="38"/>
      <c r="M161" s="38"/>
    </row>
    <row r="162" spans="1:13">
      <c r="A162" s="3">
        <f t="shared" si="8"/>
        <v>1</v>
      </c>
      <c r="B162" s="88"/>
      <c r="C162" s="194"/>
      <c r="D162" s="195"/>
      <c r="E162" s="193"/>
      <c r="F162" s="256">
        <f t="shared" si="6"/>
        <v>0</v>
      </c>
      <c r="G162" s="256" t="str">
        <f>IF(IFERROR(IF(Str_TypeDonneesCpt7=Cpt_Index,Tab_Compteur_7[[#This Row],[Index]]-E161,Tab_Compteur_7[[#This Row],[Quantité]])/Tab_Compteur_7[[#This Row],[Delta Jour]],"")&lt;0,"",IFERROR(IF(Str_TypeDonneesCpt7=Cpt_Index,Tab_Compteur_7[[#This Row],[Index]]-E161,Tab_Compteur_7[[#This Row],[Quantité]])/Tab_Compteur_7[[#This Row],[Delta Jour]],""))</f>
        <v/>
      </c>
      <c r="H162" s="256" t="str">
        <f>IFERROR(Tab_Compteur_7[[#This Row],[Montant]]/Tab_Compteur_7[[#This Row],[Delta Jour]],"")</f>
        <v/>
      </c>
      <c r="I162" s="215" t="str">
        <f t="shared" si="7"/>
        <v/>
      </c>
      <c r="J162" s="216"/>
      <c r="K162" s="38"/>
      <c r="L162" s="38"/>
      <c r="M162" s="38"/>
    </row>
    <row r="163" spans="1:13">
      <c r="A163" s="3">
        <f t="shared" si="8"/>
        <v>1</v>
      </c>
      <c r="B163" s="88"/>
      <c r="C163" s="194"/>
      <c r="D163" s="195"/>
      <c r="E163" s="193"/>
      <c r="F163" s="256">
        <f t="shared" si="6"/>
        <v>0</v>
      </c>
      <c r="G163" s="256" t="str">
        <f>IF(IFERROR(IF(Str_TypeDonneesCpt7=Cpt_Index,Tab_Compteur_7[[#This Row],[Index]]-E162,Tab_Compteur_7[[#This Row],[Quantité]])/Tab_Compteur_7[[#This Row],[Delta Jour]],"")&lt;0,"",IFERROR(IF(Str_TypeDonneesCpt7=Cpt_Index,Tab_Compteur_7[[#This Row],[Index]]-E162,Tab_Compteur_7[[#This Row],[Quantité]])/Tab_Compteur_7[[#This Row],[Delta Jour]],""))</f>
        <v/>
      </c>
      <c r="H163" s="256" t="str">
        <f>IFERROR(Tab_Compteur_7[[#This Row],[Montant]]/Tab_Compteur_7[[#This Row],[Delta Jour]],"")</f>
        <v/>
      </c>
      <c r="I163" s="215" t="str">
        <f t="shared" si="7"/>
        <v/>
      </c>
      <c r="J163" s="216"/>
      <c r="K163" s="38"/>
      <c r="L163" s="38"/>
      <c r="M163" s="38"/>
    </row>
    <row r="164" spans="1:13">
      <c r="A164" s="3">
        <f t="shared" si="8"/>
        <v>1</v>
      </c>
      <c r="B164" s="88"/>
      <c r="C164" s="194"/>
      <c r="D164" s="195"/>
      <c r="E164" s="193"/>
      <c r="F164" s="256">
        <f t="shared" si="6"/>
        <v>0</v>
      </c>
      <c r="G164" s="256" t="str">
        <f>IF(IFERROR(IF(Str_TypeDonneesCpt7=Cpt_Index,Tab_Compteur_7[[#This Row],[Index]]-E163,Tab_Compteur_7[[#This Row],[Quantité]])/Tab_Compteur_7[[#This Row],[Delta Jour]],"")&lt;0,"",IFERROR(IF(Str_TypeDonneesCpt7=Cpt_Index,Tab_Compteur_7[[#This Row],[Index]]-E163,Tab_Compteur_7[[#This Row],[Quantité]])/Tab_Compteur_7[[#This Row],[Delta Jour]],""))</f>
        <v/>
      </c>
      <c r="H164" s="256" t="str">
        <f>IFERROR(Tab_Compteur_7[[#This Row],[Montant]]/Tab_Compteur_7[[#This Row],[Delta Jour]],"")</f>
        <v/>
      </c>
      <c r="I164" s="215" t="str">
        <f t="shared" si="7"/>
        <v/>
      </c>
      <c r="J164" s="216"/>
      <c r="K164" s="38"/>
      <c r="L164" s="38"/>
      <c r="M164" s="38"/>
    </row>
    <row r="165" spans="1:13">
      <c r="A165" s="3">
        <f t="shared" si="8"/>
        <v>1</v>
      </c>
      <c r="B165" s="88"/>
      <c r="C165" s="194"/>
      <c r="D165" s="195"/>
      <c r="E165" s="193"/>
      <c r="F165" s="256">
        <f t="shared" si="6"/>
        <v>0</v>
      </c>
      <c r="G165" s="256" t="str">
        <f>IF(IFERROR(IF(Str_TypeDonneesCpt7=Cpt_Index,Tab_Compteur_7[[#This Row],[Index]]-E164,Tab_Compteur_7[[#This Row],[Quantité]])/Tab_Compteur_7[[#This Row],[Delta Jour]],"")&lt;0,"",IFERROR(IF(Str_TypeDonneesCpt7=Cpt_Index,Tab_Compteur_7[[#This Row],[Index]]-E164,Tab_Compteur_7[[#This Row],[Quantité]])/Tab_Compteur_7[[#This Row],[Delta Jour]],""))</f>
        <v/>
      </c>
      <c r="H165" s="256" t="str">
        <f>IFERROR(Tab_Compteur_7[[#This Row],[Montant]]/Tab_Compteur_7[[#This Row],[Delta Jour]],"")</f>
        <v/>
      </c>
      <c r="I165" s="215" t="str">
        <f t="shared" si="7"/>
        <v/>
      </c>
      <c r="J165" s="216"/>
      <c r="K165" s="38"/>
      <c r="L165" s="38"/>
      <c r="M165" s="38"/>
    </row>
    <row r="166" spans="1:13">
      <c r="A166" s="3">
        <f t="shared" si="8"/>
        <v>1</v>
      </c>
      <c r="B166" s="88"/>
      <c r="C166" s="194"/>
      <c r="D166" s="195"/>
      <c r="E166" s="193"/>
      <c r="F166" s="256">
        <f t="shared" si="6"/>
        <v>0</v>
      </c>
      <c r="G166" s="256" t="str">
        <f>IF(IFERROR(IF(Str_TypeDonneesCpt7=Cpt_Index,Tab_Compteur_7[[#This Row],[Index]]-E165,Tab_Compteur_7[[#This Row],[Quantité]])/Tab_Compteur_7[[#This Row],[Delta Jour]],"")&lt;0,"",IFERROR(IF(Str_TypeDonneesCpt7=Cpt_Index,Tab_Compteur_7[[#This Row],[Index]]-E165,Tab_Compteur_7[[#This Row],[Quantité]])/Tab_Compteur_7[[#This Row],[Delta Jour]],""))</f>
        <v/>
      </c>
      <c r="H166" s="256" t="str">
        <f>IFERROR(Tab_Compteur_7[[#This Row],[Montant]]/Tab_Compteur_7[[#This Row],[Delta Jour]],"")</f>
        <v/>
      </c>
      <c r="I166" s="215" t="str">
        <f t="shared" si="7"/>
        <v/>
      </c>
      <c r="J166" s="216"/>
      <c r="K166" s="38"/>
      <c r="L166" s="38"/>
      <c r="M166" s="38"/>
    </row>
    <row r="167" spans="1:13">
      <c r="A167" s="3">
        <f t="shared" si="8"/>
        <v>1</v>
      </c>
      <c r="B167" s="88"/>
      <c r="C167" s="194"/>
      <c r="D167" s="195"/>
      <c r="E167" s="193"/>
      <c r="F167" s="256">
        <f t="shared" si="6"/>
        <v>0</v>
      </c>
      <c r="G167" s="256" t="str">
        <f>IF(IFERROR(IF(Str_TypeDonneesCpt7=Cpt_Index,Tab_Compteur_7[[#This Row],[Index]]-E166,Tab_Compteur_7[[#This Row],[Quantité]])/Tab_Compteur_7[[#This Row],[Delta Jour]],"")&lt;0,"",IFERROR(IF(Str_TypeDonneesCpt7=Cpt_Index,Tab_Compteur_7[[#This Row],[Index]]-E166,Tab_Compteur_7[[#This Row],[Quantité]])/Tab_Compteur_7[[#This Row],[Delta Jour]],""))</f>
        <v/>
      </c>
      <c r="H167" s="256" t="str">
        <f>IFERROR(Tab_Compteur_7[[#This Row],[Montant]]/Tab_Compteur_7[[#This Row],[Delta Jour]],"")</f>
        <v/>
      </c>
      <c r="I167" s="215" t="str">
        <f t="shared" si="7"/>
        <v/>
      </c>
      <c r="J167" s="216"/>
      <c r="K167" s="38"/>
      <c r="L167" s="38"/>
      <c r="M167" s="38"/>
    </row>
    <row r="168" spans="1:13">
      <c r="A168" s="3">
        <f t="shared" si="8"/>
        <v>1</v>
      </c>
      <c r="B168" s="88"/>
      <c r="C168" s="194"/>
      <c r="D168" s="195"/>
      <c r="E168" s="193"/>
      <c r="F168" s="256">
        <f t="shared" si="6"/>
        <v>0</v>
      </c>
      <c r="G168" s="256" t="str">
        <f>IF(IFERROR(IF(Str_TypeDonneesCpt7=Cpt_Index,Tab_Compteur_7[[#This Row],[Index]]-E167,Tab_Compteur_7[[#This Row],[Quantité]])/Tab_Compteur_7[[#This Row],[Delta Jour]],"")&lt;0,"",IFERROR(IF(Str_TypeDonneesCpt7=Cpt_Index,Tab_Compteur_7[[#This Row],[Index]]-E167,Tab_Compteur_7[[#This Row],[Quantité]])/Tab_Compteur_7[[#This Row],[Delta Jour]],""))</f>
        <v/>
      </c>
      <c r="H168" s="256" t="str">
        <f>IFERROR(Tab_Compteur_7[[#This Row],[Montant]]/Tab_Compteur_7[[#This Row],[Delta Jour]],"")</f>
        <v/>
      </c>
      <c r="I168" s="215" t="str">
        <f t="shared" si="7"/>
        <v/>
      </c>
      <c r="J168" s="216"/>
      <c r="K168" s="38"/>
      <c r="L168" s="38"/>
      <c r="M168" s="38"/>
    </row>
    <row r="169" spans="1:13">
      <c r="A169" s="3">
        <f t="shared" si="8"/>
        <v>1</v>
      </c>
      <c r="B169" s="88"/>
      <c r="C169" s="194"/>
      <c r="D169" s="195"/>
      <c r="E169" s="193"/>
      <c r="F169" s="256">
        <f t="shared" si="6"/>
        <v>0</v>
      </c>
      <c r="G169" s="256" t="str">
        <f>IF(IFERROR(IF(Str_TypeDonneesCpt7=Cpt_Index,Tab_Compteur_7[[#This Row],[Index]]-E168,Tab_Compteur_7[[#This Row],[Quantité]])/Tab_Compteur_7[[#This Row],[Delta Jour]],"")&lt;0,"",IFERROR(IF(Str_TypeDonneesCpt7=Cpt_Index,Tab_Compteur_7[[#This Row],[Index]]-E168,Tab_Compteur_7[[#This Row],[Quantité]])/Tab_Compteur_7[[#This Row],[Delta Jour]],""))</f>
        <v/>
      </c>
      <c r="H169" s="256" t="str">
        <f>IFERROR(Tab_Compteur_7[[#This Row],[Montant]]/Tab_Compteur_7[[#This Row],[Delta Jour]],"")</f>
        <v/>
      </c>
      <c r="I169" s="215" t="str">
        <f t="shared" si="7"/>
        <v/>
      </c>
      <c r="J169" s="216"/>
      <c r="K169" s="38"/>
      <c r="L169" s="38"/>
      <c r="M169" s="38"/>
    </row>
    <row r="170" spans="1:13">
      <c r="A170" s="3">
        <f t="shared" si="8"/>
        <v>1</v>
      </c>
      <c r="B170" s="88"/>
      <c r="C170" s="194"/>
      <c r="D170" s="195"/>
      <c r="E170" s="193"/>
      <c r="F170" s="256">
        <f t="shared" si="6"/>
        <v>0</v>
      </c>
      <c r="G170" s="256" t="str">
        <f>IF(IFERROR(IF(Str_TypeDonneesCpt7=Cpt_Index,Tab_Compteur_7[[#This Row],[Index]]-E169,Tab_Compteur_7[[#This Row],[Quantité]])/Tab_Compteur_7[[#This Row],[Delta Jour]],"")&lt;0,"",IFERROR(IF(Str_TypeDonneesCpt7=Cpt_Index,Tab_Compteur_7[[#This Row],[Index]]-E169,Tab_Compteur_7[[#This Row],[Quantité]])/Tab_Compteur_7[[#This Row],[Delta Jour]],""))</f>
        <v/>
      </c>
      <c r="H170" s="256" t="str">
        <f>IFERROR(Tab_Compteur_7[[#This Row],[Montant]]/Tab_Compteur_7[[#This Row],[Delta Jour]],"")</f>
        <v/>
      </c>
      <c r="I170" s="215" t="str">
        <f t="shared" si="7"/>
        <v/>
      </c>
      <c r="J170" s="216"/>
      <c r="K170" s="38"/>
      <c r="L170" s="38"/>
      <c r="M170" s="38"/>
    </row>
    <row r="171" spans="1:13">
      <c r="A171" s="3">
        <f t="shared" si="8"/>
        <v>1</v>
      </c>
      <c r="B171" s="88"/>
      <c r="C171" s="194"/>
      <c r="D171" s="195"/>
      <c r="E171" s="193"/>
      <c r="F171" s="256">
        <f t="shared" si="6"/>
        <v>0</v>
      </c>
      <c r="G171" s="256" t="str">
        <f>IF(IFERROR(IF(Str_TypeDonneesCpt7=Cpt_Index,Tab_Compteur_7[[#This Row],[Index]]-E170,Tab_Compteur_7[[#This Row],[Quantité]])/Tab_Compteur_7[[#This Row],[Delta Jour]],"")&lt;0,"",IFERROR(IF(Str_TypeDonneesCpt7=Cpt_Index,Tab_Compteur_7[[#This Row],[Index]]-E170,Tab_Compteur_7[[#This Row],[Quantité]])/Tab_Compteur_7[[#This Row],[Delta Jour]],""))</f>
        <v/>
      </c>
      <c r="H171" s="256" t="str">
        <f>IFERROR(Tab_Compteur_7[[#This Row],[Montant]]/Tab_Compteur_7[[#This Row],[Delta Jour]],"")</f>
        <v/>
      </c>
      <c r="I171" s="215" t="str">
        <f t="shared" si="7"/>
        <v/>
      </c>
      <c r="J171" s="216"/>
      <c r="K171" s="38"/>
      <c r="L171" s="38"/>
      <c r="M171" s="38"/>
    </row>
    <row r="172" spans="1:13">
      <c r="A172" s="3">
        <f t="shared" si="8"/>
        <v>1</v>
      </c>
      <c r="B172" s="88"/>
      <c r="C172" s="194"/>
      <c r="D172" s="195"/>
      <c r="E172" s="193"/>
      <c r="F172" s="256">
        <f t="shared" si="6"/>
        <v>0</v>
      </c>
      <c r="G172" s="256" t="str">
        <f>IF(IFERROR(IF(Str_TypeDonneesCpt7=Cpt_Index,Tab_Compteur_7[[#This Row],[Index]]-E171,Tab_Compteur_7[[#This Row],[Quantité]])/Tab_Compteur_7[[#This Row],[Delta Jour]],"")&lt;0,"",IFERROR(IF(Str_TypeDonneesCpt7=Cpt_Index,Tab_Compteur_7[[#This Row],[Index]]-E171,Tab_Compteur_7[[#This Row],[Quantité]])/Tab_Compteur_7[[#This Row],[Delta Jour]],""))</f>
        <v/>
      </c>
      <c r="H172" s="256" t="str">
        <f>IFERROR(Tab_Compteur_7[[#This Row],[Montant]]/Tab_Compteur_7[[#This Row],[Delta Jour]],"")</f>
        <v/>
      </c>
      <c r="I172" s="215" t="str">
        <f t="shared" si="7"/>
        <v/>
      </c>
      <c r="J172" s="216"/>
      <c r="K172" s="38"/>
      <c r="L172" s="38"/>
      <c r="M172" s="38"/>
    </row>
    <row r="173" spans="1:13">
      <c r="A173" s="3">
        <f t="shared" si="8"/>
        <v>1</v>
      </c>
      <c r="B173" s="88"/>
      <c r="C173" s="194"/>
      <c r="D173" s="195"/>
      <c r="E173" s="193"/>
      <c r="F173" s="256">
        <f t="shared" si="6"/>
        <v>0</v>
      </c>
      <c r="G173" s="256" t="str">
        <f>IF(IFERROR(IF(Str_TypeDonneesCpt7=Cpt_Index,Tab_Compteur_7[[#This Row],[Index]]-E172,Tab_Compteur_7[[#This Row],[Quantité]])/Tab_Compteur_7[[#This Row],[Delta Jour]],"")&lt;0,"",IFERROR(IF(Str_TypeDonneesCpt7=Cpt_Index,Tab_Compteur_7[[#This Row],[Index]]-E172,Tab_Compteur_7[[#This Row],[Quantité]])/Tab_Compteur_7[[#This Row],[Delta Jour]],""))</f>
        <v/>
      </c>
      <c r="H173" s="256" t="str">
        <f>IFERROR(Tab_Compteur_7[[#This Row],[Montant]]/Tab_Compteur_7[[#This Row],[Delta Jour]],"")</f>
        <v/>
      </c>
      <c r="I173" s="215" t="str">
        <f t="shared" si="7"/>
        <v/>
      </c>
      <c r="J173" s="216"/>
      <c r="K173" s="38"/>
      <c r="L173" s="38"/>
      <c r="M173" s="38"/>
    </row>
    <row r="174" spans="1:13">
      <c r="A174" s="3">
        <f t="shared" si="8"/>
        <v>1</v>
      </c>
      <c r="B174" s="88"/>
      <c r="C174" s="194"/>
      <c r="D174" s="195"/>
      <c r="E174" s="193"/>
      <c r="F174" s="256">
        <f t="shared" si="6"/>
        <v>0</v>
      </c>
      <c r="G174" s="256" t="str">
        <f>IF(IFERROR(IF(Str_TypeDonneesCpt7=Cpt_Index,Tab_Compteur_7[[#This Row],[Index]]-E173,Tab_Compteur_7[[#This Row],[Quantité]])/Tab_Compteur_7[[#This Row],[Delta Jour]],"")&lt;0,"",IFERROR(IF(Str_TypeDonneesCpt7=Cpt_Index,Tab_Compteur_7[[#This Row],[Index]]-E173,Tab_Compteur_7[[#This Row],[Quantité]])/Tab_Compteur_7[[#This Row],[Delta Jour]],""))</f>
        <v/>
      </c>
      <c r="H174" s="256" t="str">
        <f>IFERROR(Tab_Compteur_7[[#This Row],[Montant]]/Tab_Compteur_7[[#This Row],[Delta Jour]],"")</f>
        <v/>
      </c>
      <c r="I174" s="215" t="str">
        <f t="shared" si="7"/>
        <v/>
      </c>
      <c r="J174" s="216"/>
      <c r="K174" s="38"/>
      <c r="L174" s="38"/>
      <c r="M174" s="38"/>
    </row>
    <row r="175" spans="1:13">
      <c r="A175" s="3">
        <f t="shared" si="8"/>
        <v>1</v>
      </c>
      <c r="B175" s="88"/>
      <c r="C175" s="194"/>
      <c r="D175" s="195"/>
      <c r="E175" s="193"/>
      <c r="F175" s="256">
        <f t="shared" si="6"/>
        <v>0</v>
      </c>
      <c r="G175" s="256" t="str">
        <f>IF(IFERROR(IF(Str_TypeDonneesCpt7=Cpt_Index,Tab_Compteur_7[[#This Row],[Index]]-E174,Tab_Compteur_7[[#This Row],[Quantité]])/Tab_Compteur_7[[#This Row],[Delta Jour]],"")&lt;0,"",IFERROR(IF(Str_TypeDonneesCpt7=Cpt_Index,Tab_Compteur_7[[#This Row],[Index]]-E174,Tab_Compteur_7[[#This Row],[Quantité]])/Tab_Compteur_7[[#This Row],[Delta Jour]],""))</f>
        <v/>
      </c>
      <c r="H175" s="256" t="str">
        <f>IFERROR(Tab_Compteur_7[[#This Row],[Montant]]/Tab_Compteur_7[[#This Row],[Delta Jour]],"")</f>
        <v/>
      </c>
      <c r="I175" s="215" t="str">
        <f t="shared" si="7"/>
        <v/>
      </c>
      <c r="J175" s="216"/>
      <c r="K175" s="38"/>
      <c r="L175" s="38"/>
      <c r="M175" s="38"/>
    </row>
    <row r="176" spans="1:13">
      <c r="A176" s="3">
        <f t="shared" si="8"/>
        <v>1</v>
      </c>
      <c r="B176" s="88"/>
      <c r="C176" s="194"/>
      <c r="D176" s="195"/>
      <c r="E176" s="193"/>
      <c r="F176" s="256">
        <f t="shared" si="6"/>
        <v>0</v>
      </c>
      <c r="G176" s="256" t="str">
        <f>IF(IFERROR(IF(Str_TypeDonneesCpt7=Cpt_Index,Tab_Compteur_7[[#This Row],[Index]]-E175,Tab_Compteur_7[[#This Row],[Quantité]])/Tab_Compteur_7[[#This Row],[Delta Jour]],"")&lt;0,"",IFERROR(IF(Str_TypeDonneesCpt7=Cpt_Index,Tab_Compteur_7[[#This Row],[Index]]-E175,Tab_Compteur_7[[#This Row],[Quantité]])/Tab_Compteur_7[[#This Row],[Delta Jour]],""))</f>
        <v/>
      </c>
      <c r="H176" s="256" t="str">
        <f>IFERROR(Tab_Compteur_7[[#This Row],[Montant]]/Tab_Compteur_7[[#This Row],[Delta Jour]],"")</f>
        <v/>
      </c>
      <c r="I176" s="215" t="str">
        <f t="shared" si="7"/>
        <v/>
      </c>
      <c r="J176" s="216"/>
      <c r="K176" s="38"/>
      <c r="L176" s="38"/>
      <c r="M176" s="38"/>
    </row>
    <row r="177" spans="1:13">
      <c r="A177" s="3">
        <f t="shared" si="8"/>
        <v>1</v>
      </c>
      <c r="B177" s="88"/>
      <c r="C177" s="194"/>
      <c r="D177" s="195"/>
      <c r="E177" s="193"/>
      <c r="F177" s="256">
        <f t="shared" si="6"/>
        <v>0</v>
      </c>
      <c r="G177" s="256" t="str">
        <f>IF(IFERROR(IF(Str_TypeDonneesCpt7=Cpt_Index,Tab_Compteur_7[[#This Row],[Index]]-E176,Tab_Compteur_7[[#This Row],[Quantité]])/Tab_Compteur_7[[#This Row],[Delta Jour]],"")&lt;0,"",IFERROR(IF(Str_TypeDonneesCpt7=Cpt_Index,Tab_Compteur_7[[#This Row],[Index]]-E176,Tab_Compteur_7[[#This Row],[Quantité]])/Tab_Compteur_7[[#This Row],[Delta Jour]],""))</f>
        <v/>
      </c>
      <c r="H177" s="256" t="str">
        <f>IFERROR(Tab_Compteur_7[[#This Row],[Montant]]/Tab_Compteur_7[[#This Row],[Delta Jour]],"")</f>
        <v/>
      </c>
      <c r="I177" s="215" t="str">
        <f t="shared" si="7"/>
        <v/>
      </c>
      <c r="J177" s="216"/>
      <c r="K177" s="38"/>
      <c r="L177" s="38"/>
      <c r="M177" s="38"/>
    </row>
    <row r="178" spans="1:13">
      <c r="A178" s="3">
        <f t="shared" si="8"/>
        <v>1</v>
      </c>
      <c r="B178" s="88"/>
      <c r="C178" s="194"/>
      <c r="D178" s="195"/>
      <c r="E178" s="193"/>
      <c r="F178" s="256">
        <f t="shared" si="6"/>
        <v>0</v>
      </c>
      <c r="G178" s="256" t="str">
        <f>IF(IFERROR(IF(Str_TypeDonneesCpt7=Cpt_Index,Tab_Compteur_7[[#This Row],[Index]]-E177,Tab_Compteur_7[[#This Row],[Quantité]])/Tab_Compteur_7[[#This Row],[Delta Jour]],"")&lt;0,"",IFERROR(IF(Str_TypeDonneesCpt7=Cpt_Index,Tab_Compteur_7[[#This Row],[Index]]-E177,Tab_Compteur_7[[#This Row],[Quantité]])/Tab_Compteur_7[[#This Row],[Delta Jour]],""))</f>
        <v/>
      </c>
      <c r="H178" s="256" t="str">
        <f>IFERROR(Tab_Compteur_7[[#This Row],[Montant]]/Tab_Compteur_7[[#This Row],[Delta Jour]],"")</f>
        <v/>
      </c>
      <c r="I178" s="215" t="str">
        <f t="shared" si="7"/>
        <v/>
      </c>
      <c r="J178" s="216"/>
      <c r="K178" s="38"/>
      <c r="L178" s="38"/>
      <c r="M178" s="38"/>
    </row>
    <row r="179" spans="1:13">
      <c r="A179" s="3">
        <f t="shared" si="8"/>
        <v>1</v>
      </c>
      <c r="B179" s="88"/>
      <c r="C179" s="194"/>
      <c r="D179" s="195"/>
      <c r="E179" s="193"/>
      <c r="F179" s="256">
        <f t="shared" si="6"/>
        <v>0</v>
      </c>
      <c r="G179" s="256" t="str">
        <f>IF(IFERROR(IF(Str_TypeDonneesCpt7=Cpt_Index,Tab_Compteur_7[[#This Row],[Index]]-E178,Tab_Compteur_7[[#This Row],[Quantité]])/Tab_Compteur_7[[#This Row],[Delta Jour]],"")&lt;0,"",IFERROR(IF(Str_TypeDonneesCpt7=Cpt_Index,Tab_Compteur_7[[#This Row],[Index]]-E178,Tab_Compteur_7[[#This Row],[Quantité]])/Tab_Compteur_7[[#This Row],[Delta Jour]],""))</f>
        <v/>
      </c>
      <c r="H179" s="256" t="str">
        <f>IFERROR(Tab_Compteur_7[[#This Row],[Montant]]/Tab_Compteur_7[[#This Row],[Delta Jour]],"")</f>
        <v/>
      </c>
      <c r="I179" s="215" t="str">
        <f t="shared" si="7"/>
        <v/>
      </c>
      <c r="J179" s="216"/>
      <c r="K179" s="38"/>
      <c r="L179" s="38"/>
      <c r="M179" s="38"/>
    </row>
    <row r="180" spans="1:13">
      <c r="A180" s="3">
        <f t="shared" si="8"/>
        <v>1</v>
      </c>
      <c r="B180" s="88"/>
      <c r="C180" s="194"/>
      <c r="D180" s="195"/>
      <c r="E180" s="193"/>
      <c r="F180" s="256">
        <f t="shared" si="6"/>
        <v>0</v>
      </c>
      <c r="G180" s="256" t="str">
        <f>IF(IFERROR(IF(Str_TypeDonneesCpt7=Cpt_Index,Tab_Compteur_7[[#This Row],[Index]]-E179,Tab_Compteur_7[[#This Row],[Quantité]])/Tab_Compteur_7[[#This Row],[Delta Jour]],"")&lt;0,"",IFERROR(IF(Str_TypeDonneesCpt7=Cpt_Index,Tab_Compteur_7[[#This Row],[Index]]-E179,Tab_Compteur_7[[#This Row],[Quantité]])/Tab_Compteur_7[[#This Row],[Delta Jour]],""))</f>
        <v/>
      </c>
      <c r="H180" s="256" t="str">
        <f>IFERROR(Tab_Compteur_7[[#This Row],[Montant]]/Tab_Compteur_7[[#This Row],[Delta Jour]],"")</f>
        <v/>
      </c>
      <c r="I180" s="215" t="str">
        <f t="shared" si="7"/>
        <v/>
      </c>
      <c r="J180" s="216"/>
      <c r="K180" s="38"/>
      <c r="L180" s="38"/>
      <c r="M180" s="38"/>
    </row>
    <row r="181" spans="1:13">
      <c r="A181" s="3">
        <f t="shared" si="8"/>
        <v>1</v>
      </c>
      <c r="B181" s="88"/>
      <c r="C181" s="194"/>
      <c r="D181" s="195"/>
      <c r="E181" s="193"/>
      <c r="F181" s="256">
        <f t="shared" si="6"/>
        <v>0</v>
      </c>
      <c r="G181" s="256" t="str">
        <f>IF(IFERROR(IF(Str_TypeDonneesCpt7=Cpt_Index,Tab_Compteur_7[[#This Row],[Index]]-E180,Tab_Compteur_7[[#This Row],[Quantité]])/Tab_Compteur_7[[#This Row],[Delta Jour]],"")&lt;0,"",IFERROR(IF(Str_TypeDonneesCpt7=Cpt_Index,Tab_Compteur_7[[#This Row],[Index]]-E180,Tab_Compteur_7[[#This Row],[Quantité]])/Tab_Compteur_7[[#This Row],[Delta Jour]],""))</f>
        <v/>
      </c>
      <c r="H181" s="256" t="str">
        <f>IFERROR(Tab_Compteur_7[[#This Row],[Montant]]/Tab_Compteur_7[[#This Row],[Delta Jour]],"")</f>
        <v/>
      </c>
      <c r="I181" s="215" t="str">
        <f t="shared" si="7"/>
        <v/>
      </c>
      <c r="J181" s="216"/>
      <c r="K181" s="38"/>
      <c r="L181" s="38"/>
      <c r="M181" s="38"/>
    </row>
    <row r="182" spans="1:13">
      <c r="A182" s="3">
        <f t="shared" si="8"/>
        <v>1</v>
      </c>
      <c r="B182" s="88"/>
      <c r="C182" s="194"/>
      <c r="D182" s="195"/>
      <c r="E182" s="193"/>
      <c r="F182" s="256">
        <f t="shared" si="6"/>
        <v>0</v>
      </c>
      <c r="G182" s="256" t="str">
        <f>IF(IFERROR(IF(Str_TypeDonneesCpt7=Cpt_Index,Tab_Compteur_7[[#This Row],[Index]]-E181,Tab_Compteur_7[[#This Row],[Quantité]])/Tab_Compteur_7[[#This Row],[Delta Jour]],"")&lt;0,"",IFERROR(IF(Str_TypeDonneesCpt7=Cpt_Index,Tab_Compteur_7[[#This Row],[Index]]-E181,Tab_Compteur_7[[#This Row],[Quantité]])/Tab_Compteur_7[[#This Row],[Delta Jour]],""))</f>
        <v/>
      </c>
      <c r="H182" s="256" t="str">
        <f>IFERROR(Tab_Compteur_7[[#This Row],[Montant]]/Tab_Compteur_7[[#This Row],[Delta Jour]],"")</f>
        <v/>
      </c>
      <c r="I182" s="215" t="str">
        <f t="shared" si="7"/>
        <v/>
      </c>
      <c r="J182" s="216"/>
      <c r="K182" s="38"/>
      <c r="L182" s="38"/>
      <c r="M182" s="38"/>
    </row>
    <row r="183" spans="1:13">
      <c r="A183" s="3">
        <f t="shared" si="8"/>
        <v>1</v>
      </c>
      <c r="B183" s="88"/>
      <c r="C183" s="194"/>
      <c r="D183" s="195"/>
      <c r="E183" s="193"/>
      <c r="F183" s="256">
        <f t="shared" si="6"/>
        <v>0</v>
      </c>
      <c r="G183" s="256" t="str">
        <f>IF(IFERROR(IF(Str_TypeDonneesCpt7=Cpt_Index,Tab_Compteur_7[[#This Row],[Index]]-E182,Tab_Compteur_7[[#This Row],[Quantité]])/Tab_Compteur_7[[#This Row],[Delta Jour]],"")&lt;0,"",IFERROR(IF(Str_TypeDonneesCpt7=Cpt_Index,Tab_Compteur_7[[#This Row],[Index]]-E182,Tab_Compteur_7[[#This Row],[Quantité]])/Tab_Compteur_7[[#This Row],[Delta Jour]],""))</f>
        <v/>
      </c>
      <c r="H183" s="256" t="str">
        <f>IFERROR(Tab_Compteur_7[[#This Row],[Montant]]/Tab_Compteur_7[[#This Row],[Delta Jour]],"")</f>
        <v/>
      </c>
      <c r="I183" s="215" t="str">
        <f t="shared" si="7"/>
        <v/>
      </c>
      <c r="J183" s="216"/>
      <c r="K183" s="38"/>
      <c r="L183" s="38"/>
      <c r="M183" s="38"/>
    </row>
    <row r="184" spans="1:13">
      <c r="A184" s="3">
        <f t="shared" si="8"/>
        <v>1</v>
      </c>
      <c r="B184" s="88"/>
      <c r="C184" s="194"/>
      <c r="D184" s="195"/>
      <c r="E184" s="193"/>
      <c r="F184" s="256">
        <f t="shared" si="6"/>
        <v>0</v>
      </c>
      <c r="G184" s="256" t="str">
        <f>IF(IFERROR(IF(Str_TypeDonneesCpt7=Cpt_Index,Tab_Compteur_7[[#This Row],[Index]]-E183,Tab_Compteur_7[[#This Row],[Quantité]])/Tab_Compteur_7[[#This Row],[Delta Jour]],"")&lt;0,"",IFERROR(IF(Str_TypeDonneesCpt7=Cpt_Index,Tab_Compteur_7[[#This Row],[Index]]-E183,Tab_Compteur_7[[#This Row],[Quantité]])/Tab_Compteur_7[[#This Row],[Delta Jour]],""))</f>
        <v/>
      </c>
      <c r="H184" s="256" t="str">
        <f>IFERROR(Tab_Compteur_7[[#This Row],[Montant]]/Tab_Compteur_7[[#This Row],[Delta Jour]],"")</f>
        <v/>
      </c>
      <c r="I184" s="215" t="str">
        <f t="shared" si="7"/>
        <v/>
      </c>
      <c r="J184" s="216"/>
      <c r="K184" s="38"/>
      <c r="L184" s="38"/>
      <c r="M184" s="38"/>
    </row>
    <row r="185" spans="1:13">
      <c r="A185" s="3">
        <f t="shared" si="8"/>
        <v>1</v>
      </c>
      <c r="B185" s="88"/>
      <c r="C185" s="194"/>
      <c r="D185" s="195"/>
      <c r="E185" s="193"/>
      <c r="F185" s="256">
        <f t="shared" si="6"/>
        <v>0</v>
      </c>
      <c r="G185" s="256" t="str">
        <f>IF(IFERROR(IF(Str_TypeDonneesCpt7=Cpt_Index,Tab_Compteur_7[[#This Row],[Index]]-E184,Tab_Compteur_7[[#This Row],[Quantité]])/Tab_Compteur_7[[#This Row],[Delta Jour]],"")&lt;0,"",IFERROR(IF(Str_TypeDonneesCpt7=Cpt_Index,Tab_Compteur_7[[#This Row],[Index]]-E184,Tab_Compteur_7[[#This Row],[Quantité]])/Tab_Compteur_7[[#This Row],[Delta Jour]],""))</f>
        <v/>
      </c>
      <c r="H185" s="256" t="str">
        <f>IFERROR(Tab_Compteur_7[[#This Row],[Montant]]/Tab_Compteur_7[[#This Row],[Delta Jour]],"")</f>
        <v/>
      </c>
      <c r="I185" s="215" t="str">
        <f t="shared" si="7"/>
        <v/>
      </c>
      <c r="J185" s="216"/>
      <c r="K185" s="38"/>
      <c r="L185" s="38"/>
      <c r="M185" s="38"/>
    </row>
    <row r="186" spans="1:13">
      <c r="A186" s="3">
        <f t="shared" si="8"/>
        <v>1</v>
      </c>
      <c r="B186" s="88"/>
      <c r="C186" s="194"/>
      <c r="D186" s="195"/>
      <c r="E186" s="193"/>
      <c r="F186" s="256">
        <f t="shared" si="6"/>
        <v>0</v>
      </c>
      <c r="G186" s="256" t="str">
        <f>IF(IFERROR(IF(Str_TypeDonneesCpt7=Cpt_Index,Tab_Compteur_7[[#This Row],[Index]]-E185,Tab_Compteur_7[[#This Row],[Quantité]])/Tab_Compteur_7[[#This Row],[Delta Jour]],"")&lt;0,"",IFERROR(IF(Str_TypeDonneesCpt7=Cpt_Index,Tab_Compteur_7[[#This Row],[Index]]-E185,Tab_Compteur_7[[#This Row],[Quantité]])/Tab_Compteur_7[[#This Row],[Delta Jour]],""))</f>
        <v/>
      </c>
      <c r="H186" s="256" t="str">
        <f>IFERROR(Tab_Compteur_7[[#This Row],[Montant]]/Tab_Compteur_7[[#This Row],[Delta Jour]],"")</f>
        <v/>
      </c>
      <c r="I186" s="215" t="str">
        <f t="shared" si="7"/>
        <v/>
      </c>
      <c r="J186" s="216"/>
      <c r="K186" s="38"/>
      <c r="L186" s="38"/>
      <c r="M186" s="38"/>
    </row>
    <row r="187" spans="1:13">
      <c r="A187" s="3">
        <f t="shared" si="8"/>
        <v>1</v>
      </c>
      <c r="B187" s="88"/>
      <c r="C187" s="194"/>
      <c r="D187" s="195"/>
      <c r="E187" s="193"/>
      <c r="F187" s="256">
        <f t="shared" si="6"/>
        <v>0</v>
      </c>
      <c r="G187" s="256" t="str">
        <f>IF(IFERROR(IF(Str_TypeDonneesCpt7=Cpt_Index,Tab_Compteur_7[[#This Row],[Index]]-E186,Tab_Compteur_7[[#This Row],[Quantité]])/Tab_Compteur_7[[#This Row],[Delta Jour]],"")&lt;0,"",IFERROR(IF(Str_TypeDonneesCpt7=Cpt_Index,Tab_Compteur_7[[#This Row],[Index]]-E186,Tab_Compteur_7[[#This Row],[Quantité]])/Tab_Compteur_7[[#This Row],[Delta Jour]],""))</f>
        <v/>
      </c>
      <c r="H187" s="256" t="str">
        <f>IFERROR(Tab_Compteur_7[[#This Row],[Montant]]/Tab_Compteur_7[[#This Row],[Delta Jour]],"")</f>
        <v/>
      </c>
      <c r="I187" s="215" t="str">
        <f t="shared" si="7"/>
        <v/>
      </c>
      <c r="J187" s="216"/>
      <c r="K187" s="38"/>
      <c r="L187" s="38"/>
      <c r="M187" s="38"/>
    </row>
    <row r="188" spans="1:13">
      <c r="A188" s="3">
        <f t="shared" si="8"/>
        <v>1</v>
      </c>
      <c r="B188" s="88"/>
      <c r="C188" s="194"/>
      <c r="D188" s="195"/>
      <c r="E188" s="193"/>
      <c r="F188" s="256">
        <f t="shared" si="6"/>
        <v>0</v>
      </c>
      <c r="G188" s="256" t="str">
        <f>IF(IFERROR(IF(Str_TypeDonneesCpt7=Cpt_Index,Tab_Compteur_7[[#This Row],[Index]]-E187,Tab_Compteur_7[[#This Row],[Quantité]])/Tab_Compteur_7[[#This Row],[Delta Jour]],"")&lt;0,"",IFERROR(IF(Str_TypeDonneesCpt7=Cpt_Index,Tab_Compteur_7[[#This Row],[Index]]-E187,Tab_Compteur_7[[#This Row],[Quantité]])/Tab_Compteur_7[[#This Row],[Delta Jour]],""))</f>
        <v/>
      </c>
      <c r="H188" s="256" t="str">
        <f>IFERROR(Tab_Compteur_7[[#This Row],[Montant]]/Tab_Compteur_7[[#This Row],[Delta Jour]],"")</f>
        <v/>
      </c>
      <c r="I188" s="215" t="str">
        <f t="shared" si="7"/>
        <v/>
      </c>
      <c r="J188" s="216"/>
      <c r="K188" s="38"/>
      <c r="L188" s="38"/>
      <c r="M188" s="38"/>
    </row>
    <row r="189" spans="1:13">
      <c r="A189" s="3">
        <f t="shared" si="8"/>
        <v>1</v>
      </c>
      <c r="B189" s="88"/>
      <c r="C189" s="194"/>
      <c r="D189" s="195"/>
      <c r="E189" s="193"/>
      <c r="F189" s="256">
        <f t="shared" si="6"/>
        <v>0</v>
      </c>
      <c r="G189" s="256" t="str">
        <f>IF(IFERROR(IF(Str_TypeDonneesCpt7=Cpt_Index,Tab_Compteur_7[[#This Row],[Index]]-E188,Tab_Compteur_7[[#This Row],[Quantité]])/Tab_Compteur_7[[#This Row],[Delta Jour]],"")&lt;0,"",IFERROR(IF(Str_TypeDonneesCpt7=Cpt_Index,Tab_Compteur_7[[#This Row],[Index]]-E188,Tab_Compteur_7[[#This Row],[Quantité]])/Tab_Compteur_7[[#This Row],[Delta Jour]],""))</f>
        <v/>
      </c>
      <c r="H189" s="256" t="str">
        <f>IFERROR(Tab_Compteur_7[[#This Row],[Montant]]/Tab_Compteur_7[[#This Row],[Delta Jour]],"")</f>
        <v/>
      </c>
      <c r="I189" s="215" t="str">
        <f t="shared" si="7"/>
        <v/>
      </c>
      <c r="J189" s="216"/>
      <c r="K189" s="38"/>
      <c r="L189" s="38"/>
      <c r="M189" s="38"/>
    </row>
    <row r="190" spans="1:13">
      <c r="A190" s="3">
        <f t="shared" si="8"/>
        <v>1</v>
      </c>
      <c r="B190" s="88"/>
      <c r="C190" s="194"/>
      <c r="D190" s="195"/>
      <c r="E190" s="193"/>
      <c r="F190" s="256">
        <f t="shared" si="6"/>
        <v>0</v>
      </c>
      <c r="G190" s="256" t="str">
        <f>IF(IFERROR(IF(Str_TypeDonneesCpt7=Cpt_Index,Tab_Compteur_7[[#This Row],[Index]]-E189,Tab_Compteur_7[[#This Row],[Quantité]])/Tab_Compteur_7[[#This Row],[Delta Jour]],"")&lt;0,"",IFERROR(IF(Str_TypeDonneesCpt7=Cpt_Index,Tab_Compteur_7[[#This Row],[Index]]-E189,Tab_Compteur_7[[#This Row],[Quantité]])/Tab_Compteur_7[[#This Row],[Delta Jour]],""))</f>
        <v/>
      </c>
      <c r="H190" s="256" t="str">
        <f>IFERROR(Tab_Compteur_7[[#This Row],[Montant]]/Tab_Compteur_7[[#This Row],[Delta Jour]],"")</f>
        <v/>
      </c>
      <c r="I190" s="215" t="str">
        <f t="shared" si="7"/>
        <v/>
      </c>
      <c r="J190" s="216"/>
      <c r="K190" s="38"/>
      <c r="L190" s="38"/>
      <c r="M190" s="38"/>
    </row>
    <row r="191" spans="1:13">
      <c r="A191" s="3">
        <f t="shared" si="8"/>
        <v>1</v>
      </c>
      <c r="B191" s="88"/>
      <c r="C191" s="194"/>
      <c r="D191" s="195"/>
      <c r="E191" s="193"/>
      <c r="F191" s="256">
        <f t="shared" si="6"/>
        <v>0</v>
      </c>
      <c r="G191" s="256" t="str">
        <f>IF(IFERROR(IF(Str_TypeDonneesCpt7=Cpt_Index,Tab_Compteur_7[[#This Row],[Index]]-E190,Tab_Compteur_7[[#This Row],[Quantité]])/Tab_Compteur_7[[#This Row],[Delta Jour]],"")&lt;0,"",IFERROR(IF(Str_TypeDonneesCpt7=Cpt_Index,Tab_Compteur_7[[#This Row],[Index]]-E190,Tab_Compteur_7[[#This Row],[Quantité]])/Tab_Compteur_7[[#This Row],[Delta Jour]],""))</f>
        <v/>
      </c>
      <c r="H191" s="256" t="str">
        <f>IFERROR(Tab_Compteur_7[[#This Row],[Montant]]/Tab_Compteur_7[[#This Row],[Delta Jour]],"")</f>
        <v/>
      </c>
      <c r="I191" s="215" t="str">
        <f t="shared" si="7"/>
        <v/>
      </c>
      <c r="J191" s="216"/>
      <c r="K191" s="38"/>
      <c r="L191" s="38"/>
      <c r="M191" s="38"/>
    </row>
    <row r="192" spans="1:13">
      <c r="A192" s="3">
        <f t="shared" si="8"/>
        <v>1</v>
      </c>
      <c r="B192" s="88"/>
      <c r="C192" s="194"/>
      <c r="D192" s="195"/>
      <c r="E192" s="193"/>
      <c r="F192" s="256">
        <f t="shared" si="6"/>
        <v>0</v>
      </c>
      <c r="G192" s="256" t="str">
        <f>IF(IFERROR(IF(Str_TypeDonneesCpt7=Cpt_Index,Tab_Compteur_7[[#This Row],[Index]]-E191,Tab_Compteur_7[[#This Row],[Quantité]])/Tab_Compteur_7[[#This Row],[Delta Jour]],"")&lt;0,"",IFERROR(IF(Str_TypeDonneesCpt7=Cpt_Index,Tab_Compteur_7[[#This Row],[Index]]-E191,Tab_Compteur_7[[#This Row],[Quantité]])/Tab_Compteur_7[[#This Row],[Delta Jour]],""))</f>
        <v/>
      </c>
      <c r="H192" s="256" t="str">
        <f>IFERROR(Tab_Compteur_7[[#This Row],[Montant]]/Tab_Compteur_7[[#This Row],[Delta Jour]],"")</f>
        <v/>
      </c>
      <c r="I192" s="215" t="str">
        <f t="shared" si="7"/>
        <v/>
      </c>
      <c r="J192" s="216"/>
      <c r="K192" s="38"/>
      <c r="L192" s="38"/>
      <c r="M192" s="38"/>
    </row>
    <row r="193" spans="1:13">
      <c r="A193" s="3">
        <f t="shared" si="8"/>
        <v>1</v>
      </c>
      <c r="B193" s="88"/>
      <c r="C193" s="194"/>
      <c r="D193" s="195"/>
      <c r="E193" s="193"/>
      <c r="F193" s="256">
        <f t="shared" si="6"/>
        <v>0</v>
      </c>
      <c r="G193" s="256" t="str">
        <f>IF(IFERROR(IF(Str_TypeDonneesCpt7=Cpt_Index,Tab_Compteur_7[[#This Row],[Index]]-E192,Tab_Compteur_7[[#This Row],[Quantité]])/Tab_Compteur_7[[#This Row],[Delta Jour]],"")&lt;0,"",IFERROR(IF(Str_TypeDonneesCpt7=Cpt_Index,Tab_Compteur_7[[#This Row],[Index]]-E192,Tab_Compteur_7[[#This Row],[Quantité]])/Tab_Compteur_7[[#This Row],[Delta Jour]],""))</f>
        <v/>
      </c>
      <c r="H193" s="256" t="str">
        <f>IFERROR(Tab_Compteur_7[[#This Row],[Montant]]/Tab_Compteur_7[[#This Row],[Delta Jour]],"")</f>
        <v/>
      </c>
      <c r="I193" s="215" t="str">
        <f t="shared" si="7"/>
        <v/>
      </c>
      <c r="J193" s="216"/>
      <c r="K193" s="38"/>
      <c r="L193" s="38"/>
      <c r="M193" s="38"/>
    </row>
    <row r="194" spans="1:13">
      <c r="A194" s="3">
        <f t="shared" si="8"/>
        <v>1</v>
      </c>
      <c r="B194" s="88"/>
      <c r="C194" s="194"/>
      <c r="D194" s="195"/>
      <c r="E194" s="193"/>
      <c r="F194" s="256">
        <f t="shared" si="6"/>
        <v>0</v>
      </c>
      <c r="G194" s="256" t="str">
        <f>IF(IFERROR(IF(Str_TypeDonneesCpt7=Cpt_Index,Tab_Compteur_7[[#This Row],[Index]]-E193,Tab_Compteur_7[[#This Row],[Quantité]])/Tab_Compteur_7[[#This Row],[Delta Jour]],"")&lt;0,"",IFERROR(IF(Str_TypeDonneesCpt7=Cpt_Index,Tab_Compteur_7[[#This Row],[Index]]-E193,Tab_Compteur_7[[#This Row],[Quantité]])/Tab_Compteur_7[[#This Row],[Delta Jour]],""))</f>
        <v/>
      </c>
      <c r="H194" s="256" t="str">
        <f>IFERROR(Tab_Compteur_7[[#This Row],[Montant]]/Tab_Compteur_7[[#This Row],[Delta Jour]],"")</f>
        <v/>
      </c>
      <c r="I194" s="215" t="str">
        <f t="shared" si="7"/>
        <v/>
      </c>
      <c r="J194" s="216"/>
      <c r="K194" s="38"/>
      <c r="L194" s="38"/>
      <c r="M194" s="38"/>
    </row>
    <row r="195" spans="1:13">
      <c r="A195" s="3">
        <f t="shared" si="8"/>
        <v>1</v>
      </c>
      <c r="B195" s="88"/>
      <c r="C195" s="194"/>
      <c r="D195" s="195"/>
      <c r="E195" s="193"/>
      <c r="F195" s="256">
        <f t="shared" ref="F195:F243" si="9">IFERROR(B195-A195+1,"")</f>
        <v>0</v>
      </c>
      <c r="G195" s="256" t="str">
        <f>IF(IFERROR(IF(Str_TypeDonneesCpt7=Cpt_Index,Tab_Compteur_7[[#This Row],[Index]]-E194,Tab_Compteur_7[[#This Row],[Quantité]])/Tab_Compteur_7[[#This Row],[Delta Jour]],"")&lt;0,"",IFERROR(IF(Str_TypeDonneesCpt7=Cpt_Index,Tab_Compteur_7[[#This Row],[Index]]-E194,Tab_Compteur_7[[#This Row],[Quantité]])/Tab_Compteur_7[[#This Row],[Delta Jour]],""))</f>
        <v/>
      </c>
      <c r="H195" s="256" t="str">
        <f>IFERROR(Tab_Compteur_7[[#This Row],[Montant]]/Tab_Compteur_7[[#This Row],[Delta Jour]],"")</f>
        <v/>
      </c>
      <c r="I195" s="215" t="str">
        <f t="shared" ref="I195:I243" si="10">G195</f>
        <v/>
      </c>
      <c r="J195" s="216"/>
      <c r="K195" s="38"/>
      <c r="L195" s="38"/>
      <c r="M195" s="38"/>
    </row>
    <row r="196" spans="1:13">
      <c r="A196" s="3">
        <f t="shared" si="8"/>
        <v>1</v>
      </c>
      <c r="B196" s="88"/>
      <c r="C196" s="194"/>
      <c r="D196" s="195"/>
      <c r="E196" s="193"/>
      <c r="F196" s="256">
        <f t="shared" si="9"/>
        <v>0</v>
      </c>
      <c r="G196" s="256" t="str">
        <f>IF(IFERROR(IF(Str_TypeDonneesCpt7=Cpt_Index,Tab_Compteur_7[[#This Row],[Index]]-E195,Tab_Compteur_7[[#This Row],[Quantité]])/Tab_Compteur_7[[#This Row],[Delta Jour]],"")&lt;0,"",IFERROR(IF(Str_TypeDonneesCpt7=Cpt_Index,Tab_Compteur_7[[#This Row],[Index]]-E195,Tab_Compteur_7[[#This Row],[Quantité]])/Tab_Compteur_7[[#This Row],[Delta Jour]],""))</f>
        <v/>
      </c>
      <c r="H196" s="256" t="str">
        <f>IFERROR(Tab_Compteur_7[[#This Row],[Montant]]/Tab_Compteur_7[[#This Row],[Delta Jour]],"")</f>
        <v/>
      </c>
      <c r="I196" s="215" t="str">
        <f t="shared" si="10"/>
        <v/>
      </c>
      <c r="J196" s="216"/>
      <c r="K196" s="38"/>
      <c r="L196" s="38"/>
      <c r="M196" s="38"/>
    </row>
    <row r="197" spans="1:13">
      <c r="A197" s="3">
        <f t="shared" si="8"/>
        <v>1</v>
      </c>
      <c r="B197" s="88"/>
      <c r="C197" s="194"/>
      <c r="D197" s="195"/>
      <c r="E197" s="193"/>
      <c r="F197" s="256">
        <f t="shared" si="9"/>
        <v>0</v>
      </c>
      <c r="G197" s="256" t="str">
        <f>IF(IFERROR(IF(Str_TypeDonneesCpt7=Cpt_Index,Tab_Compteur_7[[#This Row],[Index]]-E196,Tab_Compteur_7[[#This Row],[Quantité]])/Tab_Compteur_7[[#This Row],[Delta Jour]],"")&lt;0,"",IFERROR(IF(Str_TypeDonneesCpt7=Cpt_Index,Tab_Compteur_7[[#This Row],[Index]]-E196,Tab_Compteur_7[[#This Row],[Quantité]])/Tab_Compteur_7[[#This Row],[Delta Jour]],""))</f>
        <v/>
      </c>
      <c r="H197" s="256" t="str">
        <f>IFERROR(Tab_Compteur_7[[#This Row],[Montant]]/Tab_Compteur_7[[#This Row],[Delta Jour]],"")</f>
        <v/>
      </c>
      <c r="I197" s="215" t="str">
        <f t="shared" si="10"/>
        <v/>
      </c>
      <c r="J197" s="216"/>
      <c r="K197" s="38"/>
      <c r="L197" s="38"/>
      <c r="M197" s="38"/>
    </row>
    <row r="198" spans="1:13">
      <c r="A198" s="3">
        <f t="shared" ref="A198:A243" si="11">IFERROR(B197+1,0)</f>
        <v>1</v>
      </c>
      <c r="B198" s="88"/>
      <c r="C198" s="194"/>
      <c r="D198" s="195"/>
      <c r="E198" s="193"/>
      <c r="F198" s="256">
        <f t="shared" si="9"/>
        <v>0</v>
      </c>
      <c r="G198" s="256" t="str">
        <f>IF(IFERROR(IF(Str_TypeDonneesCpt7=Cpt_Index,Tab_Compteur_7[[#This Row],[Index]]-E197,Tab_Compteur_7[[#This Row],[Quantité]])/Tab_Compteur_7[[#This Row],[Delta Jour]],"")&lt;0,"",IFERROR(IF(Str_TypeDonneesCpt7=Cpt_Index,Tab_Compteur_7[[#This Row],[Index]]-E197,Tab_Compteur_7[[#This Row],[Quantité]])/Tab_Compteur_7[[#This Row],[Delta Jour]],""))</f>
        <v/>
      </c>
      <c r="H198" s="256" t="str">
        <f>IFERROR(Tab_Compteur_7[[#This Row],[Montant]]/Tab_Compteur_7[[#This Row],[Delta Jour]],"")</f>
        <v/>
      </c>
      <c r="I198" s="215" t="str">
        <f t="shared" si="10"/>
        <v/>
      </c>
      <c r="J198" s="216"/>
      <c r="K198" s="38"/>
      <c r="L198" s="38"/>
      <c r="M198" s="38"/>
    </row>
    <row r="199" spans="1:13">
      <c r="A199" s="3">
        <f t="shared" si="11"/>
        <v>1</v>
      </c>
      <c r="B199" s="88"/>
      <c r="C199" s="194"/>
      <c r="D199" s="195"/>
      <c r="E199" s="193"/>
      <c r="F199" s="256">
        <f t="shared" si="9"/>
        <v>0</v>
      </c>
      <c r="G199" s="256" t="str">
        <f>IF(IFERROR(IF(Str_TypeDonneesCpt7=Cpt_Index,Tab_Compteur_7[[#This Row],[Index]]-E198,Tab_Compteur_7[[#This Row],[Quantité]])/Tab_Compteur_7[[#This Row],[Delta Jour]],"")&lt;0,"",IFERROR(IF(Str_TypeDonneesCpt7=Cpt_Index,Tab_Compteur_7[[#This Row],[Index]]-E198,Tab_Compteur_7[[#This Row],[Quantité]])/Tab_Compteur_7[[#This Row],[Delta Jour]],""))</f>
        <v/>
      </c>
      <c r="H199" s="256" t="str">
        <f>IFERROR(Tab_Compteur_7[[#This Row],[Montant]]/Tab_Compteur_7[[#This Row],[Delta Jour]],"")</f>
        <v/>
      </c>
      <c r="I199" s="215" t="str">
        <f t="shared" si="10"/>
        <v/>
      </c>
      <c r="J199" s="216"/>
      <c r="K199" s="38"/>
      <c r="L199" s="38"/>
      <c r="M199" s="38"/>
    </row>
    <row r="200" spans="1:13">
      <c r="A200" s="3">
        <f t="shared" si="11"/>
        <v>1</v>
      </c>
      <c r="B200" s="88"/>
      <c r="C200" s="194"/>
      <c r="D200" s="195"/>
      <c r="E200" s="193"/>
      <c r="F200" s="256">
        <f t="shared" si="9"/>
        <v>0</v>
      </c>
      <c r="G200" s="256" t="str">
        <f>IF(IFERROR(IF(Str_TypeDonneesCpt7=Cpt_Index,Tab_Compteur_7[[#This Row],[Index]]-E199,Tab_Compteur_7[[#This Row],[Quantité]])/Tab_Compteur_7[[#This Row],[Delta Jour]],"")&lt;0,"",IFERROR(IF(Str_TypeDonneesCpt7=Cpt_Index,Tab_Compteur_7[[#This Row],[Index]]-E199,Tab_Compteur_7[[#This Row],[Quantité]])/Tab_Compteur_7[[#This Row],[Delta Jour]],""))</f>
        <v/>
      </c>
      <c r="H200" s="256" t="str">
        <f>IFERROR(Tab_Compteur_7[[#This Row],[Montant]]/Tab_Compteur_7[[#This Row],[Delta Jour]],"")</f>
        <v/>
      </c>
      <c r="I200" s="215" t="str">
        <f t="shared" si="10"/>
        <v/>
      </c>
      <c r="J200" s="216"/>
      <c r="K200" s="38"/>
      <c r="L200" s="38"/>
      <c r="M200" s="38"/>
    </row>
    <row r="201" spans="1:13">
      <c r="A201" s="3">
        <f t="shared" si="11"/>
        <v>1</v>
      </c>
      <c r="B201" s="88"/>
      <c r="C201" s="194"/>
      <c r="D201" s="195"/>
      <c r="E201" s="193"/>
      <c r="F201" s="256">
        <f t="shared" si="9"/>
        <v>0</v>
      </c>
      <c r="G201" s="256" t="str">
        <f>IF(IFERROR(IF(Str_TypeDonneesCpt7=Cpt_Index,Tab_Compteur_7[[#This Row],[Index]]-E200,Tab_Compteur_7[[#This Row],[Quantité]])/Tab_Compteur_7[[#This Row],[Delta Jour]],"")&lt;0,"",IFERROR(IF(Str_TypeDonneesCpt7=Cpt_Index,Tab_Compteur_7[[#This Row],[Index]]-E200,Tab_Compteur_7[[#This Row],[Quantité]])/Tab_Compteur_7[[#This Row],[Delta Jour]],""))</f>
        <v/>
      </c>
      <c r="H201" s="256" t="str">
        <f>IFERROR(Tab_Compteur_7[[#This Row],[Montant]]/Tab_Compteur_7[[#This Row],[Delta Jour]],"")</f>
        <v/>
      </c>
      <c r="I201" s="215" t="str">
        <f t="shared" si="10"/>
        <v/>
      </c>
      <c r="J201" s="216"/>
      <c r="K201" s="38"/>
      <c r="L201" s="38"/>
      <c r="M201" s="38"/>
    </row>
    <row r="202" spans="1:13">
      <c r="A202" s="3">
        <f t="shared" si="11"/>
        <v>1</v>
      </c>
      <c r="B202" s="88"/>
      <c r="C202" s="194"/>
      <c r="D202" s="195"/>
      <c r="E202" s="193"/>
      <c r="F202" s="256">
        <f t="shared" si="9"/>
        <v>0</v>
      </c>
      <c r="G202" s="256" t="str">
        <f>IF(IFERROR(IF(Str_TypeDonneesCpt7=Cpt_Index,Tab_Compteur_7[[#This Row],[Index]]-E201,Tab_Compteur_7[[#This Row],[Quantité]])/Tab_Compteur_7[[#This Row],[Delta Jour]],"")&lt;0,"",IFERROR(IF(Str_TypeDonneesCpt7=Cpt_Index,Tab_Compteur_7[[#This Row],[Index]]-E201,Tab_Compteur_7[[#This Row],[Quantité]])/Tab_Compteur_7[[#This Row],[Delta Jour]],""))</f>
        <v/>
      </c>
      <c r="H202" s="256" t="str">
        <f>IFERROR(Tab_Compteur_7[[#This Row],[Montant]]/Tab_Compteur_7[[#This Row],[Delta Jour]],"")</f>
        <v/>
      </c>
      <c r="I202" s="215" t="str">
        <f t="shared" si="10"/>
        <v/>
      </c>
      <c r="J202" s="216"/>
      <c r="K202" s="38"/>
      <c r="L202" s="38"/>
      <c r="M202" s="38"/>
    </row>
    <row r="203" spans="1:13">
      <c r="A203" s="3">
        <f t="shared" si="11"/>
        <v>1</v>
      </c>
      <c r="B203" s="88"/>
      <c r="C203" s="194"/>
      <c r="D203" s="195"/>
      <c r="E203" s="193"/>
      <c r="F203" s="256">
        <f t="shared" si="9"/>
        <v>0</v>
      </c>
      <c r="G203" s="256" t="str">
        <f>IF(IFERROR(IF(Str_TypeDonneesCpt7=Cpt_Index,Tab_Compteur_7[[#This Row],[Index]]-E202,Tab_Compteur_7[[#This Row],[Quantité]])/Tab_Compteur_7[[#This Row],[Delta Jour]],"")&lt;0,"",IFERROR(IF(Str_TypeDonneesCpt7=Cpt_Index,Tab_Compteur_7[[#This Row],[Index]]-E202,Tab_Compteur_7[[#This Row],[Quantité]])/Tab_Compteur_7[[#This Row],[Delta Jour]],""))</f>
        <v/>
      </c>
      <c r="H203" s="256" t="str">
        <f>IFERROR(Tab_Compteur_7[[#This Row],[Montant]]/Tab_Compteur_7[[#This Row],[Delta Jour]],"")</f>
        <v/>
      </c>
      <c r="I203" s="215" t="str">
        <f t="shared" si="10"/>
        <v/>
      </c>
      <c r="J203" s="216"/>
      <c r="K203" s="38"/>
      <c r="L203" s="38"/>
      <c r="M203" s="38"/>
    </row>
    <row r="204" spans="1:13">
      <c r="A204" s="3">
        <f t="shared" si="11"/>
        <v>1</v>
      </c>
      <c r="B204" s="88"/>
      <c r="C204" s="194"/>
      <c r="D204" s="195"/>
      <c r="E204" s="193"/>
      <c r="F204" s="256">
        <f t="shared" si="9"/>
        <v>0</v>
      </c>
      <c r="G204" s="256" t="str">
        <f>IF(IFERROR(IF(Str_TypeDonneesCpt7=Cpt_Index,Tab_Compteur_7[[#This Row],[Index]]-E203,Tab_Compteur_7[[#This Row],[Quantité]])/Tab_Compteur_7[[#This Row],[Delta Jour]],"")&lt;0,"",IFERROR(IF(Str_TypeDonneesCpt7=Cpt_Index,Tab_Compteur_7[[#This Row],[Index]]-E203,Tab_Compteur_7[[#This Row],[Quantité]])/Tab_Compteur_7[[#This Row],[Delta Jour]],""))</f>
        <v/>
      </c>
      <c r="H204" s="256" t="str">
        <f>IFERROR(Tab_Compteur_7[[#This Row],[Montant]]/Tab_Compteur_7[[#This Row],[Delta Jour]],"")</f>
        <v/>
      </c>
      <c r="I204" s="215" t="str">
        <f t="shared" si="10"/>
        <v/>
      </c>
      <c r="J204" s="216"/>
      <c r="K204" s="38"/>
      <c r="L204" s="38"/>
      <c r="M204" s="38"/>
    </row>
    <row r="205" spans="1:13">
      <c r="A205" s="3">
        <f t="shared" si="11"/>
        <v>1</v>
      </c>
      <c r="B205" s="88"/>
      <c r="C205" s="194"/>
      <c r="D205" s="195"/>
      <c r="E205" s="193"/>
      <c r="F205" s="256">
        <f t="shared" si="9"/>
        <v>0</v>
      </c>
      <c r="G205" s="256" t="str">
        <f>IF(IFERROR(IF(Str_TypeDonneesCpt7=Cpt_Index,Tab_Compteur_7[[#This Row],[Index]]-E204,Tab_Compteur_7[[#This Row],[Quantité]])/Tab_Compteur_7[[#This Row],[Delta Jour]],"")&lt;0,"",IFERROR(IF(Str_TypeDonneesCpt7=Cpt_Index,Tab_Compteur_7[[#This Row],[Index]]-E204,Tab_Compteur_7[[#This Row],[Quantité]])/Tab_Compteur_7[[#This Row],[Delta Jour]],""))</f>
        <v/>
      </c>
      <c r="H205" s="256" t="str">
        <f>IFERROR(Tab_Compteur_7[[#This Row],[Montant]]/Tab_Compteur_7[[#This Row],[Delta Jour]],"")</f>
        <v/>
      </c>
      <c r="I205" s="215" t="str">
        <f t="shared" si="10"/>
        <v/>
      </c>
      <c r="J205" s="216"/>
      <c r="K205" s="38"/>
      <c r="L205" s="38"/>
      <c r="M205" s="38"/>
    </row>
    <row r="206" spans="1:13">
      <c r="A206" s="3">
        <f t="shared" si="11"/>
        <v>1</v>
      </c>
      <c r="B206" s="88"/>
      <c r="C206" s="194"/>
      <c r="D206" s="195"/>
      <c r="E206" s="193"/>
      <c r="F206" s="256">
        <f t="shared" si="9"/>
        <v>0</v>
      </c>
      <c r="G206" s="256" t="str">
        <f>IF(IFERROR(IF(Str_TypeDonneesCpt7=Cpt_Index,Tab_Compteur_7[[#This Row],[Index]]-E205,Tab_Compteur_7[[#This Row],[Quantité]])/Tab_Compteur_7[[#This Row],[Delta Jour]],"")&lt;0,"",IFERROR(IF(Str_TypeDonneesCpt7=Cpt_Index,Tab_Compteur_7[[#This Row],[Index]]-E205,Tab_Compteur_7[[#This Row],[Quantité]])/Tab_Compteur_7[[#This Row],[Delta Jour]],""))</f>
        <v/>
      </c>
      <c r="H206" s="256" t="str">
        <f>IFERROR(Tab_Compteur_7[[#This Row],[Montant]]/Tab_Compteur_7[[#This Row],[Delta Jour]],"")</f>
        <v/>
      </c>
      <c r="I206" s="215" t="str">
        <f t="shared" si="10"/>
        <v/>
      </c>
      <c r="J206" s="216"/>
      <c r="K206" s="38"/>
      <c r="L206" s="38"/>
      <c r="M206" s="38"/>
    </row>
    <row r="207" spans="1:13">
      <c r="A207" s="3">
        <f t="shared" si="11"/>
        <v>1</v>
      </c>
      <c r="B207" s="88"/>
      <c r="C207" s="194"/>
      <c r="D207" s="195"/>
      <c r="E207" s="193"/>
      <c r="F207" s="256">
        <f t="shared" si="9"/>
        <v>0</v>
      </c>
      <c r="G207" s="256" t="str">
        <f>IF(IFERROR(IF(Str_TypeDonneesCpt7=Cpt_Index,Tab_Compteur_7[[#This Row],[Index]]-E206,Tab_Compteur_7[[#This Row],[Quantité]])/Tab_Compteur_7[[#This Row],[Delta Jour]],"")&lt;0,"",IFERROR(IF(Str_TypeDonneesCpt7=Cpt_Index,Tab_Compteur_7[[#This Row],[Index]]-E206,Tab_Compteur_7[[#This Row],[Quantité]])/Tab_Compteur_7[[#This Row],[Delta Jour]],""))</f>
        <v/>
      </c>
      <c r="H207" s="256" t="str">
        <f>IFERROR(Tab_Compteur_7[[#This Row],[Montant]]/Tab_Compteur_7[[#This Row],[Delta Jour]],"")</f>
        <v/>
      </c>
      <c r="I207" s="215" t="str">
        <f t="shared" si="10"/>
        <v/>
      </c>
      <c r="J207" s="216"/>
      <c r="K207" s="38"/>
      <c r="L207" s="38"/>
      <c r="M207" s="38"/>
    </row>
    <row r="208" spans="1:13">
      <c r="A208" s="3">
        <f t="shared" si="11"/>
        <v>1</v>
      </c>
      <c r="B208" s="88"/>
      <c r="C208" s="194"/>
      <c r="D208" s="195"/>
      <c r="E208" s="193"/>
      <c r="F208" s="256">
        <f t="shared" si="9"/>
        <v>0</v>
      </c>
      <c r="G208" s="256" t="str">
        <f>IF(IFERROR(IF(Str_TypeDonneesCpt7=Cpt_Index,Tab_Compteur_7[[#This Row],[Index]]-E207,Tab_Compteur_7[[#This Row],[Quantité]])/Tab_Compteur_7[[#This Row],[Delta Jour]],"")&lt;0,"",IFERROR(IF(Str_TypeDonneesCpt7=Cpt_Index,Tab_Compteur_7[[#This Row],[Index]]-E207,Tab_Compteur_7[[#This Row],[Quantité]])/Tab_Compteur_7[[#This Row],[Delta Jour]],""))</f>
        <v/>
      </c>
      <c r="H208" s="256" t="str">
        <f>IFERROR(Tab_Compteur_7[[#This Row],[Montant]]/Tab_Compteur_7[[#This Row],[Delta Jour]],"")</f>
        <v/>
      </c>
      <c r="I208" s="215" t="str">
        <f t="shared" si="10"/>
        <v/>
      </c>
      <c r="J208" s="216"/>
      <c r="K208" s="38"/>
      <c r="L208" s="38"/>
      <c r="M208" s="38"/>
    </row>
    <row r="209" spans="1:13">
      <c r="A209" s="3">
        <f t="shared" si="11"/>
        <v>1</v>
      </c>
      <c r="B209" s="88"/>
      <c r="C209" s="194"/>
      <c r="D209" s="195"/>
      <c r="E209" s="193"/>
      <c r="F209" s="256">
        <f t="shared" si="9"/>
        <v>0</v>
      </c>
      <c r="G209" s="256" t="str">
        <f>IF(IFERROR(IF(Str_TypeDonneesCpt7=Cpt_Index,Tab_Compteur_7[[#This Row],[Index]]-E208,Tab_Compteur_7[[#This Row],[Quantité]])/Tab_Compteur_7[[#This Row],[Delta Jour]],"")&lt;0,"",IFERROR(IF(Str_TypeDonneesCpt7=Cpt_Index,Tab_Compteur_7[[#This Row],[Index]]-E208,Tab_Compteur_7[[#This Row],[Quantité]])/Tab_Compteur_7[[#This Row],[Delta Jour]],""))</f>
        <v/>
      </c>
      <c r="H209" s="256" t="str">
        <f>IFERROR(Tab_Compteur_7[[#This Row],[Montant]]/Tab_Compteur_7[[#This Row],[Delta Jour]],"")</f>
        <v/>
      </c>
      <c r="I209" s="215" t="str">
        <f t="shared" si="10"/>
        <v/>
      </c>
      <c r="J209" s="216"/>
      <c r="K209" s="38"/>
      <c r="L209" s="38"/>
      <c r="M209" s="38"/>
    </row>
    <row r="210" spans="1:13">
      <c r="A210" s="3">
        <f t="shared" si="11"/>
        <v>1</v>
      </c>
      <c r="B210" s="88"/>
      <c r="C210" s="194"/>
      <c r="D210" s="195"/>
      <c r="E210" s="193"/>
      <c r="F210" s="256">
        <f t="shared" si="9"/>
        <v>0</v>
      </c>
      <c r="G210" s="256" t="str">
        <f>IF(IFERROR(IF(Str_TypeDonneesCpt7=Cpt_Index,Tab_Compteur_7[[#This Row],[Index]]-E209,Tab_Compteur_7[[#This Row],[Quantité]])/Tab_Compteur_7[[#This Row],[Delta Jour]],"")&lt;0,"",IFERROR(IF(Str_TypeDonneesCpt7=Cpt_Index,Tab_Compteur_7[[#This Row],[Index]]-E209,Tab_Compteur_7[[#This Row],[Quantité]])/Tab_Compteur_7[[#This Row],[Delta Jour]],""))</f>
        <v/>
      </c>
      <c r="H210" s="256" t="str">
        <f>IFERROR(Tab_Compteur_7[[#This Row],[Montant]]/Tab_Compteur_7[[#This Row],[Delta Jour]],"")</f>
        <v/>
      </c>
      <c r="I210" s="215" t="str">
        <f t="shared" si="10"/>
        <v/>
      </c>
      <c r="J210" s="216"/>
      <c r="K210" s="38"/>
      <c r="L210" s="38"/>
      <c r="M210" s="38"/>
    </row>
    <row r="211" spans="1:13">
      <c r="A211" s="3">
        <f t="shared" si="11"/>
        <v>1</v>
      </c>
      <c r="B211" s="88"/>
      <c r="C211" s="194"/>
      <c r="D211" s="195"/>
      <c r="E211" s="193"/>
      <c r="F211" s="256">
        <f t="shared" si="9"/>
        <v>0</v>
      </c>
      <c r="G211" s="256" t="str">
        <f>IF(IFERROR(IF(Str_TypeDonneesCpt7=Cpt_Index,Tab_Compteur_7[[#This Row],[Index]]-E210,Tab_Compteur_7[[#This Row],[Quantité]])/Tab_Compteur_7[[#This Row],[Delta Jour]],"")&lt;0,"",IFERROR(IF(Str_TypeDonneesCpt7=Cpt_Index,Tab_Compteur_7[[#This Row],[Index]]-E210,Tab_Compteur_7[[#This Row],[Quantité]])/Tab_Compteur_7[[#This Row],[Delta Jour]],""))</f>
        <v/>
      </c>
      <c r="H211" s="256" t="str">
        <f>IFERROR(Tab_Compteur_7[[#This Row],[Montant]]/Tab_Compteur_7[[#This Row],[Delta Jour]],"")</f>
        <v/>
      </c>
      <c r="I211" s="215" t="str">
        <f t="shared" si="10"/>
        <v/>
      </c>
      <c r="J211" s="216"/>
      <c r="K211" s="38"/>
      <c r="L211" s="38"/>
      <c r="M211" s="38"/>
    </row>
    <row r="212" spans="1:13">
      <c r="A212" s="3">
        <f t="shared" si="11"/>
        <v>1</v>
      </c>
      <c r="B212" s="88"/>
      <c r="C212" s="194"/>
      <c r="D212" s="195"/>
      <c r="E212" s="193"/>
      <c r="F212" s="256">
        <f t="shared" si="9"/>
        <v>0</v>
      </c>
      <c r="G212" s="256" t="str">
        <f>IF(IFERROR(IF(Str_TypeDonneesCpt7=Cpt_Index,Tab_Compteur_7[[#This Row],[Index]]-E211,Tab_Compteur_7[[#This Row],[Quantité]])/Tab_Compteur_7[[#This Row],[Delta Jour]],"")&lt;0,"",IFERROR(IF(Str_TypeDonneesCpt7=Cpt_Index,Tab_Compteur_7[[#This Row],[Index]]-E211,Tab_Compteur_7[[#This Row],[Quantité]])/Tab_Compteur_7[[#This Row],[Delta Jour]],""))</f>
        <v/>
      </c>
      <c r="H212" s="256" t="str">
        <f>IFERROR(Tab_Compteur_7[[#This Row],[Montant]]/Tab_Compteur_7[[#This Row],[Delta Jour]],"")</f>
        <v/>
      </c>
      <c r="I212" s="215" t="str">
        <f t="shared" si="10"/>
        <v/>
      </c>
      <c r="J212" s="216"/>
      <c r="K212" s="38"/>
      <c r="L212" s="38"/>
      <c r="M212" s="38"/>
    </row>
    <row r="213" spans="1:13">
      <c r="A213" s="3">
        <f t="shared" si="11"/>
        <v>1</v>
      </c>
      <c r="B213" s="88"/>
      <c r="C213" s="194"/>
      <c r="D213" s="195"/>
      <c r="E213" s="193"/>
      <c r="F213" s="256">
        <f t="shared" si="9"/>
        <v>0</v>
      </c>
      <c r="G213" s="256" t="str">
        <f>IF(IFERROR(IF(Str_TypeDonneesCpt7=Cpt_Index,Tab_Compteur_7[[#This Row],[Index]]-E212,Tab_Compteur_7[[#This Row],[Quantité]])/Tab_Compteur_7[[#This Row],[Delta Jour]],"")&lt;0,"",IFERROR(IF(Str_TypeDonneesCpt7=Cpt_Index,Tab_Compteur_7[[#This Row],[Index]]-E212,Tab_Compteur_7[[#This Row],[Quantité]])/Tab_Compteur_7[[#This Row],[Delta Jour]],""))</f>
        <v/>
      </c>
      <c r="H213" s="256" t="str">
        <f>IFERROR(Tab_Compteur_7[[#This Row],[Montant]]/Tab_Compteur_7[[#This Row],[Delta Jour]],"")</f>
        <v/>
      </c>
      <c r="I213" s="215" t="str">
        <f t="shared" si="10"/>
        <v/>
      </c>
      <c r="J213" s="216"/>
      <c r="K213" s="38"/>
      <c r="L213" s="38"/>
      <c r="M213" s="38"/>
    </row>
    <row r="214" spans="1:13">
      <c r="A214" s="3">
        <f t="shared" si="11"/>
        <v>1</v>
      </c>
      <c r="B214" s="88"/>
      <c r="C214" s="194"/>
      <c r="D214" s="195"/>
      <c r="E214" s="193"/>
      <c r="F214" s="256">
        <f t="shared" si="9"/>
        <v>0</v>
      </c>
      <c r="G214" s="256" t="str">
        <f>IF(IFERROR(IF(Str_TypeDonneesCpt7=Cpt_Index,Tab_Compteur_7[[#This Row],[Index]]-E213,Tab_Compteur_7[[#This Row],[Quantité]])/Tab_Compteur_7[[#This Row],[Delta Jour]],"")&lt;0,"",IFERROR(IF(Str_TypeDonneesCpt7=Cpt_Index,Tab_Compteur_7[[#This Row],[Index]]-E213,Tab_Compteur_7[[#This Row],[Quantité]])/Tab_Compteur_7[[#This Row],[Delta Jour]],""))</f>
        <v/>
      </c>
      <c r="H214" s="256" t="str">
        <f>IFERROR(Tab_Compteur_7[[#This Row],[Montant]]/Tab_Compteur_7[[#This Row],[Delta Jour]],"")</f>
        <v/>
      </c>
      <c r="I214" s="215" t="str">
        <f t="shared" si="10"/>
        <v/>
      </c>
      <c r="J214" s="216"/>
      <c r="K214" s="38"/>
      <c r="L214" s="38"/>
      <c r="M214" s="38"/>
    </row>
    <row r="215" spans="1:13">
      <c r="A215" s="3">
        <f t="shared" si="11"/>
        <v>1</v>
      </c>
      <c r="B215" s="88"/>
      <c r="C215" s="194"/>
      <c r="D215" s="195"/>
      <c r="E215" s="193"/>
      <c r="F215" s="256">
        <f t="shared" si="9"/>
        <v>0</v>
      </c>
      <c r="G215" s="256" t="str">
        <f>IF(IFERROR(IF(Str_TypeDonneesCpt7=Cpt_Index,Tab_Compteur_7[[#This Row],[Index]]-E214,Tab_Compteur_7[[#This Row],[Quantité]])/Tab_Compteur_7[[#This Row],[Delta Jour]],"")&lt;0,"",IFERROR(IF(Str_TypeDonneesCpt7=Cpt_Index,Tab_Compteur_7[[#This Row],[Index]]-E214,Tab_Compteur_7[[#This Row],[Quantité]])/Tab_Compteur_7[[#This Row],[Delta Jour]],""))</f>
        <v/>
      </c>
      <c r="H215" s="256" t="str">
        <f>IFERROR(Tab_Compteur_7[[#This Row],[Montant]]/Tab_Compteur_7[[#This Row],[Delta Jour]],"")</f>
        <v/>
      </c>
      <c r="I215" s="215" t="str">
        <f t="shared" si="10"/>
        <v/>
      </c>
      <c r="J215" s="216"/>
      <c r="K215" s="38"/>
      <c r="L215" s="38"/>
      <c r="M215" s="38"/>
    </row>
    <row r="216" spans="1:13">
      <c r="A216" s="3">
        <f t="shared" si="11"/>
        <v>1</v>
      </c>
      <c r="B216" s="88"/>
      <c r="C216" s="194"/>
      <c r="D216" s="195"/>
      <c r="E216" s="193"/>
      <c r="F216" s="256">
        <f t="shared" si="9"/>
        <v>0</v>
      </c>
      <c r="G216" s="256" t="str">
        <f>IF(IFERROR(IF(Str_TypeDonneesCpt7=Cpt_Index,Tab_Compteur_7[[#This Row],[Index]]-E215,Tab_Compteur_7[[#This Row],[Quantité]])/Tab_Compteur_7[[#This Row],[Delta Jour]],"")&lt;0,"",IFERROR(IF(Str_TypeDonneesCpt7=Cpt_Index,Tab_Compteur_7[[#This Row],[Index]]-E215,Tab_Compteur_7[[#This Row],[Quantité]])/Tab_Compteur_7[[#This Row],[Delta Jour]],""))</f>
        <v/>
      </c>
      <c r="H216" s="256" t="str">
        <f>IFERROR(Tab_Compteur_7[[#This Row],[Montant]]/Tab_Compteur_7[[#This Row],[Delta Jour]],"")</f>
        <v/>
      </c>
      <c r="I216" s="215" t="str">
        <f t="shared" si="10"/>
        <v/>
      </c>
      <c r="J216" s="216"/>
      <c r="K216" s="38"/>
      <c r="L216" s="38"/>
      <c r="M216" s="38"/>
    </row>
    <row r="217" spans="1:13">
      <c r="A217" s="3">
        <f t="shared" si="11"/>
        <v>1</v>
      </c>
      <c r="B217" s="88"/>
      <c r="C217" s="194"/>
      <c r="D217" s="195"/>
      <c r="E217" s="193"/>
      <c r="F217" s="256">
        <f t="shared" si="9"/>
        <v>0</v>
      </c>
      <c r="G217" s="256" t="str">
        <f>IF(IFERROR(IF(Str_TypeDonneesCpt7=Cpt_Index,Tab_Compteur_7[[#This Row],[Index]]-E216,Tab_Compteur_7[[#This Row],[Quantité]])/Tab_Compteur_7[[#This Row],[Delta Jour]],"")&lt;0,"",IFERROR(IF(Str_TypeDonneesCpt7=Cpt_Index,Tab_Compteur_7[[#This Row],[Index]]-E216,Tab_Compteur_7[[#This Row],[Quantité]])/Tab_Compteur_7[[#This Row],[Delta Jour]],""))</f>
        <v/>
      </c>
      <c r="H217" s="256" t="str">
        <f>IFERROR(Tab_Compteur_7[[#This Row],[Montant]]/Tab_Compteur_7[[#This Row],[Delta Jour]],"")</f>
        <v/>
      </c>
      <c r="I217" s="215" t="str">
        <f t="shared" si="10"/>
        <v/>
      </c>
      <c r="J217" s="216"/>
      <c r="K217" s="38"/>
      <c r="L217" s="38"/>
      <c r="M217" s="38"/>
    </row>
    <row r="218" spans="1:13">
      <c r="A218" s="3">
        <f t="shared" si="11"/>
        <v>1</v>
      </c>
      <c r="B218" s="88"/>
      <c r="C218" s="194"/>
      <c r="D218" s="195"/>
      <c r="E218" s="193"/>
      <c r="F218" s="256">
        <f t="shared" si="9"/>
        <v>0</v>
      </c>
      <c r="G218" s="256" t="str">
        <f>IF(IFERROR(IF(Str_TypeDonneesCpt7=Cpt_Index,Tab_Compteur_7[[#This Row],[Index]]-E217,Tab_Compteur_7[[#This Row],[Quantité]])/Tab_Compteur_7[[#This Row],[Delta Jour]],"")&lt;0,"",IFERROR(IF(Str_TypeDonneesCpt7=Cpt_Index,Tab_Compteur_7[[#This Row],[Index]]-E217,Tab_Compteur_7[[#This Row],[Quantité]])/Tab_Compteur_7[[#This Row],[Delta Jour]],""))</f>
        <v/>
      </c>
      <c r="H218" s="256" t="str">
        <f>IFERROR(Tab_Compteur_7[[#This Row],[Montant]]/Tab_Compteur_7[[#This Row],[Delta Jour]],"")</f>
        <v/>
      </c>
      <c r="I218" s="215" t="str">
        <f t="shared" si="10"/>
        <v/>
      </c>
      <c r="J218" s="216"/>
      <c r="K218" s="38"/>
      <c r="L218" s="38"/>
      <c r="M218" s="38"/>
    </row>
    <row r="219" spans="1:13">
      <c r="A219" s="3">
        <f t="shared" si="11"/>
        <v>1</v>
      </c>
      <c r="B219" s="88"/>
      <c r="C219" s="194"/>
      <c r="D219" s="195"/>
      <c r="E219" s="193"/>
      <c r="F219" s="256">
        <f t="shared" si="9"/>
        <v>0</v>
      </c>
      <c r="G219" s="256" t="str">
        <f>IF(IFERROR(IF(Str_TypeDonneesCpt7=Cpt_Index,Tab_Compteur_7[[#This Row],[Index]]-E218,Tab_Compteur_7[[#This Row],[Quantité]])/Tab_Compteur_7[[#This Row],[Delta Jour]],"")&lt;0,"",IFERROR(IF(Str_TypeDonneesCpt7=Cpt_Index,Tab_Compteur_7[[#This Row],[Index]]-E218,Tab_Compteur_7[[#This Row],[Quantité]])/Tab_Compteur_7[[#This Row],[Delta Jour]],""))</f>
        <v/>
      </c>
      <c r="H219" s="256" t="str">
        <f>IFERROR(Tab_Compteur_7[[#This Row],[Montant]]/Tab_Compteur_7[[#This Row],[Delta Jour]],"")</f>
        <v/>
      </c>
      <c r="I219" s="215" t="str">
        <f t="shared" si="10"/>
        <v/>
      </c>
      <c r="J219" s="216"/>
      <c r="K219" s="38"/>
      <c r="L219" s="38"/>
      <c r="M219" s="38"/>
    </row>
    <row r="220" spans="1:13">
      <c r="A220" s="3">
        <f t="shared" si="11"/>
        <v>1</v>
      </c>
      <c r="B220" s="88"/>
      <c r="C220" s="194"/>
      <c r="D220" s="195"/>
      <c r="E220" s="193"/>
      <c r="F220" s="256">
        <f t="shared" si="9"/>
        <v>0</v>
      </c>
      <c r="G220" s="256" t="str">
        <f>IF(IFERROR(IF(Str_TypeDonneesCpt7=Cpt_Index,Tab_Compteur_7[[#This Row],[Index]]-E219,Tab_Compteur_7[[#This Row],[Quantité]])/Tab_Compteur_7[[#This Row],[Delta Jour]],"")&lt;0,"",IFERROR(IF(Str_TypeDonneesCpt7=Cpt_Index,Tab_Compteur_7[[#This Row],[Index]]-E219,Tab_Compteur_7[[#This Row],[Quantité]])/Tab_Compteur_7[[#This Row],[Delta Jour]],""))</f>
        <v/>
      </c>
      <c r="H220" s="256" t="str">
        <f>IFERROR(Tab_Compteur_7[[#This Row],[Montant]]/Tab_Compteur_7[[#This Row],[Delta Jour]],"")</f>
        <v/>
      </c>
      <c r="I220" s="215" t="str">
        <f t="shared" si="10"/>
        <v/>
      </c>
      <c r="J220" s="216"/>
      <c r="K220" s="38"/>
      <c r="L220" s="38"/>
      <c r="M220" s="38"/>
    </row>
    <row r="221" spans="1:13">
      <c r="A221" s="3">
        <f t="shared" si="11"/>
        <v>1</v>
      </c>
      <c r="B221" s="88"/>
      <c r="C221" s="194"/>
      <c r="D221" s="195"/>
      <c r="E221" s="193"/>
      <c r="F221" s="256">
        <f t="shared" si="9"/>
        <v>0</v>
      </c>
      <c r="G221" s="256" t="str">
        <f>IF(IFERROR(IF(Str_TypeDonneesCpt7=Cpt_Index,Tab_Compteur_7[[#This Row],[Index]]-E220,Tab_Compteur_7[[#This Row],[Quantité]])/Tab_Compteur_7[[#This Row],[Delta Jour]],"")&lt;0,"",IFERROR(IF(Str_TypeDonneesCpt7=Cpt_Index,Tab_Compteur_7[[#This Row],[Index]]-E220,Tab_Compteur_7[[#This Row],[Quantité]])/Tab_Compteur_7[[#This Row],[Delta Jour]],""))</f>
        <v/>
      </c>
      <c r="H221" s="256" t="str">
        <f>IFERROR(Tab_Compteur_7[[#This Row],[Montant]]/Tab_Compteur_7[[#This Row],[Delta Jour]],"")</f>
        <v/>
      </c>
      <c r="I221" s="215" t="str">
        <f t="shared" si="10"/>
        <v/>
      </c>
      <c r="J221" s="216"/>
      <c r="K221" s="38"/>
      <c r="L221" s="38"/>
      <c r="M221" s="38"/>
    </row>
    <row r="222" spans="1:13">
      <c r="A222" s="3">
        <f t="shared" si="11"/>
        <v>1</v>
      </c>
      <c r="B222" s="88"/>
      <c r="C222" s="194"/>
      <c r="D222" s="195"/>
      <c r="E222" s="193"/>
      <c r="F222" s="256">
        <f t="shared" si="9"/>
        <v>0</v>
      </c>
      <c r="G222" s="256" t="str">
        <f>IF(IFERROR(IF(Str_TypeDonneesCpt7=Cpt_Index,Tab_Compteur_7[[#This Row],[Index]]-E221,Tab_Compteur_7[[#This Row],[Quantité]])/Tab_Compteur_7[[#This Row],[Delta Jour]],"")&lt;0,"",IFERROR(IF(Str_TypeDonneesCpt7=Cpt_Index,Tab_Compteur_7[[#This Row],[Index]]-E221,Tab_Compteur_7[[#This Row],[Quantité]])/Tab_Compteur_7[[#This Row],[Delta Jour]],""))</f>
        <v/>
      </c>
      <c r="H222" s="256" t="str">
        <f>IFERROR(Tab_Compteur_7[[#This Row],[Montant]]/Tab_Compteur_7[[#This Row],[Delta Jour]],"")</f>
        <v/>
      </c>
      <c r="I222" s="215" t="str">
        <f t="shared" si="10"/>
        <v/>
      </c>
      <c r="J222" s="216"/>
      <c r="K222" s="38"/>
      <c r="L222" s="38"/>
      <c r="M222" s="38"/>
    </row>
    <row r="223" spans="1:13">
      <c r="A223" s="3">
        <f t="shared" si="11"/>
        <v>1</v>
      </c>
      <c r="B223" s="88"/>
      <c r="C223" s="194"/>
      <c r="D223" s="195"/>
      <c r="E223" s="193"/>
      <c r="F223" s="256">
        <f t="shared" si="9"/>
        <v>0</v>
      </c>
      <c r="G223" s="256" t="str">
        <f>IF(IFERROR(IF(Str_TypeDonneesCpt7=Cpt_Index,Tab_Compteur_7[[#This Row],[Index]]-E222,Tab_Compteur_7[[#This Row],[Quantité]])/Tab_Compteur_7[[#This Row],[Delta Jour]],"")&lt;0,"",IFERROR(IF(Str_TypeDonneesCpt7=Cpt_Index,Tab_Compteur_7[[#This Row],[Index]]-E222,Tab_Compteur_7[[#This Row],[Quantité]])/Tab_Compteur_7[[#This Row],[Delta Jour]],""))</f>
        <v/>
      </c>
      <c r="H223" s="256" t="str">
        <f>IFERROR(Tab_Compteur_7[[#This Row],[Montant]]/Tab_Compteur_7[[#This Row],[Delta Jour]],"")</f>
        <v/>
      </c>
      <c r="I223" s="215" t="str">
        <f t="shared" si="10"/>
        <v/>
      </c>
      <c r="J223" s="216"/>
      <c r="K223" s="38"/>
      <c r="L223" s="38"/>
      <c r="M223" s="38"/>
    </row>
    <row r="224" spans="1:13">
      <c r="A224" s="3">
        <f t="shared" si="11"/>
        <v>1</v>
      </c>
      <c r="B224" s="88"/>
      <c r="C224" s="194"/>
      <c r="D224" s="195"/>
      <c r="E224" s="193"/>
      <c r="F224" s="256">
        <f t="shared" si="9"/>
        <v>0</v>
      </c>
      <c r="G224" s="256" t="str">
        <f>IF(IFERROR(IF(Str_TypeDonneesCpt7=Cpt_Index,Tab_Compteur_7[[#This Row],[Index]]-E223,Tab_Compteur_7[[#This Row],[Quantité]])/Tab_Compteur_7[[#This Row],[Delta Jour]],"")&lt;0,"",IFERROR(IF(Str_TypeDonneesCpt7=Cpt_Index,Tab_Compteur_7[[#This Row],[Index]]-E223,Tab_Compteur_7[[#This Row],[Quantité]])/Tab_Compteur_7[[#This Row],[Delta Jour]],""))</f>
        <v/>
      </c>
      <c r="H224" s="256" t="str">
        <f>IFERROR(Tab_Compteur_7[[#This Row],[Montant]]/Tab_Compteur_7[[#This Row],[Delta Jour]],"")</f>
        <v/>
      </c>
      <c r="I224" s="215" t="str">
        <f t="shared" si="10"/>
        <v/>
      </c>
      <c r="J224" s="216"/>
      <c r="K224" s="38"/>
      <c r="L224" s="38"/>
      <c r="M224" s="38"/>
    </row>
    <row r="225" spans="1:13">
      <c r="A225" s="3">
        <f t="shared" si="11"/>
        <v>1</v>
      </c>
      <c r="B225" s="88"/>
      <c r="C225" s="194"/>
      <c r="D225" s="195"/>
      <c r="E225" s="193"/>
      <c r="F225" s="256">
        <f t="shared" si="9"/>
        <v>0</v>
      </c>
      <c r="G225" s="256" t="str">
        <f>IF(IFERROR(IF(Str_TypeDonneesCpt7=Cpt_Index,Tab_Compteur_7[[#This Row],[Index]]-E224,Tab_Compteur_7[[#This Row],[Quantité]])/Tab_Compteur_7[[#This Row],[Delta Jour]],"")&lt;0,"",IFERROR(IF(Str_TypeDonneesCpt7=Cpt_Index,Tab_Compteur_7[[#This Row],[Index]]-E224,Tab_Compteur_7[[#This Row],[Quantité]])/Tab_Compteur_7[[#This Row],[Delta Jour]],""))</f>
        <v/>
      </c>
      <c r="H225" s="256" t="str">
        <f>IFERROR(Tab_Compteur_7[[#This Row],[Montant]]/Tab_Compteur_7[[#This Row],[Delta Jour]],"")</f>
        <v/>
      </c>
      <c r="I225" s="215" t="str">
        <f t="shared" si="10"/>
        <v/>
      </c>
      <c r="J225" s="216"/>
      <c r="K225" s="38"/>
      <c r="L225" s="38"/>
      <c r="M225" s="38"/>
    </row>
    <row r="226" spans="1:13">
      <c r="A226" s="3">
        <f t="shared" si="11"/>
        <v>1</v>
      </c>
      <c r="B226" s="88"/>
      <c r="C226" s="194"/>
      <c r="D226" s="195"/>
      <c r="E226" s="193"/>
      <c r="F226" s="256">
        <f t="shared" si="9"/>
        <v>0</v>
      </c>
      <c r="G226" s="256" t="str">
        <f>IF(IFERROR(IF(Str_TypeDonneesCpt7=Cpt_Index,Tab_Compteur_7[[#This Row],[Index]]-E225,Tab_Compteur_7[[#This Row],[Quantité]])/Tab_Compteur_7[[#This Row],[Delta Jour]],"")&lt;0,"",IFERROR(IF(Str_TypeDonneesCpt7=Cpt_Index,Tab_Compteur_7[[#This Row],[Index]]-E225,Tab_Compteur_7[[#This Row],[Quantité]])/Tab_Compteur_7[[#This Row],[Delta Jour]],""))</f>
        <v/>
      </c>
      <c r="H226" s="256" t="str">
        <f>IFERROR(Tab_Compteur_7[[#This Row],[Montant]]/Tab_Compteur_7[[#This Row],[Delta Jour]],"")</f>
        <v/>
      </c>
      <c r="I226" s="215" t="str">
        <f t="shared" si="10"/>
        <v/>
      </c>
      <c r="J226" s="216"/>
      <c r="K226" s="38"/>
      <c r="L226" s="38"/>
      <c r="M226" s="38"/>
    </row>
    <row r="227" spans="1:13">
      <c r="A227" s="3">
        <f t="shared" si="11"/>
        <v>1</v>
      </c>
      <c r="B227" s="88"/>
      <c r="C227" s="194"/>
      <c r="D227" s="195"/>
      <c r="E227" s="193"/>
      <c r="F227" s="256">
        <f t="shared" si="9"/>
        <v>0</v>
      </c>
      <c r="G227" s="256" t="str">
        <f>IF(IFERROR(IF(Str_TypeDonneesCpt7=Cpt_Index,Tab_Compteur_7[[#This Row],[Index]]-E226,Tab_Compteur_7[[#This Row],[Quantité]])/Tab_Compteur_7[[#This Row],[Delta Jour]],"")&lt;0,"",IFERROR(IF(Str_TypeDonneesCpt7=Cpt_Index,Tab_Compteur_7[[#This Row],[Index]]-E226,Tab_Compteur_7[[#This Row],[Quantité]])/Tab_Compteur_7[[#This Row],[Delta Jour]],""))</f>
        <v/>
      </c>
      <c r="H227" s="256" t="str">
        <f>IFERROR(Tab_Compteur_7[[#This Row],[Montant]]/Tab_Compteur_7[[#This Row],[Delta Jour]],"")</f>
        <v/>
      </c>
      <c r="I227" s="215" t="str">
        <f t="shared" si="10"/>
        <v/>
      </c>
      <c r="J227" s="216"/>
      <c r="K227" s="38"/>
      <c r="L227" s="38"/>
      <c r="M227" s="38"/>
    </row>
    <row r="228" spans="1:13">
      <c r="A228" s="3">
        <f t="shared" si="11"/>
        <v>1</v>
      </c>
      <c r="B228" s="88"/>
      <c r="C228" s="194"/>
      <c r="D228" s="195"/>
      <c r="E228" s="193"/>
      <c r="F228" s="256">
        <f t="shared" si="9"/>
        <v>0</v>
      </c>
      <c r="G228" s="256" t="str">
        <f>IF(IFERROR(IF(Str_TypeDonneesCpt7=Cpt_Index,Tab_Compteur_7[[#This Row],[Index]]-E227,Tab_Compteur_7[[#This Row],[Quantité]])/Tab_Compteur_7[[#This Row],[Delta Jour]],"")&lt;0,"",IFERROR(IF(Str_TypeDonneesCpt7=Cpt_Index,Tab_Compteur_7[[#This Row],[Index]]-E227,Tab_Compteur_7[[#This Row],[Quantité]])/Tab_Compteur_7[[#This Row],[Delta Jour]],""))</f>
        <v/>
      </c>
      <c r="H228" s="256" t="str">
        <f>IFERROR(Tab_Compteur_7[[#This Row],[Montant]]/Tab_Compteur_7[[#This Row],[Delta Jour]],"")</f>
        <v/>
      </c>
      <c r="I228" s="215" t="str">
        <f t="shared" si="10"/>
        <v/>
      </c>
      <c r="J228" s="216"/>
      <c r="K228" s="38"/>
      <c r="L228" s="38"/>
      <c r="M228" s="38"/>
    </row>
    <row r="229" spans="1:13">
      <c r="A229" s="3">
        <f t="shared" si="11"/>
        <v>1</v>
      </c>
      <c r="B229" s="88"/>
      <c r="C229" s="194"/>
      <c r="D229" s="195"/>
      <c r="E229" s="193"/>
      <c r="F229" s="256">
        <f t="shared" si="9"/>
        <v>0</v>
      </c>
      <c r="G229" s="256" t="str">
        <f>IF(IFERROR(IF(Str_TypeDonneesCpt7=Cpt_Index,Tab_Compteur_7[[#This Row],[Index]]-E228,Tab_Compteur_7[[#This Row],[Quantité]])/Tab_Compteur_7[[#This Row],[Delta Jour]],"")&lt;0,"",IFERROR(IF(Str_TypeDonneesCpt7=Cpt_Index,Tab_Compteur_7[[#This Row],[Index]]-E228,Tab_Compteur_7[[#This Row],[Quantité]])/Tab_Compteur_7[[#This Row],[Delta Jour]],""))</f>
        <v/>
      </c>
      <c r="H229" s="256" t="str">
        <f>IFERROR(Tab_Compteur_7[[#This Row],[Montant]]/Tab_Compteur_7[[#This Row],[Delta Jour]],"")</f>
        <v/>
      </c>
      <c r="I229" s="215" t="str">
        <f t="shared" si="10"/>
        <v/>
      </c>
      <c r="J229" s="216"/>
      <c r="K229" s="38"/>
      <c r="L229" s="38"/>
      <c r="M229" s="38"/>
    </row>
    <row r="230" spans="1:13">
      <c r="A230" s="3">
        <f t="shared" si="11"/>
        <v>1</v>
      </c>
      <c r="B230" s="88"/>
      <c r="C230" s="194"/>
      <c r="D230" s="195"/>
      <c r="E230" s="193"/>
      <c r="F230" s="256">
        <f t="shared" si="9"/>
        <v>0</v>
      </c>
      <c r="G230" s="256" t="str">
        <f>IF(IFERROR(IF(Str_TypeDonneesCpt7=Cpt_Index,Tab_Compteur_7[[#This Row],[Index]]-E229,Tab_Compteur_7[[#This Row],[Quantité]])/Tab_Compteur_7[[#This Row],[Delta Jour]],"")&lt;0,"",IFERROR(IF(Str_TypeDonneesCpt7=Cpt_Index,Tab_Compteur_7[[#This Row],[Index]]-E229,Tab_Compteur_7[[#This Row],[Quantité]])/Tab_Compteur_7[[#This Row],[Delta Jour]],""))</f>
        <v/>
      </c>
      <c r="H230" s="256" t="str">
        <f>IFERROR(Tab_Compteur_7[[#This Row],[Montant]]/Tab_Compteur_7[[#This Row],[Delta Jour]],"")</f>
        <v/>
      </c>
      <c r="I230" s="215" t="str">
        <f t="shared" si="10"/>
        <v/>
      </c>
      <c r="J230" s="216"/>
      <c r="K230" s="38"/>
      <c r="L230" s="38"/>
      <c r="M230" s="38"/>
    </row>
    <row r="231" spans="1:13">
      <c r="A231" s="3">
        <f t="shared" si="11"/>
        <v>1</v>
      </c>
      <c r="B231" s="88"/>
      <c r="C231" s="194"/>
      <c r="D231" s="195"/>
      <c r="E231" s="193"/>
      <c r="F231" s="256">
        <f t="shared" si="9"/>
        <v>0</v>
      </c>
      <c r="G231" s="256" t="str">
        <f>IF(IFERROR(IF(Str_TypeDonneesCpt7=Cpt_Index,Tab_Compteur_7[[#This Row],[Index]]-E230,Tab_Compteur_7[[#This Row],[Quantité]])/Tab_Compteur_7[[#This Row],[Delta Jour]],"")&lt;0,"",IFERROR(IF(Str_TypeDonneesCpt7=Cpt_Index,Tab_Compteur_7[[#This Row],[Index]]-E230,Tab_Compteur_7[[#This Row],[Quantité]])/Tab_Compteur_7[[#This Row],[Delta Jour]],""))</f>
        <v/>
      </c>
      <c r="H231" s="256" t="str">
        <f>IFERROR(Tab_Compteur_7[[#This Row],[Montant]]/Tab_Compteur_7[[#This Row],[Delta Jour]],"")</f>
        <v/>
      </c>
      <c r="I231" s="215" t="str">
        <f t="shared" si="10"/>
        <v/>
      </c>
      <c r="J231" s="216"/>
      <c r="K231" s="38"/>
      <c r="L231" s="38"/>
      <c r="M231" s="38"/>
    </row>
    <row r="232" spans="1:13">
      <c r="A232" s="3">
        <f t="shared" si="11"/>
        <v>1</v>
      </c>
      <c r="B232" s="88"/>
      <c r="C232" s="194"/>
      <c r="D232" s="195"/>
      <c r="E232" s="193"/>
      <c r="F232" s="256">
        <f t="shared" si="9"/>
        <v>0</v>
      </c>
      <c r="G232" s="256" t="str">
        <f>IF(IFERROR(IF(Str_TypeDonneesCpt7=Cpt_Index,Tab_Compteur_7[[#This Row],[Index]]-E231,Tab_Compteur_7[[#This Row],[Quantité]])/Tab_Compteur_7[[#This Row],[Delta Jour]],"")&lt;0,"",IFERROR(IF(Str_TypeDonneesCpt7=Cpt_Index,Tab_Compteur_7[[#This Row],[Index]]-E231,Tab_Compteur_7[[#This Row],[Quantité]])/Tab_Compteur_7[[#This Row],[Delta Jour]],""))</f>
        <v/>
      </c>
      <c r="H232" s="256" t="str">
        <f>IFERROR(Tab_Compteur_7[[#This Row],[Montant]]/Tab_Compteur_7[[#This Row],[Delta Jour]],"")</f>
        <v/>
      </c>
      <c r="I232" s="215" t="str">
        <f t="shared" si="10"/>
        <v/>
      </c>
      <c r="J232" s="216"/>
      <c r="K232" s="38"/>
      <c r="L232" s="38"/>
      <c r="M232" s="38"/>
    </row>
    <row r="233" spans="1:13">
      <c r="A233" s="3">
        <f t="shared" si="11"/>
        <v>1</v>
      </c>
      <c r="B233" s="88"/>
      <c r="C233" s="194"/>
      <c r="D233" s="195"/>
      <c r="E233" s="193"/>
      <c r="F233" s="256">
        <f t="shared" si="9"/>
        <v>0</v>
      </c>
      <c r="G233" s="256" t="str">
        <f>IF(IFERROR(IF(Str_TypeDonneesCpt7=Cpt_Index,Tab_Compteur_7[[#This Row],[Index]]-E232,Tab_Compteur_7[[#This Row],[Quantité]])/Tab_Compteur_7[[#This Row],[Delta Jour]],"")&lt;0,"",IFERROR(IF(Str_TypeDonneesCpt7=Cpt_Index,Tab_Compteur_7[[#This Row],[Index]]-E232,Tab_Compteur_7[[#This Row],[Quantité]])/Tab_Compteur_7[[#This Row],[Delta Jour]],""))</f>
        <v/>
      </c>
      <c r="H233" s="256" t="str">
        <f>IFERROR(Tab_Compteur_7[[#This Row],[Montant]]/Tab_Compteur_7[[#This Row],[Delta Jour]],"")</f>
        <v/>
      </c>
      <c r="I233" s="215" t="str">
        <f t="shared" si="10"/>
        <v/>
      </c>
      <c r="J233" s="216"/>
      <c r="K233" s="38"/>
      <c r="L233" s="38"/>
      <c r="M233" s="38"/>
    </row>
    <row r="234" spans="1:13">
      <c r="A234" s="3">
        <f t="shared" si="11"/>
        <v>1</v>
      </c>
      <c r="B234" s="88"/>
      <c r="C234" s="194"/>
      <c r="D234" s="195"/>
      <c r="E234" s="193"/>
      <c r="F234" s="256">
        <f t="shared" si="9"/>
        <v>0</v>
      </c>
      <c r="G234" s="256" t="str">
        <f>IF(IFERROR(IF(Str_TypeDonneesCpt7=Cpt_Index,Tab_Compteur_7[[#This Row],[Index]]-E233,Tab_Compteur_7[[#This Row],[Quantité]])/Tab_Compteur_7[[#This Row],[Delta Jour]],"")&lt;0,"",IFERROR(IF(Str_TypeDonneesCpt7=Cpt_Index,Tab_Compteur_7[[#This Row],[Index]]-E233,Tab_Compteur_7[[#This Row],[Quantité]])/Tab_Compteur_7[[#This Row],[Delta Jour]],""))</f>
        <v/>
      </c>
      <c r="H234" s="256" t="str">
        <f>IFERROR(Tab_Compteur_7[[#This Row],[Montant]]/Tab_Compteur_7[[#This Row],[Delta Jour]],"")</f>
        <v/>
      </c>
      <c r="I234" s="215" t="str">
        <f t="shared" si="10"/>
        <v/>
      </c>
      <c r="J234" s="216"/>
      <c r="K234" s="38"/>
      <c r="L234" s="38"/>
      <c r="M234" s="38"/>
    </row>
    <row r="235" spans="1:13">
      <c r="A235" s="3">
        <f t="shared" si="11"/>
        <v>1</v>
      </c>
      <c r="B235" s="88"/>
      <c r="C235" s="194"/>
      <c r="D235" s="195"/>
      <c r="E235" s="193"/>
      <c r="F235" s="256">
        <f t="shared" si="9"/>
        <v>0</v>
      </c>
      <c r="G235" s="256" t="str">
        <f>IF(IFERROR(IF(Str_TypeDonneesCpt7=Cpt_Index,Tab_Compteur_7[[#This Row],[Index]]-E234,Tab_Compteur_7[[#This Row],[Quantité]])/Tab_Compteur_7[[#This Row],[Delta Jour]],"")&lt;0,"",IFERROR(IF(Str_TypeDonneesCpt7=Cpt_Index,Tab_Compteur_7[[#This Row],[Index]]-E234,Tab_Compteur_7[[#This Row],[Quantité]])/Tab_Compteur_7[[#This Row],[Delta Jour]],""))</f>
        <v/>
      </c>
      <c r="H235" s="256" t="str">
        <f>IFERROR(Tab_Compteur_7[[#This Row],[Montant]]/Tab_Compteur_7[[#This Row],[Delta Jour]],"")</f>
        <v/>
      </c>
      <c r="I235" s="215" t="str">
        <f t="shared" si="10"/>
        <v/>
      </c>
      <c r="J235" s="216"/>
      <c r="K235" s="38"/>
      <c r="L235" s="38"/>
      <c r="M235" s="38"/>
    </row>
    <row r="236" spans="1:13">
      <c r="A236" s="3">
        <f t="shared" si="11"/>
        <v>1</v>
      </c>
      <c r="B236" s="88"/>
      <c r="C236" s="194"/>
      <c r="D236" s="195"/>
      <c r="E236" s="193"/>
      <c r="F236" s="256">
        <f t="shared" si="9"/>
        <v>0</v>
      </c>
      <c r="G236" s="256" t="str">
        <f>IF(IFERROR(IF(Str_TypeDonneesCpt7=Cpt_Index,Tab_Compteur_7[[#This Row],[Index]]-E235,Tab_Compteur_7[[#This Row],[Quantité]])/Tab_Compteur_7[[#This Row],[Delta Jour]],"")&lt;0,"",IFERROR(IF(Str_TypeDonneesCpt7=Cpt_Index,Tab_Compteur_7[[#This Row],[Index]]-E235,Tab_Compteur_7[[#This Row],[Quantité]])/Tab_Compteur_7[[#This Row],[Delta Jour]],""))</f>
        <v/>
      </c>
      <c r="H236" s="256" t="str">
        <f>IFERROR(Tab_Compteur_7[[#This Row],[Montant]]/Tab_Compteur_7[[#This Row],[Delta Jour]],"")</f>
        <v/>
      </c>
      <c r="I236" s="215" t="str">
        <f t="shared" si="10"/>
        <v/>
      </c>
      <c r="J236" s="216"/>
      <c r="K236" s="38"/>
      <c r="L236" s="38"/>
      <c r="M236" s="38"/>
    </row>
    <row r="237" spans="1:13">
      <c r="A237" s="3">
        <f t="shared" si="11"/>
        <v>1</v>
      </c>
      <c r="B237" s="88"/>
      <c r="C237" s="194"/>
      <c r="D237" s="195"/>
      <c r="E237" s="193"/>
      <c r="F237" s="256">
        <f t="shared" si="9"/>
        <v>0</v>
      </c>
      <c r="G237" s="256" t="str">
        <f>IF(IFERROR(IF(Str_TypeDonneesCpt7=Cpt_Index,Tab_Compteur_7[[#This Row],[Index]]-E236,Tab_Compteur_7[[#This Row],[Quantité]])/Tab_Compteur_7[[#This Row],[Delta Jour]],"")&lt;0,"",IFERROR(IF(Str_TypeDonneesCpt7=Cpt_Index,Tab_Compteur_7[[#This Row],[Index]]-E236,Tab_Compteur_7[[#This Row],[Quantité]])/Tab_Compteur_7[[#This Row],[Delta Jour]],""))</f>
        <v/>
      </c>
      <c r="H237" s="256" t="str">
        <f>IFERROR(Tab_Compteur_7[[#This Row],[Montant]]/Tab_Compteur_7[[#This Row],[Delta Jour]],"")</f>
        <v/>
      </c>
      <c r="I237" s="215" t="str">
        <f t="shared" si="10"/>
        <v/>
      </c>
      <c r="J237" s="216"/>
      <c r="K237" s="38"/>
      <c r="L237" s="38"/>
      <c r="M237" s="38"/>
    </row>
    <row r="238" spans="1:13">
      <c r="A238" s="3">
        <f t="shared" si="11"/>
        <v>1</v>
      </c>
      <c r="B238" s="88"/>
      <c r="C238" s="194"/>
      <c r="D238" s="195"/>
      <c r="E238" s="193"/>
      <c r="F238" s="256">
        <f t="shared" si="9"/>
        <v>0</v>
      </c>
      <c r="G238" s="256" t="str">
        <f>IF(IFERROR(IF(Str_TypeDonneesCpt7=Cpt_Index,Tab_Compteur_7[[#This Row],[Index]]-E237,Tab_Compteur_7[[#This Row],[Quantité]])/Tab_Compteur_7[[#This Row],[Delta Jour]],"")&lt;0,"",IFERROR(IF(Str_TypeDonneesCpt7=Cpt_Index,Tab_Compteur_7[[#This Row],[Index]]-E237,Tab_Compteur_7[[#This Row],[Quantité]])/Tab_Compteur_7[[#This Row],[Delta Jour]],""))</f>
        <v/>
      </c>
      <c r="H238" s="256" t="str">
        <f>IFERROR(Tab_Compteur_7[[#This Row],[Montant]]/Tab_Compteur_7[[#This Row],[Delta Jour]],"")</f>
        <v/>
      </c>
      <c r="I238" s="215" t="str">
        <f t="shared" si="10"/>
        <v/>
      </c>
      <c r="J238" s="216"/>
      <c r="K238" s="38"/>
      <c r="L238" s="38"/>
      <c r="M238" s="38"/>
    </row>
    <row r="239" spans="1:13">
      <c r="A239" s="3">
        <f t="shared" si="11"/>
        <v>1</v>
      </c>
      <c r="B239" s="88"/>
      <c r="C239" s="194"/>
      <c r="D239" s="195"/>
      <c r="E239" s="193"/>
      <c r="F239" s="256">
        <f t="shared" si="9"/>
        <v>0</v>
      </c>
      <c r="G239" s="256" t="str">
        <f>IF(IFERROR(IF(Str_TypeDonneesCpt7=Cpt_Index,Tab_Compteur_7[[#This Row],[Index]]-E238,Tab_Compteur_7[[#This Row],[Quantité]])/Tab_Compteur_7[[#This Row],[Delta Jour]],"")&lt;0,"",IFERROR(IF(Str_TypeDonneesCpt7=Cpt_Index,Tab_Compteur_7[[#This Row],[Index]]-E238,Tab_Compteur_7[[#This Row],[Quantité]])/Tab_Compteur_7[[#This Row],[Delta Jour]],""))</f>
        <v/>
      </c>
      <c r="H239" s="256" t="str">
        <f>IFERROR(Tab_Compteur_7[[#This Row],[Montant]]/Tab_Compteur_7[[#This Row],[Delta Jour]],"")</f>
        <v/>
      </c>
      <c r="I239" s="215" t="str">
        <f t="shared" si="10"/>
        <v/>
      </c>
      <c r="J239" s="216"/>
      <c r="K239" s="38"/>
      <c r="L239" s="38"/>
      <c r="M239" s="38"/>
    </row>
    <row r="240" spans="1:13">
      <c r="A240" s="3">
        <f t="shared" si="11"/>
        <v>1</v>
      </c>
      <c r="B240" s="88"/>
      <c r="C240" s="194"/>
      <c r="D240" s="195"/>
      <c r="E240" s="193"/>
      <c r="F240" s="256">
        <f t="shared" si="9"/>
        <v>0</v>
      </c>
      <c r="G240" s="256" t="str">
        <f>IF(IFERROR(IF(Str_TypeDonneesCpt7=Cpt_Index,Tab_Compteur_7[[#This Row],[Index]]-E239,Tab_Compteur_7[[#This Row],[Quantité]])/Tab_Compteur_7[[#This Row],[Delta Jour]],"")&lt;0,"",IFERROR(IF(Str_TypeDonneesCpt7=Cpt_Index,Tab_Compteur_7[[#This Row],[Index]]-E239,Tab_Compteur_7[[#This Row],[Quantité]])/Tab_Compteur_7[[#This Row],[Delta Jour]],""))</f>
        <v/>
      </c>
      <c r="H240" s="256" t="str">
        <f>IFERROR(Tab_Compteur_7[[#This Row],[Montant]]/Tab_Compteur_7[[#This Row],[Delta Jour]],"")</f>
        <v/>
      </c>
      <c r="I240" s="215" t="str">
        <f t="shared" si="10"/>
        <v/>
      </c>
      <c r="J240" s="216"/>
      <c r="K240" s="38"/>
      <c r="L240" s="38"/>
      <c r="M240" s="38"/>
    </row>
    <row r="241" spans="1:13">
      <c r="A241" s="3">
        <f t="shared" si="11"/>
        <v>1</v>
      </c>
      <c r="B241" s="88"/>
      <c r="C241" s="194"/>
      <c r="D241" s="195"/>
      <c r="E241" s="193"/>
      <c r="F241" s="256">
        <f t="shared" si="9"/>
        <v>0</v>
      </c>
      <c r="G241" s="256" t="str">
        <f>IF(IFERROR(IF(Str_TypeDonneesCpt7=Cpt_Index,Tab_Compteur_7[[#This Row],[Index]]-E240,Tab_Compteur_7[[#This Row],[Quantité]])/Tab_Compteur_7[[#This Row],[Delta Jour]],"")&lt;0,"",IFERROR(IF(Str_TypeDonneesCpt7=Cpt_Index,Tab_Compteur_7[[#This Row],[Index]]-E240,Tab_Compteur_7[[#This Row],[Quantité]])/Tab_Compteur_7[[#This Row],[Delta Jour]],""))</f>
        <v/>
      </c>
      <c r="H241" s="256" t="str">
        <f>IFERROR(Tab_Compteur_7[[#This Row],[Montant]]/Tab_Compteur_7[[#This Row],[Delta Jour]],"")</f>
        <v/>
      </c>
      <c r="I241" s="215" t="str">
        <f t="shared" si="10"/>
        <v/>
      </c>
      <c r="J241" s="216"/>
      <c r="K241" s="38"/>
      <c r="L241" s="38"/>
      <c r="M241" s="38"/>
    </row>
    <row r="242" spans="1:13">
      <c r="A242" s="3">
        <f t="shared" si="11"/>
        <v>1</v>
      </c>
      <c r="B242" s="88"/>
      <c r="C242" s="194"/>
      <c r="D242" s="195"/>
      <c r="E242" s="193"/>
      <c r="F242" s="256">
        <f t="shared" si="9"/>
        <v>0</v>
      </c>
      <c r="G242" s="256" t="str">
        <f>IF(IFERROR(IF(Str_TypeDonneesCpt7=Cpt_Index,Tab_Compteur_7[[#This Row],[Index]]-E241,Tab_Compteur_7[[#This Row],[Quantité]])/Tab_Compteur_7[[#This Row],[Delta Jour]],"")&lt;0,"",IFERROR(IF(Str_TypeDonneesCpt7=Cpt_Index,Tab_Compteur_7[[#This Row],[Index]]-E241,Tab_Compteur_7[[#This Row],[Quantité]])/Tab_Compteur_7[[#This Row],[Delta Jour]],""))</f>
        <v/>
      </c>
      <c r="H242" s="256" t="str">
        <f>IFERROR(Tab_Compteur_7[[#This Row],[Montant]]/Tab_Compteur_7[[#This Row],[Delta Jour]],"")</f>
        <v/>
      </c>
      <c r="I242" s="215" t="str">
        <f t="shared" si="10"/>
        <v/>
      </c>
      <c r="J242" s="216"/>
      <c r="K242" s="38"/>
      <c r="L242" s="38"/>
      <c r="M242" s="38"/>
    </row>
    <row r="243" spans="1:13">
      <c r="A243" s="3">
        <f t="shared" si="11"/>
        <v>1</v>
      </c>
      <c r="B243" s="88"/>
      <c r="C243" s="194"/>
      <c r="D243" s="195"/>
      <c r="E243" s="193"/>
      <c r="F243" s="256">
        <f t="shared" si="9"/>
        <v>0</v>
      </c>
      <c r="G243" s="256" t="str">
        <f>IF(IFERROR(IF(Str_TypeDonneesCpt7=Cpt_Index,Tab_Compteur_7[[#This Row],[Index]]-E242,Tab_Compteur_7[[#This Row],[Quantité]])/Tab_Compteur_7[[#This Row],[Delta Jour]],"")&lt;0,"",IFERROR(IF(Str_TypeDonneesCpt7=Cpt_Index,Tab_Compteur_7[[#This Row],[Index]]-E242,Tab_Compteur_7[[#This Row],[Quantité]])/Tab_Compteur_7[[#This Row],[Delta Jour]],""))</f>
        <v/>
      </c>
      <c r="H243" s="256" t="str">
        <f>IFERROR(Tab_Compteur_7[[#This Row],[Montant]]/Tab_Compteur_7[[#This Row],[Delta Jour]],"")</f>
        <v/>
      </c>
      <c r="I243" s="215" t="str">
        <f t="shared" si="10"/>
        <v/>
      </c>
      <c r="J243" s="216"/>
      <c r="K243" s="38"/>
      <c r="L243" s="38"/>
      <c r="M243" s="38"/>
    </row>
  </sheetData>
  <sheetProtection sheet="1" objects="1" scenarios="1"/>
  <protectedRanges>
    <protectedRange sqref="C4:D59" name="Donnée_compteur1"/>
    <protectedRange sqref="L2:M2 J34:M243 J8:M10 K5:M7 J2:J7 K3:M3 C60:D243 K244:N1048576 A4:B243" name="Données_compteur7"/>
    <protectedRange sqref="E2" name="Compteur_1_1"/>
    <protectedRange sqref="I2" name="Compteur_1_1_1"/>
    <protectedRange sqref="K4:M4" name="Compteur_1"/>
    <protectedRange sqref="L1 E1 I1" name="Compteur_1_2"/>
  </protectedRanges>
  <mergeCells count="2">
    <mergeCell ref="L2:M2"/>
    <mergeCell ref="K11:M33"/>
  </mergeCells>
  <conditionalFormatting sqref="B4:B243">
    <cfRule type="expression" dxfId="42"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1"/>
  <dimension ref="A1:O243"/>
  <sheetViews>
    <sheetView workbookViewId="0">
      <selection activeCell="B4" sqref="B4:E8"/>
    </sheetView>
  </sheetViews>
  <sheetFormatPr baseColWidth="10" defaultColWidth="0" defaultRowHeight="14.5" zeroHeight="1"/>
  <cols>
    <col min="1" max="1" width="17.54296875" customWidth="1"/>
    <col min="2" max="2" width="16.54296875" style="193" customWidth="1"/>
    <col min="3" max="3" width="13.81640625" customWidth="1"/>
    <col min="4" max="4" width="15.453125" style="127" customWidth="1"/>
    <col min="5" max="5" width="11.453125" style="193" customWidth="1"/>
    <col min="6" max="6" width="11.54296875" hidden="1" customWidth="1"/>
    <col min="7" max="8" width="11.453125" hidden="1" customWidth="1"/>
    <col min="9" max="9" width="10.90625" customWidth="1"/>
    <col min="10" max="10" width="13.7265625" style="215" customWidth="1"/>
    <col min="11" max="11" width="21.7265625" style="193" customWidth="1"/>
    <col min="12" max="13" width="11.453125" customWidth="1"/>
    <col min="14" max="14" width="21.7265625" customWidth="1"/>
    <col min="15" max="15" width="0" hidden="1" customWidth="1"/>
    <col min="16" max="16384" width="11.453125" hidden="1"/>
  </cols>
  <sheetData>
    <row r="1" spans="1:13" ht="33.75" customHeight="1">
      <c r="A1" s="57" t="s">
        <v>401</v>
      </c>
      <c r="B1" s="235" t="s">
        <v>402</v>
      </c>
      <c r="C1" s="132" t="s">
        <v>403</v>
      </c>
      <c r="D1" s="59" t="str">
        <f>CONCATENATE("Montant ",Controle_des_données!$A$40)</f>
        <v>Montant TTC</v>
      </c>
      <c r="E1" s="262" t="s">
        <v>218</v>
      </c>
      <c r="F1" s="29" t="s">
        <v>404</v>
      </c>
      <c r="G1" s="30" t="s">
        <v>405</v>
      </c>
      <c r="H1" s="30" t="s">
        <v>406</v>
      </c>
      <c r="I1" s="30" t="s">
        <v>407</v>
      </c>
      <c r="J1" s="188" t="s">
        <v>408</v>
      </c>
      <c r="K1" s="178" t="s">
        <v>19</v>
      </c>
      <c r="L1" s="186" t="str">
        <f>IF(Site!C45="", "Compteur 8",Site!C45)</f>
        <v>Compteur 8</v>
      </c>
    </row>
    <row r="2" spans="1:13" ht="18.75" hidden="1" customHeight="1">
      <c r="A2" s="28" t="s">
        <v>401</v>
      </c>
      <c r="B2" s="86" t="s">
        <v>402</v>
      </c>
      <c r="C2" s="58" t="s">
        <v>403</v>
      </c>
      <c r="D2" s="143" t="s">
        <v>437</v>
      </c>
      <c r="E2" s="262" t="s">
        <v>218</v>
      </c>
      <c r="F2" s="29" t="s">
        <v>404</v>
      </c>
      <c r="G2" s="43" t="s">
        <v>405</v>
      </c>
      <c r="H2" s="44" t="s">
        <v>406</v>
      </c>
      <c r="I2" s="215" t="s">
        <v>407</v>
      </c>
      <c r="J2" s="191" t="s">
        <v>408</v>
      </c>
      <c r="K2" s="178" t="s">
        <v>19</v>
      </c>
      <c r="L2" s="574">
        <f>Site!C45</f>
        <v>0</v>
      </c>
      <c r="M2" s="575"/>
    </row>
    <row r="3" spans="1:13" hidden="1">
      <c r="A3" s="3"/>
      <c r="B3" s="239">
        <f>A4-1</f>
        <v>-1</v>
      </c>
      <c r="C3" s="210">
        <v>0</v>
      </c>
      <c r="D3" s="127">
        <v>0</v>
      </c>
      <c r="F3">
        <f>IFERROR(B3-A3+1,"")</f>
        <v>0</v>
      </c>
      <c r="G3">
        <v>0</v>
      </c>
      <c r="H3">
        <v>0</v>
      </c>
      <c r="I3" s="215">
        <f t="shared" ref="I3:I66" si="0">G3</f>
        <v>0</v>
      </c>
      <c r="J3" s="192"/>
      <c r="K3" s="38"/>
      <c r="L3" s="38"/>
      <c r="M3" s="38"/>
    </row>
    <row r="4" spans="1:13">
      <c r="A4" s="3">
        <f>Site!I45</f>
        <v>0</v>
      </c>
      <c r="B4" s="239"/>
      <c r="C4" s="194"/>
      <c r="D4" s="195"/>
      <c r="F4" s="193">
        <f>IFERROR(B4-A4+1,"")</f>
        <v>1</v>
      </c>
      <c r="G4" s="203">
        <f>IF(IFERROR(IF(Str_TypeDonneesCpt8=Cpt_Index,Tab_Compteur_8[[#This Row],[Index]]-M4,Tab_Compteur_8[[#This Row],[Quantité]])/Tab_Compteur_8[[#This Row],[Delta Jour]],"")&lt;0,"",IFERROR(IF(Str_TypeDonneesCpt8=Cpt_Index,Tab_Compteur_8[[#This Row],[Index]]-M4,Tab_Compteur_8[[#This Row],[Quantité]])/Tab_Compteur_8[[#This Row],[Delta Jour]],""))</f>
        <v>0</v>
      </c>
      <c r="H4" s="193">
        <f>IFERROR(Tab_Compteur_8[[#This Row],[Montant]]/Tab_Compteur_8[[#This Row],[Delta Jour]],"")</f>
        <v>0</v>
      </c>
      <c r="I4" s="215">
        <f t="shared" si="0"/>
        <v>0</v>
      </c>
      <c r="J4" s="216"/>
      <c r="K4" s="223" t="s">
        <v>409</v>
      </c>
      <c r="L4" s="178"/>
      <c r="M4" s="224">
        <v>0</v>
      </c>
    </row>
    <row r="5" spans="1:13">
      <c r="A5" s="3">
        <f>IFERROR(B4+1,0)</f>
        <v>1</v>
      </c>
      <c r="B5" s="88"/>
      <c r="C5" s="194"/>
      <c r="D5" s="195"/>
      <c r="F5" s="193">
        <f t="shared" ref="F5:F68" si="1">IFERROR(B5-A5+1,"")</f>
        <v>0</v>
      </c>
      <c r="G5" s="193" t="str">
        <f>IF(IFERROR(IF(Str_TypeDonneesCpt8=Cpt_Index,Tab_Compteur_8[[#This Row],[Index]]-E4,Tab_Compteur_8[[#This Row],[Quantité]])/Tab_Compteur_8[[#This Row],[Delta Jour]],"")&lt;0,"",IFERROR(IF(Str_TypeDonneesCpt8=Cpt_Index,Tab_Compteur_8[[#This Row],[Index]]-E4,Tab_Compteur_8[[#This Row],[Quantité]])/Tab_Compteur_8[[#This Row],[Delta Jour]],""))</f>
        <v/>
      </c>
      <c r="H5" s="193" t="str">
        <f>IFERROR(Tab_Compteur_8[[#This Row],[Montant]]/Tab_Compteur_8[[#This Row],[Delta Jour]],"")</f>
        <v/>
      </c>
      <c r="I5" s="215" t="str">
        <f t="shared" si="0"/>
        <v/>
      </c>
      <c r="J5" s="216"/>
      <c r="K5" s="38"/>
      <c r="L5" s="38"/>
      <c r="M5" s="38"/>
    </row>
    <row r="6" spans="1:13">
      <c r="A6" s="3">
        <f t="shared" ref="A6:A69" si="2">IFERROR(B5+1,0)</f>
        <v>1</v>
      </c>
      <c r="B6" s="88"/>
      <c r="C6" s="194"/>
      <c r="D6" s="195"/>
      <c r="F6" s="193">
        <f t="shared" si="1"/>
        <v>0</v>
      </c>
      <c r="G6" s="193" t="str">
        <f>IF(IFERROR(IF(Str_TypeDonneesCpt8=Cpt_Index,Tab_Compteur_8[[#This Row],[Index]]-E5,Tab_Compteur_8[[#This Row],[Quantité]])/Tab_Compteur_8[[#This Row],[Delta Jour]],"")&lt;0,"",IFERROR(IF(Str_TypeDonneesCpt8=Cpt_Index,Tab_Compteur_8[[#This Row],[Index]]-E5,Tab_Compteur_8[[#This Row],[Quantité]])/Tab_Compteur_8[[#This Row],[Delta Jour]],""))</f>
        <v/>
      </c>
      <c r="H6" s="193" t="str">
        <f>IFERROR(Tab_Compteur_8[[#This Row],[Montant]]/Tab_Compteur_8[[#This Row],[Delta Jour]],"")</f>
        <v/>
      </c>
      <c r="I6" s="215" t="str">
        <f t="shared" si="0"/>
        <v/>
      </c>
      <c r="J6" s="216"/>
      <c r="K6" s="38"/>
      <c r="L6" s="38"/>
      <c r="M6" s="38"/>
    </row>
    <row r="7" spans="1:13">
      <c r="A7" s="3">
        <f t="shared" si="2"/>
        <v>1</v>
      </c>
      <c r="B7" s="88"/>
      <c r="C7" s="194"/>
      <c r="D7" s="195"/>
      <c r="F7" s="193">
        <f t="shared" si="1"/>
        <v>0</v>
      </c>
      <c r="G7" s="193" t="str">
        <f>IF(IFERROR(IF(Str_TypeDonneesCpt8=Cpt_Index,Tab_Compteur_8[[#This Row],[Index]]-E6,Tab_Compteur_8[[#This Row],[Quantité]])/Tab_Compteur_8[[#This Row],[Delta Jour]],"")&lt;0,"",IFERROR(IF(Str_TypeDonneesCpt8=Cpt_Index,Tab_Compteur_8[[#This Row],[Index]]-E6,Tab_Compteur_8[[#This Row],[Quantité]])/Tab_Compteur_8[[#This Row],[Delta Jour]],""))</f>
        <v/>
      </c>
      <c r="H7" s="193" t="str">
        <f>IFERROR(Tab_Compteur_8[[#This Row],[Montant]]/Tab_Compteur_8[[#This Row],[Delta Jour]],"")</f>
        <v/>
      </c>
      <c r="I7" s="215" t="str">
        <f t="shared" si="0"/>
        <v/>
      </c>
      <c r="J7" s="216"/>
      <c r="K7" s="38"/>
      <c r="L7" s="38"/>
      <c r="M7" s="38"/>
    </row>
    <row r="8" spans="1:13">
      <c r="A8" s="3">
        <f t="shared" si="2"/>
        <v>1</v>
      </c>
      <c r="B8" s="88"/>
      <c r="C8" s="194"/>
      <c r="D8" s="195"/>
      <c r="F8" s="193">
        <f t="shared" si="1"/>
        <v>0</v>
      </c>
      <c r="G8" s="193" t="str">
        <f>IF(IFERROR(IF(Str_TypeDonneesCpt8=Cpt_Index,Tab_Compteur_8[[#This Row],[Index]]-E7,Tab_Compteur_8[[#This Row],[Quantité]])/Tab_Compteur_8[[#This Row],[Delta Jour]],"")&lt;0,"",IFERROR(IF(Str_TypeDonneesCpt8=Cpt_Index,Tab_Compteur_8[[#This Row],[Index]]-E7,Tab_Compteur_8[[#This Row],[Quantité]])/Tab_Compteur_8[[#This Row],[Delta Jour]],""))</f>
        <v/>
      </c>
      <c r="H8" s="193" t="str">
        <f>IFERROR(Tab_Compteur_8[[#This Row],[Montant]]/Tab_Compteur_8[[#This Row],[Delta Jour]],"")</f>
        <v/>
      </c>
      <c r="I8" s="215" t="str">
        <f t="shared" si="0"/>
        <v/>
      </c>
      <c r="J8" s="216"/>
      <c r="K8" s="179"/>
      <c r="L8" s="179"/>
      <c r="M8" s="179"/>
    </row>
    <row r="9" spans="1:13">
      <c r="A9" s="3">
        <f t="shared" si="2"/>
        <v>1</v>
      </c>
      <c r="B9" s="88"/>
      <c r="C9" s="194"/>
      <c r="D9" s="195"/>
      <c r="F9" s="193">
        <f t="shared" si="1"/>
        <v>0</v>
      </c>
      <c r="G9" s="193" t="str">
        <f>IF(IFERROR(IF(Str_TypeDonneesCpt8=Cpt_Index,Tab_Compteur_8[[#This Row],[Index]]-E8,Tab_Compteur_8[[#This Row],[Quantité]])/Tab_Compteur_8[[#This Row],[Delta Jour]],"")&lt;0,"",IFERROR(IF(Str_TypeDonneesCpt8=Cpt_Index,Tab_Compteur_8[[#This Row],[Index]]-E8,Tab_Compteur_8[[#This Row],[Quantité]])/Tab_Compteur_8[[#This Row],[Delta Jour]],""))</f>
        <v/>
      </c>
      <c r="H9" s="193" t="str">
        <f>IFERROR(Tab_Compteur_8[[#This Row],[Montant]]/Tab_Compteur_8[[#This Row],[Delta Jour]],"")</f>
        <v/>
      </c>
      <c r="I9" s="215" t="str">
        <f t="shared" si="0"/>
        <v/>
      </c>
      <c r="J9" s="216"/>
      <c r="K9" s="179"/>
      <c r="L9" s="179"/>
      <c r="M9" s="179"/>
    </row>
    <row r="10" spans="1:13">
      <c r="A10" s="3">
        <f t="shared" si="2"/>
        <v>1</v>
      </c>
      <c r="B10" s="88"/>
      <c r="C10" s="194"/>
      <c r="D10" s="195"/>
      <c r="F10" s="193">
        <f t="shared" si="1"/>
        <v>0</v>
      </c>
      <c r="G10" s="193" t="str">
        <f>IF(IFERROR(IF(Str_TypeDonneesCpt8=Cpt_Index,Tab_Compteur_8[[#This Row],[Index]]-E9,Tab_Compteur_8[[#This Row],[Quantité]])/Tab_Compteur_8[[#This Row],[Delta Jour]],"")&lt;0,"",IFERROR(IF(Str_TypeDonneesCpt8=Cpt_Index,Tab_Compteur_8[[#This Row],[Index]]-E9,Tab_Compteur_8[[#This Row],[Quantité]])/Tab_Compteur_8[[#This Row],[Delta Jour]],""))</f>
        <v/>
      </c>
      <c r="H10" s="193" t="str">
        <f>IFERROR(Tab_Compteur_8[[#This Row],[Montant]]/Tab_Compteur_8[[#This Row],[Delta Jour]],"")</f>
        <v/>
      </c>
      <c r="I10" s="215" t="str">
        <f t="shared" si="0"/>
        <v/>
      </c>
      <c r="J10" s="216"/>
      <c r="K10" s="179"/>
      <c r="L10" s="179"/>
      <c r="M10" s="179"/>
    </row>
    <row r="11" spans="1:13">
      <c r="A11" s="3">
        <f t="shared" si="2"/>
        <v>1</v>
      </c>
      <c r="B11" s="88"/>
      <c r="C11" s="194"/>
      <c r="D11" s="195"/>
      <c r="F11" s="193">
        <f t="shared" si="1"/>
        <v>0</v>
      </c>
      <c r="G11" s="193" t="str">
        <f>IF(IFERROR(IF(Str_TypeDonneesCpt8=Cpt_Index,Tab_Compteur_8[[#This Row],[Index]]-E10,Tab_Compteur_8[[#This Row],[Quantité]])/Tab_Compteur_8[[#This Row],[Delta Jour]],"")&lt;0,"",IFERROR(IF(Str_TypeDonneesCpt8=Cpt_Index,Tab_Compteur_8[[#This Row],[Index]]-E10,Tab_Compteur_8[[#This Row],[Quantité]])/Tab_Compteur_8[[#This Row],[Delta Jour]],""))</f>
        <v/>
      </c>
      <c r="H11" s="193" t="str">
        <f>IFERROR(Tab_Compteur_8[[#This Row],[Montant]]/Tab_Compteur_8[[#This Row],[Delta Jour]],"")</f>
        <v/>
      </c>
      <c r="I11" s="215" t="str">
        <f t="shared" si="0"/>
        <v/>
      </c>
      <c r="J11" s="216"/>
      <c r="K11" s="573" t="str">
        <f>Compteur_1!$K$34</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En cas de multiples factures/livraisons pour un même mois, merci d'additionner les quantités et les montants et de mettre la dernière date. 
Une fois toutes vos données de comptage complétées, Cliquez sur le bouton "Actualiser tout" la barre d'outils "Données" ou avec  le raccourcis clavier Ctrl+alt+F5</v>
      </c>
      <c r="L11" s="573"/>
      <c r="M11" s="573"/>
    </row>
    <row r="12" spans="1:13">
      <c r="A12" s="3">
        <f t="shared" si="2"/>
        <v>1</v>
      </c>
      <c r="B12" s="88"/>
      <c r="C12" s="194"/>
      <c r="D12" s="195"/>
      <c r="F12" s="193">
        <f t="shared" si="1"/>
        <v>0</v>
      </c>
      <c r="G12" s="193" t="str">
        <f>IF(IFERROR(IF(Str_TypeDonneesCpt8=Cpt_Index,Tab_Compteur_8[[#This Row],[Index]]-E11,Tab_Compteur_8[[#This Row],[Quantité]])/Tab_Compteur_8[[#This Row],[Delta Jour]],"")&lt;0,"",IFERROR(IF(Str_TypeDonneesCpt8=Cpt_Index,Tab_Compteur_8[[#This Row],[Index]]-E11,Tab_Compteur_8[[#This Row],[Quantité]])/Tab_Compteur_8[[#This Row],[Delta Jour]],""))</f>
        <v/>
      </c>
      <c r="H12" s="193" t="str">
        <f>IFERROR(Tab_Compteur_8[[#This Row],[Montant]]/Tab_Compteur_8[[#This Row],[Delta Jour]],"")</f>
        <v/>
      </c>
      <c r="I12" s="215" t="str">
        <f t="shared" si="0"/>
        <v/>
      </c>
      <c r="J12" s="216"/>
      <c r="K12" s="573"/>
      <c r="L12" s="573"/>
      <c r="M12" s="573"/>
    </row>
    <row r="13" spans="1:13">
      <c r="A13" s="3">
        <f t="shared" si="2"/>
        <v>1</v>
      </c>
      <c r="B13" s="88"/>
      <c r="C13" s="194"/>
      <c r="D13" s="195"/>
      <c r="F13" s="193">
        <f t="shared" si="1"/>
        <v>0</v>
      </c>
      <c r="G13" s="193" t="str">
        <f>IF(IFERROR(IF(Str_TypeDonneesCpt8=Cpt_Index,Tab_Compteur_8[[#This Row],[Index]]-E12,Tab_Compteur_8[[#This Row],[Quantité]])/Tab_Compteur_8[[#This Row],[Delta Jour]],"")&lt;0,"",IFERROR(IF(Str_TypeDonneesCpt8=Cpt_Index,Tab_Compteur_8[[#This Row],[Index]]-E12,Tab_Compteur_8[[#This Row],[Quantité]])/Tab_Compteur_8[[#This Row],[Delta Jour]],""))</f>
        <v/>
      </c>
      <c r="H13" s="193" t="str">
        <f>IFERROR(Tab_Compteur_8[[#This Row],[Montant]]/Tab_Compteur_8[[#This Row],[Delta Jour]],"")</f>
        <v/>
      </c>
      <c r="I13" s="215" t="str">
        <f t="shared" si="0"/>
        <v/>
      </c>
      <c r="J13" s="216"/>
      <c r="K13" s="573"/>
      <c r="L13" s="573"/>
      <c r="M13" s="573"/>
    </row>
    <row r="14" spans="1:13">
      <c r="A14" s="3">
        <f t="shared" si="2"/>
        <v>1</v>
      </c>
      <c r="B14" s="88"/>
      <c r="C14" s="194"/>
      <c r="D14" s="195"/>
      <c r="F14" s="193">
        <f t="shared" si="1"/>
        <v>0</v>
      </c>
      <c r="G14" s="193" t="str">
        <f>IF(IFERROR(IF(Str_TypeDonneesCpt8=Cpt_Index,Tab_Compteur_8[[#This Row],[Index]]-E13,Tab_Compteur_8[[#This Row],[Quantité]])/Tab_Compteur_8[[#This Row],[Delta Jour]],"")&lt;0,"",IFERROR(IF(Str_TypeDonneesCpt8=Cpt_Index,Tab_Compteur_8[[#This Row],[Index]]-E13,Tab_Compteur_8[[#This Row],[Quantité]])/Tab_Compteur_8[[#This Row],[Delta Jour]],""))</f>
        <v/>
      </c>
      <c r="H14" s="193" t="str">
        <f>IFERROR(Tab_Compteur_8[[#This Row],[Montant]]/Tab_Compteur_8[[#This Row],[Delta Jour]],"")</f>
        <v/>
      </c>
      <c r="I14" s="215" t="str">
        <f t="shared" si="0"/>
        <v/>
      </c>
      <c r="J14" s="216"/>
      <c r="K14" s="573"/>
      <c r="L14" s="573"/>
      <c r="M14" s="573"/>
    </row>
    <row r="15" spans="1:13">
      <c r="A15" s="3">
        <f t="shared" si="2"/>
        <v>1</v>
      </c>
      <c r="B15" s="88"/>
      <c r="C15" s="194"/>
      <c r="D15" s="195"/>
      <c r="F15" s="193">
        <f t="shared" si="1"/>
        <v>0</v>
      </c>
      <c r="G15" s="193" t="str">
        <f>IF(IFERROR(IF(Str_TypeDonneesCpt8=Cpt_Index,Tab_Compteur_8[[#This Row],[Index]]-E14,Tab_Compteur_8[[#This Row],[Quantité]])/Tab_Compteur_8[[#This Row],[Delta Jour]],"")&lt;0,"",IFERROR(IF(Str_TypeDonneesCpt8=Cpt_Index,Tab_Compteur_8[[#This Row],[Index]]-E14,Tab_Compteur_8[[#This Row],[Quantité]])/Tab_Compteur_8[[#This Row],[Delta Jour]],""))</f>
        <v/>
      </c>
      <c r="H15" s="193" t="str">
        <f>IFERROR(Tab_Compteur_8[[#This Row],[Montant]]/Tab_Compteur_8[[#This Row],[Delta Jour]],"")</f>
        <v/>
      </c>
      <c r="I15" s="215" t="str">
        <f t="shared" si="0"/>
        <v/>
      </c>
      <c r="J15" s="216"/>
      <c r="K15" s="573"/>
      <c r="L15" s="573"/>
      <c r="M15" s="573"/>
    </row>
    <row r="16" spans="1:13">
      <c r="A16" s="3">
        <f t="shared" si="2"/>
        <v>1</v>
      </c>
      <c r="B16" s="88"/>
      <c r="C16" s="194"/>
      <c r="D16" s="195"/>
      <c r="F16" s="193">
        <f t="shared" si="1"/>
        <v>0</v>
      </c>
      <c r="G16" s="193" t="str">
        <f>IF(IFERROR(IF(Str_TypeDonneesCpt8=Cpt_Index,Tab_Compteur_8[[#This Row],[Index]]-E15,Tab_Compteur_8[[#This Row],[Quantité]])/Tab_Compteur_8[[#This Row],[Delta Jour]],"")&lt;0,"",IFERROR(IF(Str_TypeDonneesCpt8=Cpt_Index,Tab_Compteur_8[[#This Row],[Index]]-E15,Tab_Compteur_8[[#This Row],[Quantité]])/Tab_Compteur_8[[#This Row],[Delta Jour]],""))</f>
        <v/>
      </c>
      <c r="H16" s="193" t="str">
        <f>IFERROR(Tab_Compteur_8[[#This Row],[Montant]]/Tab_Compteur_8[[#This Row],[Delta Jour]],"")</f>
        <v/>
      </c>
      <c r="I16" s="215" t="str">
        <f t="shared" si="0"/>
        <v/>
      </c>
      <c r="J16" s="216"/>
      <c r="K16" s="573"/>
      <c r="L16" s="573"/>
      <c r="M16" s="573"/>
    </row>
    <row r="17" spans="1:13">
      <c r="A17" s="3">
        <f t="shared" si="2"/>
        <v>1</v>
      </c>
      <c r="B17" s="88"/>
      <c r="C17" s="194"/>
      <c r="D17" s="195"/>
      <c r="F17" s="193">
        <f t="shared" si="1"/>
        <v>0</v>
      </c>
      <c r="G17" s="193" t="str">
        <f>IF(IFERROR(IF(Str_TypeDonneesCpt8=Cpt_Index,Tab_Compteur_8[[#This Row],[Index]]-E16,Tab_Compteur_8[[#This Row],[Quantité]])/Tab_Compteur_8[[#This Row],[Delta Jour]],"")&lt;0,"",IFERROR(IF(Str_TypeDonneesCpt8=Cpt_Index,Tab_Compteur_8[[#This Row],[Index]]-E16,Tab_Compteur_8[[#This Row],[Quantité]])/Tab_Compteur_8[[#This Row],[Delta Jour]],""))</f>
        <v/>
      </c>
      <c r="H17" s="193" t="str">
        <f>IFERROR(Tab_Compteur_8[[#This Row],[Montant]]/Tab_Compteur_8[[#This Row],[Delta Jour]],"")</f>
        <v/>
      </c>
      <c r="I17" s="215" t="str">
        <f t="shared" si="0"/>
        <v/>
      </c>
      <c r="J17" s="216"/>
      <c r="K17" s="573"/>
      <c r="L17" s="573"/>
      <c r="M17" s="573"/>
    </row>
    <row r="18" spans="1:13">
      <c r="A18" s="3">
        <f t="shared" si="2"/>
        <v>1</v>
      </c>
      <c r="B18" s="88"/>
      <c r="C18" s="196"/>
      <c r="D18" s="195"/>
      <c r="F18" s="193">
        <f t="shared" si="1"/>
        <v>0</v>
      </c>
      <c r="G18" s="193" t="str">
        <f>IF(IFERROR(IF(Str_TypeDonneesCpt8=Cpt_Index,Tab_Compteur_8[[#This Row],[Index]]-E17,Tab_Compteur_8[[#This Row],[Quantité]])/Tab_Compteur_8[[#This Row],[Delta Jour]],"")&lt;0,"",IFERROR(IF(Str_TypeDonneesCpt8=Cpt_Index,Tab_Compteur_8[[#This Row],[Index]]-E17,Tab_Compteur_8[[#This Row],[Quantité]])/Tab_Compteur_8[[#This Row],[Delta Jour]],""))</f>
        <v/>
      </c>
      <c r="H18" s="193" t="str">
        <f>IFERROR(Tab_Compteur_8[[#This Row],[Montant]]/Tab_Compteur_8[[#This Row],[Delta Jour]],"")</f>
        <v/>
      </c>
      <c r="I18" s="215" t="str">
        <f t="shared" si="0"/>
        <v/>
      </c>
      <c r="J18" s="216"/>
      <c r="K18" s="573"/>
      <c r="L18" s="573"/>
      <c r="M18" s="573"/>
    </row>
    <row r="19" spans="1:13">
      <c r="A19" s="3">
        <f t="shared" si="2"/>
        <v>1</v>
      </c>
      <c r="B19" s="88"/>
      <c r="C19" s="197"/>
      <c r="D19" s="198"/>
      <c r="F19" s="193">
        <f t="shared" si="1"/>
        <v>0</v>
      </c>
      <c r="G19" s="193" t="str">
        <f>IF(IFERROR(IF(Str_TypeDonneesCpt8=Cpt_Index,Tab_Compteur_8[[#This Row],[Index]]-E18,Tab_Compteur_8[[#This Row],[Quantité]])/Tab_Compteur_8[[#This Row],[Delta Jour]],"")&lt;0,"",IFERROR(IF(Str_TypeDonneesCpt8=Cpt_Index,Tab_Compteur_8[[#This Row],[Index]]-E18,Tab_Compteur_8[[#This Row],[Quantité]])/Tab_Compteur_8[[#This Row],[Delta Jour]],""))</f>
        <v/>
      </c>
      <c r="H19" s="193" t="str">
        <f>IFERROR(Tab_Compteur_8[[#This Row],[Montant]]/Tab_Compteur_8[[#This Row],[Delta Jour]],"")</f>
        <v/>
      </c>
      <c r="I19" s="215" t="str">
        <f t="shared" si="0"/>
        <v/>
      </c>
      <c r="J19" s="216"/>
      <c r="K19" s="573"/>
      <c r="L19" s="573"/>
      <c r="M19" s="573"/>
    </row>
    <row r="20" spans="1:13">
      <c r="A20" s="3">
        <f t="shared" si="2"/>
        <v>1</v>
      </c>
      <c r="B20" s="88"/>
      <c r="C20" s="199"/>
      <c r="D20" s="198"/>
      <c r="F20" s="193">
        <f t="shared" si="1"/>
        <v>0</v>
      </c>
      <c r="G20" s="193" t="str">
        <f>IF(IFERROR(IF(Str_TypeDonneesCpt8=Cpt_Index,Tab_Compteur_8[[#This Row],[Index]]-E19,Tab_Compteur_8[[#This Row],[Quantité]])/Tab_Compteur_8[[#This Row],[Delta Jour]],"")&lt;0,"",IFERROR(IF(Str_TypeDonneesCpt8=Cpt_Index,Tab_Compteur_8[[#This Row],[Index]]-E19,Tab_Compteur_8[[#This Row],[Quantité]])/Tab_Compteur_8[[#This Row],[Delta Jour]],""))</f>
        <v/>
      </c>
      <c r="H20" s="193" t="str">
        <f>IFERROR(Tab_Compteur_8[[#This Row],[Montant]]/Tab_Compteur_8[[#This Row],[Delta Jour]],"")</f>
        <v/>
      </c>
      <c r="I20" s="215" t="str">
        <f t="shared" si="0"/>
        <v/>
      </c>
      <c r="J20" s="216"/>
      <c r="K20" s="573"/>
      <c r="L20" s="573"/>
      <c r="M20" s="573"/>
    </row>
    <row r="21" spans="1:13">
      <c r="A21" s="3">
        <f t="shared" si="2"/>
        <v>1</v>
      </c>
      <c r="B21" s="88"/>
      <c r="C21" s="199"/>
      <c r="D21" s="198"/>
      <c r="F21" s="193">
        <f t="shared" si="1"/>
        <v>0</v>
      </c>
      <c r="G21" s="193" t="str">
        <f>IF(IFERROR(IF(Str_TypeDonneesCpt8=Cpt_Index,Tab_Compteur_8[[#This Row],[Index]]-E20,Tab_Compteur_8[[#This Row],[Quantité]])/Tab_Compteur_8[[#This Row],[Delta Jour]],"")&lt;0,"",IFERROR(IF(Str_TypeDonneesCpt8=Cpt_Index,Tab_Compteur_8[[#This Row],[Index]]-E20,Tab_Compteur_8[[#This Row],[Quantité]])/Tab_Compteur_8[[#This Row],[Delta Jour]],""))</f>
        <v/>
      </c>
      <c r="H21" s="193" t="str">
        <f>IFERROR(Tab_Compteur_8[[#This Row],[Montant]]/Tab_Compteur_8[[#This Row],[Delta Jour]],"")</f>
        <v/>
      </c>
      <c r="I21" s="215" t="str">
        <f t="shared" si="0"/>
        <v/>
      </c>
      <c r="J21" s="216"/>
      <c r="K21" s="573"/>
      <c r="L21" s="573"/>
      <c r="M21" s="573"/>
    </row>
    <row r="22" spans="1:13">
      <c r="A22" s="3">
        <f t="shared" si="2"/>
        <v>1</v>
      </c>
      <c r="B22" s="88"/>
      <c r="C22" s="199"/>
      <c r="D22" s="198"/>
      <c r="F22" s="193">
        <f t="shared" si="1"/>
        <v>0</v>
      </c>
      <c r="G22" s="193" t="str">
        <f>IF(IFERROR(IF(Str_TypeDonneesCpt8=Cpt_Index,Tab_Compteur_8[[#This Row],[Index]]-E21,Tab_Compteur_8[[#This Row],[Quantité]])/Tab_Compteur_8[[#This Row],[Delta Jour]],"")&lt;0,"",IFERROR(IF(Str_TypeDonneesCpt8=Cpt_Index,Tab_Compteur_8[[#This Row],[Index]]-E21,Tab_Compteur_8[[#This Row],[Quantité]])/Tab_Compteur_8[[#This Row],[Delta Jour]],""))</f>
        <v/>
      </c>
      <c r="H22" s="193" t="str">
        <f>IFERROR(Tab_Compteur_8[[#This Row],[Montant]]/Tab_Compteur_8[[#This Row],[Delta Jour]],"")</f>
        <v/>
      </c>
      <c r="I22" s="215" t="str">
        <f t="shared" si="0"/>
        <v/>
      </c>
      <c r="J22" s="216"/>
      <c r="K22" s="573"/>
      <c r="L22" s="573"/>
      <c r="M22" s="573"/>
    </row>
    <row r="23" spans="1:13">
      <c r="A23" s="3">
        <f t="shared" si="2"/>
        <v>1</v>
      </c>
      <c r="B23" s="88"/>
      <c r="C23" s="199"/>
      <c r="D23" s="198"/>
      <c r="F23" s="193">
        <f t="shared" si="1"/>
        <v>0</v>
      </c>
      <c r="G23" s="193" t="str">
        <f>IF(IFERROR(IF(Str_TypeDonneesCpt8=Cpt_Index,Tab_Compteur_8[[#This Row],[Index]]-E22,Tab_Compteur_8[[#This Row],[Quantité]])/Tab_Compteur_8[[#This Row],[Delta Jour]],"")&lt;0,"",IFERROR(IF(Str_TypeDonneesCpt8=Cpt_Index,Tab_Compteur_8[[#This Row],[Index]]-E22,Tab_Compteur_8[[#This Row],[Quantité]])/Tab_Compteur_8[[#This Row],[Delta Jour]],""))</f>
        <v/>
      </c>
      <c r="H23" s="193" t="str">
        <f>IFERROR(Tab_Compteur_8[[#This Row],[Montant]]/Tab_Compteur_8[[#This Row],[Delta Jour]],"")</f>
        <v/>
      </c>
      <c r="I23" s="215" t="str">
        <f t="shared" si="0"/>
        <v/>
      </c>
      <c r="J23" s="216"/>
      <c r="K23" s="573"/>
      <c r="L23" s="573"/>
      <c r="M23" s="573"/>
    </row>
    <row r="24" spans="1:13">
      <c r="A24" s="3">
        <f t="shared" si="2"/>
        <v>1</v>
      </c>
      <c r="B24" s="88"/>
      <c r="C24" s="199"/>
      <c r="D24" s="198"/>
      <c r="F24" s="193">
        <f t="shared" si="1"/>
        <v>0</v>
      </c>
      <c r="G24" s="193" t="str">
        <f>IF(IFERROR(IF(Str_TypeDonneesCpt8=Cpt_Index,Tab_Compteur_8[[#This Row],[Index]]-E23,Tab_Compteur_8[[#This Row],[Quantité]])/Tab_Compteur_8[[#This Row],[Delta Jour]],"")&lt;0,"",IFERROR(IF(Str_TypeDonneesCpt8=Cpt_Index,Tab_Compteur_8[[#This Row],[Index]]-E23,Tab_Compteur_8[[#This Row],[Quantité]])/Tab_Compteur_8[[#This Row],[Delta Jour]],""))</f>
        <v/>
      </c>
      <c r="H24" s="193" t="str">
        <f>IFERROR(Tab_Compteur_8[[#This Row],[Montant]]/Tab_Compteur_8[[#This Row],[Delta Jour]],"")</f>
        <v/>
      </c>
      <c r="I24" s="215" t="str">
        <f t="shared" si="0"/>
        <v/>
      </c>
      <c r="J24" s="216"/>
      <c r="K24" s="573"/>
      <c r="L24" s="573"/>
      <c r="M24" s="573"/>
    </row>
    <row r="25" spans="1:13">
      <c r="A25" s="3">
        <f t="shared" si="2"/>
        <v>1</v>
      </c>
      <c r="B25" s="88"/>
      <c r="C25" s="199"/>
      <c r="D25" s="198"/>
      <c r="F25" s="193">
        <f t="shared" si="1"/>
        <v>0</v>
      </c>
      <c r="G25" s="193" t="str">
        <f>IF(IFERROR(IF(Str_TypeDonneesCpt8=Cpt_Index,Tab_Compteur_8[[#This Row],[Index]]-E24,Tab_Compteur_8[[#This Row],[Quantité]])/Tab_Compteur_8[[#This Row],[Delta Jour]],"")&lt;0,"",IFERROR(IF(Str_TypeDonneesCpt8=Cpt_Index,Tab_Compteur_8[[#This Row],[Index]]-E24,Tab_Compteur_8[[#This Row],[Quantité]])/Tab_Compteur_8[[#This Row],[Delta Jour]],""))</f>
        <v/>
      </c>
      <c r="H25" s="193" t="str">
        <f>IFERROR(Tab_Compteur_8[[#This Row],[Montant]]/Tab_Compteur_8[[#This Row],[Delta Jour]],"")</f>
        <v/>
      </c>
      <c r="I25" s="215" t="str">
        <f t="shared" si="0"/>
        <v/>
      </c>
      <c r="J25" s="216"/>
      <c r="K25" s="573"/>
      <c r="L25" s="573"/>
      <c r="M25" s="573"/>
    </row>
    <row r="26" spans="1:13">
      <c r="A26" s="3">
        <f t="shared" si="2"/>
        <v>1</v>
      </c>
      <c r="B26" s="88"/>
      <c r="C26" s="199"/>
      <c r="D26" s="198"/>
      <c r="F26" s="193">
        <f t="shared" si="1"/>
        <v>0</v>
      </c>
      <c r="G26" s="193" t="str">
        <f>IF(IFERROR(IF(Str_TypeDonneesCpt8=Cpt_Index,Tab_Compteur_8[[#This Row],[Index]]-E25,Tab_Compteur_8[[#This Row],[Quantité]])/Tab_Compteur_8[[#This Row],[Delta Jour]],"")&lt;0,"",IFERROR(IF(Str_TypeDonneesCpt8=Cpt_Index,Tab_Compteur_8[[#This Row],[Index]]-E25,Tab_Compteur_8[[#This Row],[Quantité]])/Tab_Compteur_8[[#This Row],[Delta Jour]],""))</f>
        <v/>
      </c>
      <c r="H26" s="193" t="str">
        <f>IFERROR(Tab_Compteur_8[[#This Row],[Montant]]/Tab_Compteur_8[[#This Row],[Delta Jour]],"")</f>
        <v/>
      </c>
      <c r="I26" s="215" t="str">
        <f t="shared" si="0"/>
        <v/>
      </c>
      <c r="J26" s="216"/>
      <c r="K26" s="573"/>
      <c r="L26" s="573"/>
      <c r="M26" s="573"/>
    </row>
    <row r="27" spans="1:13">
      <c r="A27" s="3">
        <f t="shared" si="2"/>
        <v>1</v>
      </c>
      <c r="B27" s="88"/>
      <c r="C27" s="199"/>
      <c r="D27" s="198"/>
      <c r="F27" s="193">
        <f t="shared" si="1"/>
        <v>0</v>
      </c>
      <c r="G27" s="193" t="str">
        <f>IF(IFERROR(IF(Str_TypeDonneesCpt8=Cpt_Index,Tab_Compteur_8[[#This Row],[Index]]-E26,Tab_Compteur_8[[#This Row],[Quantité]])/Tab_Compteur_8[[#This Row],[Delta Jour]],"")&lt;0,"",IFERROR(IF(Str_TypeDonneesCpt8=Cpt_Index,Tab_Compteur_8[[#This Row],[Index]]-E26,Tab_Compteur_8[[#This Row],[Quantité]])/Tab_Compteur_8[[#This Row],[Delta Jour]],""))</f>
        <v/>
      </c>
      <c r="H27" s="193" t="str">
        <f>IFERROR(Tab_Compteur_8[[#This Row],[Montant]]/Tab_Compteur_8[[#This Row],[Delta Jour]],"")</f>
        <v/>
      </c>
      <c r="I27" s="215" t="str">
        <f t="shared" si="0"/>
        <v/>
      </c>
      <c r="J27" s="263"/>
      <c r="K27" s="573"/>
      <c r="L27" s="573"/>
      <c r="M27" s="573"/>
    </row>
    <row r="28" spans="1:13">
      <c r="A28" s="3">
        <f t="shared" si="2"/>
        <v>1</v>
      </c>
      <c r="B28" s="88"/>
      <c r="C28" s="199"/>
      <c r="D28" s="198"/>
      <c r="F28" s="193">
        <f t="shared" si="1"/>
        <v>0</v>
      </c>
      <c r="G28" s="193" t="str">
        <f>IF(IFERROR(IF(Str_TypeDonneesCpt8=Cpt_Index,Tab_Compteur_8[[#This Row],[Index]]-E27,Tab_Compteur_8[[#This Row],[Quantité]])/Tab_Compteur_8[[#This Row],[Delta Jour]],"")&lt;0,"",IFERROR(IF(Str_TypeDonneesCpt8=Cpt_Index,Tab_Compteur_8[[#This Row],[Index]]-E27,Tab_Compteur_8[[#This Row],[Quantité]])/Tab_Compteur_8[[#This Row],[Delta Jour]],""))</f>
        <v/>
      </c>
      <c r="H28" s="193" t="str">
        <f>IFERROR(Tab_Compteur_8[[#This Row],[Montant]]/Tab_Compteur_8[[#This Row],[Delta Jour]],"")</f>
        <v/>
      </c>
      <c r="I28" s="215" t="str">
        <f t="shared" si="0"/>
        <v/>
      </c>
      <c r="J28" s="216"/>
      <c r="K28" s="573"/>
      <c r="L28" s="573"/>
      <c r="M28" s="573"/>
    </row>
    <row r="29" spans="1:13">
      <c r="A29" s="3">
        <f t="shared" si="2"/>
        <v>1</v>
      </c>
      <c r="B29" s="88"/>
      <c r="C29" s="197"/>
      <c r="D29" s="198"/>
      <c r="F29" s="193">
        <f t="shared" si="1"/>
        <v>0</v>
      </c>
      <c r="G29" s="193" t="str">
        <f>IF(IFERROR(IF(Str_TypeDonneesCpt8=Cpt_Index,Tab_Compteur_8[[#This Row],[Index]]-E28,Tab_Compteur_8[[#This Row],[Quantité]])/Tab_Compteur_8[[#This Row],[Delta Jour]],"")&lt;0,"",IFERROR(IF(Str_TypeDonneesCpt8=Cpt_Index,Tab_Compteur_8[[#This Row],[Index]]-E28,Tab_Compteur_8[[#This Row],[Quantité]])/Tab_Compteur_8[[#This Row],[Delta Jour]],""))</f>
        <v/>
      </c>
      <c r="H29" s="193" t="str">
        <f>IFERROR(Tab_Compteur_8[[#This Row],[Montant]]/Tab_Compteur_8[[#This Row],[Delta Jour]],"")</f>
        <v/>
      </c>
      <c r="I29" s="215" t="str">
        <f t="shared" si="0"/>
        <v/>
      </c>
      <c r="J29" s="216"/>
      <c r="K29" s="573"/>
      <c r="L29" s="573"/>
      <c r="M29" s="573"/>
    </row>
    <row r="30" spans="1:13">
      <c r="A30" s="3">
        <f t="shared" si="2"/>
        <v>1</v>
      </c>
      <c r="B30" s="88"/>
      <c r="C30" s="197"/>
      <c r="D30" s="198"/>
      <c r="F30" s="193">
        <f t="shared" si="1"/>
        <v>0</v>
      </c>
      <c r="G30" s="193" t="str">
        <f>IF(IFERROR(IF(Str_TypeDonneesCpt8=Cpt_Index,Tab_Compteur_8[[#This Row],[Index]]-E29,Tab_Compteur_8[[#This Row],[Quantité]])/Tab_Compteur_8[[#This Row],[Delta Jour]],"")&lt;0,"",IFERROR(IF(Str_TypeDonneesCpt8=Cpt_Index,Tab_Compteur_8[[#This Row],[Index]]-E29,Tab_Compteur_8[[#This Row],[Quantité]])/Tab_Compteur_8[[#This Row],[Delta Jour]],""))</f>
        <v/>
      </c>
      <c r="H30" s="193" t="str">
        <f>IFERROR(Tab_Compteur_8[[#This Row],[Montant]]/Tab_Compteur_8[[#This Row],[Delta Jour]],"")</f>
        <v/>
      </c>
      <c r="I30" s="215" t="str">
        <f t="shared" si="0"/>
        <v/>
      </c>
      <c r="J30" s="216"/>
      <c r="K30" s="573"/>
      <c r="L30" s="573"/>
      <c r="M30" s="573"/>
    </row>
    <row r="31" spans="1:13">
      <c r="A31" s="3">
        <f t="shared" si="2"/>
        <v>1</v>
      </c>
      <c r="B31" s="88"/>
      <c r="C31" s="197"/>
      <c r="D31" s="198"/>
      <c r="F31" s="193">
        <f t="shared" si="1"/>
        <v>0</v>
      </c>
      <c r="G31" s="193" t="str">
        <f>IF(IFERROR(IF(Str_TypeDonneesCpt8=Cpt_Index,Tab_Compteur_8[[#This Row],[Index]]-E30,Tab_Compteur_8[[#This Row],[Quantité]])/Tab_Compteur_8[[#This Row],[Delta Jour]],"")&lt;0,"",IFERROR(IF(Str_TypeDonneesCpt8=Cpt_Index,Tab_Compteur_8[[#This Row],[Index]]-E30,Tab_Compteur_8[[#This Row],[Quantité]])/Tab_Compteur_8[[#This Row],[Delta Jour]],""))</f>
        <v/>
      </c>
      <c r="H31" s="193" t="str">
        <f>IFERROR(Tab_Compteur_8[[#This Row],[Montant]]/Tab_Compteur_8[[#This Row],[Delta Jour]],"")</f>
        <v/>
      </c>
      <c r="I31" s="215" t="str">
        <f t="shared" si="0"/>
        <v/>
      </c>
      <c r="J31" s="216"/>
      <c r="K31" s="573"/>
      <c r="L31" s="573"/>
      <c r="M31" s="573"/>
    </row>
    <row r="32" spans="1:13">
      <c r="A32" s="3">
        <f t="shared" si="2"/>
        <v>1</v>
      </c>
      <c r="B32" s="88"/>
      <c r="C32" s="199"/>
      <c r="D32" s="198"/>
      <c r="F32" s="193">
        <f t="shared" si="1"/>
        <v>0</v>
      </c>
      <c r="G32" s="193" t="str">
        <f>IF(IFERROR(IF(Str_TypeDonneesCpt8=Cpt_Index,Tab_Compteur_8[[#This Row],[Index]]-E31,Tab_Compteur_8[[#This Row],[Quantité]])/Tab_Compteur_8[[#This Row],[Delta Jour]],"")&lt;0,"",IFERROR(IF(Str_TypeDonneesCpt8=Cpt_Index,Tab_Compteur_8[[#This Row],[Index]]-E31,Tab_Compteur_8[[#This Row],[Quantité]])/Tab_Compteur_8[[#This Row],[Delta Jour]],""))</f>
        <v/>
      </c>
      <c r="H32" s="193" t="str">
        <f>IFERROR(Tab_Compteur_8[[#This Row],[Montant]]/Tab_Compteur_8[[#This Row],[Delta Jour]],"")</f>
        <v/>
      </c>
      <c r="I32" s="215" t="str">
        <f t="shared" si="0"/>
        <v/>
      </c>
      <c r="J32" s="216"/>
      <c r="K32" s="573"/>
      <c r="L32" s="573"/>
      <c r="M32" s="573"/>
    </row>
    <row r="33" spans="1:13">
      <c r="A33" s="3">
        <f t="shared" si="2"/>
        <v>1</v>
      </c>
      <c r="B33" s="88"/>
      <c r="C33" s="199"/>
      <c r="D33" s="198"/>
      <c r="F33" s="193">
        <f t="shared" si="1"/>
        <v>0</v>
      </c>
      <c r="G33" s="193" t="str">
        <f>IF(IFERROR(IF(Str_TypeDonneesCpt8=Cpt_Index,Tab_Compteur_8[[#This Row],[Index]]-E32,Tab_Compteur_8[[#This Row],[Quantité]])/Tab_Compteur_8[[#This Row],[Delta Jour]],"")&lt;0,"",IFERROR(IF(Str_TypeDonneesCpt8=Cpt_Index,Tab_Compteur_8[[#This Row],[Index]]-E32,Tab_Compteur_8[[#This Row],[Quantité]])/Tab_Compteur_8[[#This Row],[Delta Jour]],""))</f>
        <v/>
      </c>
      <c r="H33" s="193" t="str">
        <f>IFERROR(Tab_Compteur_8[[#This Row],[Montant]]/Tab_Compteur_8[[#This Row],[Delta Jour]],"")</f>
        <v/>
      </c>
      <c r="I33" s="215" t="str">
        <f t="shared" si="0"/>
        <v/>
      </c>
      <c r="J33" s="216"/>
      <c r="K33" s="573"/>
      <c r="L33" s="573"/>
      <c r="M33" s="573"/>
    </row>
    <row r="34" spans="1:13">
      <c r="A34" s="3">
        <f t="shared" si="2"/>
        <v>1</v>
      </c>
      <c r="B34" s="88"/>
      <c r="C34" s="199"/>
      <c r="D34" s="198"/>
      <c r="F34" s="193">
        <f t="shared" si="1"/>
        <v>0</v>
      </c>
      <c r="G34" s="193" t="str">
        <f>IF(IFERROR(IF(Str_TypeDonneesCpt8=Cpt_Index,Tab_Compteur_8[[#This Row],[Index]]-E33,Tab_Compteur_8[[#This Row],[Quantité]])/Tab_Compteur_8[[#This Row],[Delta Jour]],"")&lt;0,"",IFERROR(IF(Str_TypeDonneesCpt8=Cpt_Index,Tab_Compteur_8[[#This Row],[Index]]-E33,Tab_Compteur_8[[#This Row],[Quantité]])/Tab_Compteur_8[[#This Row],[Delta Jour]],""))</f>
        <v/>
      </c>
      <c r="H34" s="193" t="str">
        <f>IFERROR(Tab_Compteur_8[[#This Row],[Montant]]/Tab_Compteur_8[[#This Row],[Delta Jour]],"")</f>
        <v/>
      </c>
      <c r="I34" s="215" t="str">
        <f t="shared" si="0"/>
        <v/>
      </c>
      <c r="J34" s="216"/>
      <c r="K34" s="38"/>
      <c r="L34" s="38"/>
      <c r="M34" s="38"/>
    </row>
    <row r="35" spans="1:13">
      <c r="A35" s="3">
        <f t="shared" si="2"/>
        <v>1</v>
      </c>
      <c r="B35" s="88"/>
      <c r="C35" s="199"/>
      <c r="D35" s="198"/>
      <c r="F35" s="193">
        <f t="shared" si="1"/>
        <v>0</v>
      </c>
      <c r="G35" s="193" t="str">
        <f>IF(IFERROR(IF(Str_TypeDonneesCpt8=Cpt_Index,Tab_Compteur_8[[#This Row],[Index]]-E34,Tab_Compteur_8[[#This Row],[Quantité]])/Tab_Compteur_8[[#This Row],[Delta Jour]],"")&lt;0,"",IFERROR(IF(Str_TypeDonneesCpt8=Cpt_Index,Tab_Compteur_8[[#This Row],[Index]]-E34,Tab_Compteur_8[[#This Row],[Quantité]])/Tab_Compteur_8[[#This Row],[Delta Jour]],""))</f>
        <v/>
      </c>
      <c r="H35" s="193" t="str">
        <f>IFERROR(Tab_Compteur_8[[#This Row],[Montant]]/Tab_Compteur_8[[#This Row],[Delta Jour]],"")</f>
        <v/>
      </c>
      <c r="I35" s="215" t="str">
        <f t="shared" si="0"/>
        <v/>
      </c>
      <c r="J35" s="216"/>
      <c r="K35" s="38"/>
      <c r="L35" s="38"/>
      <c r="M35" s="38"/>
    </row>
    <row r="36" spans="1:13">
      <c r="A36" s="3">
        <f t="shared" si="2"/>
        <v>1</v>
      </c>
      <c r="B36" s="88"/>
      <c r="C36" s="199"/>
      <c r="D36" s="198"/>
      <c r="F36" s="193">
        <f t="shared" si="1"/>
        <v>0</v>
      </c>
      <c r="G36" s="193" t="str">
        <f>IF(IFERROR(IF(Str_TypeDonneesCpt8=Cpt_Index,Tab_Compteur_8[[#This Row],[Index]]-E35,Tab_Compteur_8[[#This Row],[Quantité]])/Tab_Compteur_8[[#This Row],[Delta Jour]],"")&lt;0,"",IFERROR(IF(Str_TypeDonneesCpt8=Cpt_Index,Tab_Compteur_8[[#This Row],[Index]]-E35,Tab_Compteur_8[[#This Row],[Quantité]])/Tab_Compteur_8[[#This Row],[Delta Jour]],""))</f>
        <v/>
      </c>
      <c r="H36" s="193" t="str">
        <f>IFERROR(Tab_Compteur_8[[#This Row],[Montant]]/Tab_Compteur_8[[#This Row],[Delta Jour]],"")</f>
        <v/>
      </c>
      <c r="I36" s="215" t="str">
        <f t="shared" si="0"/>
        <v/>
      </c>
      <c r="J36" s="216"/>
      <c r="K36" s="38"/>
      <c r="L36" s="38"/>
      <c r="M36" s="38"/>
    </row>
    <row r="37" spans="1:13">
      <c r="A37" s="3">
        <f t="shared" si="2"/>
        <v>1</v>
      </c>
      <c r="B37" s="88"/>
      <c r="C37" s="199"/>
      <c r="D37" s="198"/>
      <c r="F37" s="193">
        <f t="shared" si="1"/>
        <v>0</v>
      </c>
      <c r="G37" s="193" t="str">
        <f>IF(IFERROR(IF(Str_TypeDonneesCpt8=Cpt_Index,Tab_Compteur_8[[#This Row],[Index]]-E36,Tab_Compteur_8[[#This Row],[Quantité]])/Tab_Compteur_8[[#This Row],[Delta Jour]],"")&lt;0,"",IFERROR(IF(Str_TypeDonneesCpt8=Cpt_Index,Tab_Compteur_8[[#This Row],[Index]]-E36,Tab_Compteur_8[[#This Row],[Quantité]])/Tab_Compteur_8[[#This Row],[Delta Jour]],""))</f>
        <v/>
      </c>
      <c r="H37" s="193" t="str">
        <f>IFERROR(Tab_Compteur_8[[#This Row],[Montant]]/Tab_Compteur_8[[#This Row],[Delta Jour]],"")</f>
        <v/>
      </c>
      <c r="I37" s="215" t="str">
        <f t="shared" si="0"/>
        <v/>
      </c>
      <c r="J37" s="216"/>
      <c r="K37" s="38"/>
      <c r="L37" s="38"/>
      <c r="M37" s="38"/>
    </row>
    <row r="38" spans="1:13">
      <c r="A38" s="3">
        <f t="shared" si="2"/>
        <v>1</v>
      </c>
      <c r="B38" s="88"/>
      <c r="C38" s="199"/>
      <c r="D38" s="198"/>
      <c r="F38" s="193">
        <f t="shared" si="1"/>
        <v>0</v>
      </c>
      <c r="G38" s="193" t="str">
        <f>IF(IFERROR(IF(Str_TypeDonneesCpt8=Cpt_Index,Tab_Compteur_8[[#This Row],[Index]]-E37,Tab_Compteur_8[[#This Row],[Quantité]])/Tab_Compteur_8[[#This Row],[Delta Jour]],"")&lt;0,"",IFERROR(IF(Str_TypeDonneesCpt8=Cpt_Index,Tab_Compteur_8[[#This Row],[Index]]-E37,Tab_Compteur_8[[#This Row],[Quantité]])/Tab_Compteur_8[[#This Row],[Delta Jour]],""))</f>
        <v/>
      </c>
      <c r="H38" s="193" t="str">
        <f>IFERROR(Tab_Compteur_8[[#This Row],[Montant]]/Tab_Compteur_8[[#This Row],[Delta Jour]],"")</f>
        <v/>
      </c>
      <c r="I38" s="215" t="str">
        <f t="shared" si="0"/>
        <v/>
      </c>
      <c r="J38" s="216"/>
      <c r="K38" s="38"/>
      <c r="L38" s="38"/>
      <c r="M38" s="38"/>
    </row>
    <row r="39" spans="1:13">
      <c r="A39" s="3">
        <f t="shared" si="2"/>
        <v>1</v>
      </c>
      <c r="B39" s="88"/>
      <c r="C39" s="199"/>
      <c r="D39" s="200"/>
      <c r="F39" s="193">
        <f t="shared" si="1"/>
        <v>0</v>
      </c>
      <c r="G39" s="193" t="str">
        <f>IF(IFERROR(IF(Str_TypeDonneesCpt8=Cpt_Index,Tab_Compteur_8[[#This Row],[Index]]-E38,Tab_Compteur_8[[#This Row],[Quantité]])/Tab_Compteur_8[[#This Row],[Delta Jour]],"")&lt;0,"",IFERROR(IF(Str_TypeDonneesCpt8=Cpt_Index,Tab_Compteur_8[[#This Row],[Index]]-E38,Tab_Compteur_8[[#This Row],[Quantité]])/Tab_Compteur_8[[#This Row],[Delta Jour]],""))</f>
        <v/>
      </c>
      <c r="H39" s="193" t="str">
        <f>IFERROR(Tab_Compteur_8[[#This Row],[Montant]]/Tab_Compteur_8[[#This Row],[Delta Jour]],"")</f>
        <v/>
      </c>
      <c r="I39" s="215" t="str">
        <f t="shared" si="0"/>
        <v/>
      </c>
      <c r="J39" s="216"/>
      <c r="K39" s="38"/>
      <c r="L39" s="38"/>
      <c r="M39" s="38"/>
    </row>
    <row r="40" spans="1:13">
      <c r="A40" s="3">
        <f t="shared" si="2"/>
        <v>1</v>
      </c>
      <c r="B40" s="88"/>
      <c r="C40" s="199"/>
      <c r="D40" s="200"/>
      <c r="F40" s="193">
        <f t="shared" si="1"/>
        <v>0</v>
      </c>
      <c r="G40" s="193" t="str">
        <f>IF(IFERROR(IF(Str_TypeDonneesCpt8=Cpt_Index,Tab_Compteur_8[[#This Row],[Index]]-E39,Tab_Compteur_8[[#This Row],[Quantité]])/Tab_Compteur_8[[#This Row],[Delta Jour]],"")&lt;0,"",IFERROR(IF(Str_TypeDonneesCpt8=Cpt_Index,Tab_Compteur_8[[#This Row],[Index]]-E39,Tab_Compteur_8[[#This Row],[Quantité]])/Tab_Compteur_8[[#This Row],[Delta Jour]],""))</f>
        <v/>
      </c>
      <c r="H40" s="193" t="str">
        <f>IFERROR(Tab_Compteur_8[[#This Row],[Montant]]/Tab_Compteur_8[[#This Row],[Delta Jour]],"")</f>
        <v/>
      </c>
      <c r="I40" s="215" t="str">
        <f t="shared" si="0"/>
        <v/>
      </c>
      <c r="J40" s="216"/>
      <c r="K40" s="38"/>
      <c r="L40" s="38"/>
      <c r="M40" s="38"/>
    </row>
    <row r="41" spans="1:13">
      <c r="A41" s="3">
        <f t="shared" si="2"/>
        <v>1</v>
      </c>
      <c r="B41" s="88"/>
      <c r="C41" s="197"/>
      <c r="D41" s="200"/>
      <c r="F41" s="193">
        <f t="shared" si="1"/>
        <v>0</v>
      </c>
      <c r="G41" s="193" t="str">
        <f>IF(IFERROR(IF(Str_TypeDonneesCpt8=Cpt_Index,Tab_Compteur_8[[#This Row],[Index]]-E40,Tab_Compteur_8[[#This Row],[Quantité]])/Tab_Compteur_8[[#This Row],[Delta Jour]],"")&lt;0,"",IFERROR(IF(Str_TypeDonneesCpt8=Cpt_Index,Tab_Compteur_8[[#This Row],[Index]]-E40,Tab_Compteur_8[[#This Row],[Quantité]])/Tab_Compteur_8[[#This Row],[Delta Jour]],""))</f>
        <v/>
      </c>
      <c r="H41" s="193" t="str">
        <f>IFERROR(Tab_Compteur_8[[#This Row],[Montant]]/Tab_Compteur_8[[#This Row],[Delta Jour]],"")</f>
        <v/>
      </c>
      <c r="I41" s="215" t="str">
        <f t="shared" si="0"/>
        <v/>
      </c>
      <c r="J41" s="216"/>
      <c r="K41" s="38"/>
      <c r="L41" s="38"/>
      <c r="M41" s="38"/>
    </row>
    <row r="42" spans="1:13">
      <c r="A42" s="3">
        <f t="shared" si="2"/>
        <v>1</v>
      </c>
      <c r="B42" s="88"/>
      <c r="C42" s="197"/>
      <c r="D42" s="200"/>
      <c r="F42" s="193">
        <f t="shared" si="1"/>
        <v>0</v>
      </c>
      <c r="G42" s="193" t="str">
        <f>IF(IFERROR(IF(Str_TypeDonneesCpt8=Cpt_Index,Tab_Compteur_8[[#This Row],[Index]]-E41,Tab_Compteur_8[[#This Row],[Quantité]])/Tab_Compteur_8[[#This Row],[Delta Jour]],"")&lt;0,"",IFERROR(IF(Str_TypeDonneesCpt8=Cpt_Index,Tab_Compteur_8[[#This Row],[Index]]-E41,Tab_Compteur_8[[#This Row],[Quantité]])/Tab_Compteur_8[[#This Row],[Delta Jour]],""))</f>
        <v/>
      </c>
      <c r="H42" s="193" t="str">
        <f>IFERROR(Tab_Compteur_8[[#This Row],[Montant]]/Tab_Compteur_8[[#This Row],[Delta Jour]],"")</f>
        <v/>
      </c>
      <c r="I42" s="215" t="str">
        <f t="shared" si="0"/>
        <v/>
      </c>
      <c r="J42" s="216"/>
      <c r="K42" s="38"/>
      <c r="L42" s="38"/>
      <c r="M42" s="38"/>
    </row>
    <row r="43" spans="1:13">
      <c r="A43" s="3">
        <f t="shared" si="2"/>
        <v>1</v>
      </c>
      <c r="B43" s="88"/>
      <c r="C43" s="199"/>
      <c r="D43" s="200"/>
      <c r="F43" s="193">
        <f t="shared" si="1"/>
        <v>0</v>
      </c>
      <c r="G43" s="193" t="str">
        <f>IF(IFERROR(IF(Str_TypeDonneesCpt8=Cpt_Index,Tab_Compteur_8[[#This Row],[Index]]-E42,Tab_Compteur_8[[#This Row],[Quantité]])/Tab_Compteur_8[[#This Row],[Delta Jour]],"")&lt;0,"",IFERROR(IF(Str_TypeDonneesCpt8=Cpt_Index,Tab_Compteur_8[[#This Row],[Index]]-E42,Tab_Compteur_8[[#This Row],[Quantité]])/Tab_Compteur_8[[#This Row],[Delta Jour]],""))</f>
        <v/>
      </c>
      <c r="H43" s="193" t="str">
        <f>IFERROR(Tab_Compteur_8[[#This Row],[Montant]]/Tab_Compteur_8[[#This Row],[Delta Jour]],"")</f>
        <v/>
      </c>
      <c r="I43" s="215" t="str">
        <f t="shared" si="0"/>
        <v/>
      </c>
      <c r="J43" s="216"/>
      <c r="K43" s="38"/>
      <c r="L43" s="38"/>
      <c r="M43" s="38"/>
    </row>
    <row r="44" spans="1:13">
      <c r="A44" s="3">
        <f t="shared" si="2"/>
        <v>1</v>
      </c>
      <c r="B44" s="88"/>
      <c r="C44" s="199"/>
      <c r="D44" s="200"/>
      <c r="F44" s="193">
        <f t="shared" si="1"/>
        <v>0</v>
      </c>
      <c r="G44" s="193" t="str">
        <f>IF(IFERROR(IF(Str_TypeDonneesCpt8=Cpt_Index,Tab_Compteur_8[[#This Row],[Index]]-E43,Tab_Compteur_8[[#This Row],[Quantité]])/Tab_Compteur_8[[#This Row],[Delta Jour]],"")&lt;0,"",IFERROR(IF(Str_TypeDonneesCpt8=Cpt_Index,Tab_Compteur_8[[#This Row],[Index]]-E43,Tab_Compteur_8[[#This Row],[Quantité]])/Tab_Compteur_8[[#This Row],[Delta Jour]],""))</f>
        <v/>
      </c>
      <c r="H44" s="193" t="str">
        <f>IFERROR(Tab_Compteur_8[[#This Row],[Montant]]/Tab_Compteur_8[[#This Row],[Delta Jour]],"")</f>
        <v/>
      </c>
      <c r="I44" s="215" t="str">
        <f t="shared" si="0"/>
        <v/>
      </c>
      <c r="J44" s="216"/>
      <c r="K44" s="38"/>
      <c r="L44" s="38"/>
      <c r="M44" s="38"/>
    </row>
    <row r="45" spans="1:13">
      <c r="A45" s="3">
        <f t="shared" si="2"/>
        <v>1</v>
      </c>
      <c r="B45" s="88"/>
      <c r="C45" s="199"/>
      <c r="D45" s="200"/>
      <c r="F45" s="193">
        <f t="shared" si="1"/>
        <v>0</v>
      </c>
      <c r="G45" s="193" t="str">
        <f>IF(IFERROR(IF(Str_TypeDonneesCpt8=Cpt_Index,Tab_Compteur_8[[#This Row],[Index]]-E44,Tab_Compteur_8[[#This Row],[Quantité]])/Tab_Compteur_8[[#This Row],[Delta Jour]],"")&lt;0,"",IFERROR(IF(Str_TypeDonneesCpt8=Cpt_Index,Tab_Compteur_8[[#This Row],[Index]]-E44,Tab_Compteur_8[[#This Row],[Quantité]])/Tab_Compteur_8[[#This Row],[Delta Jour]],""))</f>
        <v/>
      </c>
      <c r="H45" s="193" t="str">
        <f>IFERROR(Tab_Compteur_8[[#This Row],[Montant]]/Tab_Compteur_8[[#This Row],[Delta Jour]],"")</f>
        <v/>
      </c>
      <c r="I45" s="215" t="str">
        <f t="shared" si="0"/>
        <v/>
      </c>
      <c r="J45" s="216"/>
      <c r="K45" s="38"/>
      <c r="L45" s="38"/>
      <c r="M45" s="38"/>
    </row>
    <row r="46" spans="1:13">
      <c r="A46" s="3">
        <f t="shared" si="2"/>
        <v>1</v>
      </c>
      <c r="B46" s="88"/>
      <c r="C46" s="199"/>
      <c r="D46" s="200"/>
      <c r="F46" s="193">
        <f t="shared" si="1"/>
        <v>0</v>
      </c>
      <c r="G46" s="193" t="str">
        <f>IF(IFERROR(IF(Str_TypeDonneesCpt8=Cpt_Index,Tab_Compteur_8[[#This Row],[Index]]-E45,Tab_Compteur_8[[#This Row],[Quantité]])/Tab_Compteur_8[[#This Row],[Delta Jour]],"")&lt;0,"",IFERROR(IF(Str_TypeDonneesCpt8=Cpt_Index,Tab_Compteur_8[[#This Row],[Index]]-E45,Tab_Compteur_8[[#This Row],[Quantité]])/Tab_Compteur_8[[#This Row],[Delta Jour]],""))</f>
        <v/>
      </c>
      <c r="H46" s="193" t="str">
        <f>IFERROR(Tab_Compteur_8[[#This Row],[Montant]]/Tab_Compteur_8[[#This Row],[Delta Jour]],"")</f>
        <v/>
      </c>
      <c r="I46" s="215" t="str">
        <f t="shared" si="0"/>
        <v/>
      </c>
      <c r="J46" s="216"/>
      <c r="K46" s="38"/>
      <c r="L46" s="38"/>
      <c r="M46" s="38"/>
    </row>
    <row r="47" spans="1:13">
      <c r="A47" s="3">
        <f t="shared" si="2"/>
        <v>1</v>
      </c>
      <c r="B47" s="88"/>
      <c r="C47" s="199"/>
      <c r="D47" s="200"/>
      <c r="F47" s="193">
        <f t="shared" si="1"/>
        <v>0</v>
      </c>
      <c r="G47" s="193" t="str">
        <f>IF(IFERROR(IF(Str_TypeDonneesCpt8=Cpt_Index,Tab_Compteur_8[[#This Row],[Index]]-E46,Tab_Compteur_8[[#This Row],[Quantité]])/Tab_Compteur_8[[#This Row],[Delta Jour]],"")&lt;0,"",IFERROR(IF(Str_TypeDonneesCpt8=Cpt_Index,Tab_Compteur_8[[#This Row],[Index]]-E46,Tab_Compteur_8[[#This Row],[Quantité]])/Tab_Compteur_8[[#This Row],[Delta Jour]],""))</f>
        <v/>
      </c>
      <c r="H47" s="193" t="str">
        <f>IFERROR(Tab_Compteur_8[[#This Row],[Montant]]/Tab_Compteur_8[[#This Row],[Delta Jour]],"")</f>
        <v/>
      </c>
      <c r="I47" s="215" t="str">
        <f t="shared" si="0"/>
        <v/>
      </c>
      <c r="J47" s="216"/>
      <c r="K47" s="38"/>
      <c r="L47" s="38"/>
      <c r="M47" s="38"/>
    </row>
    <row r="48" spans="1:13">
      <c r="A48" s="3">
        <f t="shared" si="2"/>
        <v>1</v>
      </c>
      <c r="B48" s="88"/>
      <c r="C48" s="199"/>
      <c r="D48" s="200"/>
      <c r="F48" s="193">
        <f t="shared" si="1"/>
        <v>0</v>
      </c>
      <c r="G48" s="193" t="str">
        <f>IF(IFERROR(IF(Str_TypeDonneesCpt8=Cpt_Index,Tab_Compteur_8[[#This Row],[Index]]-E47,Tab_Compteur_8[[#This Row],[Quantité]])/Tab_Compteur_8[[#This Row],[Delta Jour]],"")&lt;0,"",IFERROR(IF(Str_TypeDonneesCpt8=Cpt_Index,Tab_Compteur_8[[#This Row],[Index]]-E47,Tab_Compteur_8[[#This Row],[Quantité]])/Tab_Compteur_8[[#This Row],[Delta Jour]],""))</f>
        <v/>
      </c>
      <c r="H48" s="193" t="str">
        <f>IFERROR(Tab_Compteur_8[[#This Row],[Montant]]/Tab_Compteur_8[[#This Row],[Delta Jour]],"")</f>
        <v/>
      </c>
      <c r="I48" s="215" t="str">
        <f t="shared" si="0"/>
        <v/>
      </c>
      <c r="J48" s="216"/>
      <c r="K48" s="38"/>
      <c r="L48" s="38"/>
      <c r="M48" s="38"/>
    </row>
    <row r="49" spans="1:13">
      <c r="A49" s="3">
        <f t="shared" si="2"/>
        <v>1</v>
      </c>
      <c r="B49" s="88"/>
      <c r="C49" s="199"/>
      <c r="D49" s="200"/>
      <c r="F49" s="193">
        <f t="shared" si="1"/>
        <v>0</v>
      </c>
      <c r="G49" s="193" t="str">
        <f>IF(IFERROR(IF(Str_TypeDonneesCpt8=Cpt_Index,Tab_Compteur_8[[#This Row],[Index]]-E48,Tab_Compteur_8[[#This Row],[Quantité]])/Tab_Compteur_8[[#This Row],[Delta Jour]],"")&lt;0,"",IFERROR(IF(Str_TypeDonneesCpt8=Cpt_Index,Tab_Compteur_8[[#This Row],[Index]]-E48,Tab_Compteur_8[[#This Row],[Quantité]])/Tab_Compteur_8[[#This Row],[Delta Jour]],""))</f>
        <v/>
      </c>
      <c r="H49" s="193" t="str">
        <f>IFERROR(Tab_Compteur_8[[#This Row],[Montant]]/Tab_Compteur_8[[#This Row],[Delta Jour]],"")</f>
        <v/>
      </c>
      <c r="I49" s="215" t="str">
        <f t="shared" si="0"/>
        <v/>
      </c>
      <c r="J49" s="216"/>
      <c r="K49" s="38"/>
      <c r="L49" s="38"/>
      <c r="M49" s="38"/>
    </row>
    <row r="50" spans="1:13">
      <c r="A50" s="3">
        <f t="shared" si="2"/>
        <v>1</v>
      </c>
      <c r="B50" s="88"/>
      <c r="C50" s="199"/>
      <c r="D50" s="200"/>
      <c r="F50" s="193">
        <f t="shared" si="1"/>
        <v>0</v>
      </c>
      <c r="G50" s="193" t="str">
        <f>IF(IFERROR(IF(Str_TypeDonneesCpt8=Cpt_Index,Tab_Compteur_8[[#This Row],[Index]]-E49,Tab_Compteur_8[[#This Row],[Quantité]])/Tab_Compteur_8[[#This Row],[Delta Jour]],"")&lt;0,"",IFERROR(IF(Str_TypeDonneesCpt8=Cpt_Index,Tab_Compteur_8[[#This Row],[Index]]-E49,Tab_Compteur_8[[#This Row],[Quantité]])/Tab_Compteur_8[[#This Row],[Delta Jour]],""))</f>
        <v/>
      </c>
      <c r="H50" s="193" t="str">
        <f>IFERROR(Tab_Compteur_8[[#This Row],[Montant]]/Tab_Compteur_8[[#This Row],[Delta Jour]],"")</f>
        <v/>
      </c>
      <c r="I50" s="215" t="str">
        <f t="shared" si="0"/>
        <v/>
      </c>
      <c r="J50" s="216"/>
      <c r="K50" s="38"/>
      <c r="L50" s="38"/>
      <c r="M50" s="38"/>
    </row>
    <row r="51" spans="1:13">
      <c r="A51" s="3">
        <f t="shared" si="2"/>
        <v>1</v>
      </c>
      <c r="B51" s="88"/>
      <c r="C51" s="199"/>
      <c r="D51" s="200"/>
      <c r="F51" s="193">
        <f t="shared" si="1"/>
        <v>0</v>
      </c>
      <c r="G51" s="193" t="str">
        <f>IF(IFERROR(IF(Str_TypeDonneesCpt8=Cpt_Index,Tab_Compteur_8[[#This Row],[Index]]-E50,Tab_Compteur_8[[#This Row],[Quantité]])/Tab_Compteur_8[[#This Row],[Delta Jour]],"")&lt;0,"",IFERROR(IF(Str_TypeDonneesCpt8=Cpt_Index,Tab_Compteur_8[[#This Row],[Index]]-E50,Tab_Compteur_8[[#This Row],[Quantité]])/Tab_Compteur_8[[#This Row],[Delta Jour]],""))</f>
        <v/>
      </c>
      <c r="H51" s="193" t="str">
        <f>IFERROR(Tab_Compteur_8[[#This Row],[Montant]]/Tab_Compteur_8[[#This Row],[Delta Jour]],"")</f>
        <v/>
      </c>
      <c r="I51" s="215" t="str">
        <f t="shared" si="0"/>
        <v/>
      </c>
      <c r="J51" s="216"/>
      <c r="K51" s="38"/>
      <c r="L51" s="38"/>
      <c r="M51" s="38"/>
    </row>
    <row r="52" spans="1:13">
      <c r="A52" s="3">
        <f t="shared" si="2"/>
        <v>1</v>
      </c>
      <c r="B52" s="88"/>
      <c r="C52" s="197"/>
      <c r="D52" s="200"/>
      <c r="F52" s="193">
        <f t="shared" si="1"/>
        <v>0</v>
      </c>
      <c r="G52" s="193" t="str">
        <f>IF(IFERROR(IF(Str_TypeDonneesCpt8=Cpt_Index,Tab_Compteur_8[[#This Row],[Index]]-E51,Tab_Compteur_8[[#This Row],[Quantité]])/Tab_Compteur_8[[#This Row],[Delta Jour]],"")&lt;0,"",IFERROR(IF(Str_TypeDonneesCpt8=Cpt_Index,Tab_Compteur_8[[#This Row],[Index]]-E51,Tab_Compteur_8[[#This Row],[Quantité]])/Tab_Compteur_8[[#This Row],[Delta Jour]],""))</f>
        <v/>
      </c>
      <c r="H52" s="193" t="str">
        <f>IFERROR(Tab_Compteur_8[[#This Row],[Montant]]/Tab_Compteur_8[[#This Row],[Delta Jour]],"")</f>
        <v/>
      </c>
      <c r="I52" s="215" t="str">
        <f t="shared" si="0"/>
        <v/>
      </c>
      <c r="J52" s="216"/>
      <c r="K52" s="38"/>
      <c r="L52" s="38"/>
      <c r="M52" s="38"/>
    </row>
    <row r="53" spans="1:13">
      <c r="A53" s="3">
        <f t="shared" si="2"/>
        <v>1</v>
      </c>
      <c r="B53" s="88"/>
      <c r="C53" s="197"/>
      <c r="D53" s="200"/>
      <c r="F53" s="193">
        <f t="shared" si="1"/>
        <v>0</v>
      </c>
      <c r="G53" s="193" t="str">
        <f>IF(IFERROR(IF(Str_TypeDonneesCpt8=Cpt_Index,Tab_Compteur_8[[#This Row],[Index]]-E52,Tab_Compteur_8[[#This Row],[Quantité]])/Tab_Compteur_8[[#This Row],[Delta Jour]],"")&lt;0,"",IFERROR(IF(Str_TypeDonneesCpt8=Cpt_Index,Tab_Compteur_8[[#This Row],[Index]]-E52,Tab_Compteur_8[[#This Row],[Quantité]])/Tab_Compteur_8[[#This Row],[Delta Jour]],""))</f>
        <v/>
      </c>
      <c r="H53" s="193" t="str">
        <f>IFERROR(Tab_Compteur_8[[#This Row],[Montant]]/Tab_Compteur_8[[#This Row],[Delta Jour]],"")</f>
        <v/>
      </c>
      <c r="I53" s="215" t="str">
        <f t="shared" si="0"/>
        <v/>
      </c>
      <c r="J53" s="216"/>
      <c r="K53" s="38"/>
      <c r="L53" s="38"/>
      <c r="M53" s="38"/>
    </row>
    <row r="54" spans="1:13">
      <c r="A54" s="3">
        <f t="shared" si="2"/>
        <v>1</v>
      </c>
      <c r="B54" s="88"/>
      <c r="C54" s="197"/>
      <c r="D54" s="200"/>
      <c r="F54" s="193">
        <f t="shared" si="1"/>
        <v>0</v>
      </c>
      <c r="G54" s="193" t="str">
        <f>IF(IFERROR(IF(Str_TypeDonneesCpt8=Cpt_Index,Tab_Compteur_8[[#This Row],[Index]]-E53,Tab_Compteur_8[[#This Row],[Quantité]])/Tab_Compteur_8[[#This Row],[Delta Jour]],"")&lt;0,"",IFERROR(IF(Str_TypeDonneesCpt8=Cpt_Index,Tab_Compteur_8[[#This Row],[Index]]-E53,Tab_Compteur_8[[#This Row],[Quantité]])/Tab_Compteur_8[[#This Row],[Delta Jour]],""))</f>
        <v/>
      </c>
      <c r="H54" s="193" t="str">
        <f>IFERROR(Tab_Compteur_8[[#This Row],[Montant]]/Tab_Compteur_8[[#This Row],[Delta Jour]],"")</f>
        <v/>
      </c>
      <c r="I54" s="215" t="str">
        <f t="shared" si="0"/>
        <v/>
      </c>
      <c r="J54" s="216"/>
      <c r="K54" s="38"/>
      <c r="L54" s="38"/>
      <c r="M54" s="38"/>
    </row>
    <row r="55" spans="1:13">
      <c r="A55" s="3">
        <f t="shared" si="2"/>
        <v>1</v>
      </c>
      <c r="B55" s="88"/>
      <c r="C55" s="199"/>
      <c r="D55" s="200"/>
      <c r="F55" s="193">
        <f t="shared" si="1"/>
        <v>0</v>
      </c>
      <c r="G55" s="193" t="str">
        <f>IF(IFERROR(IF(Str_TypeDonneesCpt8=Cpt_Index,Tab_Compteur_8[[#This Row],[Index]]-E54,Tab_Compteur_8[[#This Row],[Quantité]])/Tab_Compteur_8[[#This Row],[Delta Jour]],"")&lt;0,"",IFERROR(IF(Str_TypeDonneesCpt8=Cpt_Index,Tab_Compteur_8[[#This Row],[Index]]-E54,Tab_Compteur_8[[#This Row],[Quantité]])/Tab_Compteur_8[[#This Row],[Delta Jour]],""))</f>
        <v/>
      </c>
      <c r="H55" s="193" t="str">
        <f>IFERROR(Tab_Compteur_8[[#This Row],[Montant]]/Tab_Compteur_8[[#This Row],[Delta Jour]],"")</f>
        <v/>
      </c>
      <c r="I55" s="215" t="str">
        <f t="shared" si="0"/>
        <v/>
      </c>
      <c r="J55" s="216"/>
      <c r="K55" s="38"/>
      <c r="L55" s="38"/>
      <c r="M55" s="38"/>
    </row>
    <row r="56" spans="1:13">
      <c r="A56" s="3">
        <f t="shared" si="2"/>
        <v>1</v>
      </c>
      <c r="B56" s="88"/>
      <c r="C56" s="199"/>
      <c r="D56" s="200"/>
      <c r="F56" s="193">
        <f t="shared" si="1"/>
        <v>0</v>
      </c>
      <c r="G56" s="193" t="str">
        <f>IF(IFERROR(IF(Str_TypeDonneesCpt8=Cpt_Index,Tab_Compteur_8[[#This Row],[Index]]-E55,Tab_Compteur_8[[#This Row],[Quantité]])/Tab_Compteur_8[[#This Row],[Delta Jour]],"")&lt;0,"",IFERROR(IF(Str_TypeDonneesCpt8=Cpt_Index,Tab_Compteur_8[[#This Row],[Index]]-E55,Tab_Compteur_8[[#This Row],[Quantité]])/Tab_Compteur_8[[#This Row],[Delta Jour]],""))</f>
        <v/>
      </c>
      <c r="H56" s="193" t="str">
        <f>IFERROR(Tab_Compteur_8[[#This Row],[Montant]]/Tab_Compteur_8[[#This Row],[Delta Jour]],"")</f>
        <v/>
      </c>
      <c r="I56" s="215" t="str">
        <f t="shared" si="0"/>
        <v/>
      </c>
      <c r="J56" s="216"/>
      <c r="K56" s="38"/>
      <c r="L56" s="38"/>
      <c r="M56" s="38"/>
    </row>
    <row r="57" spans="1:13">
      <c r="A57" s="3">
        <f t="shared" si="2"/>
        <v>1</v>
      </c>
      <c r="B57" s="88"/>
      <c r="C57" s="199"/>
      <c r="D57" s="200"/>
      <c r="F57" s="193">
        <f t="shared" si="1"/>
        <v>0</v>
      </c>
      <c r="G57" s="193" t="str">
        <f>IF(IFERROR(IF(Str_TypeDonneesCpt8=Cpt_Index,Tab_Compteur_8[[#This Row],[Index]]-E56,Tab_Compteur_8[[#This Row],[Quantité]])/Tab_Compteur_8[[#This Row],[Delta Jour]],"")&lt;0,"",IFERROR(IF(Str_TypeDonneesCpt8=Cpt_Index,Tab_Compteur_8[[#This Row],[Index]]-E56,Tab_Compteur_8[[#This Row],[Quantité]])/Tab_Compteur_8[[#This Row],[Delta Jour]],""))</f>
        <v/>
      </c>
      <c r="H57" s="193" t="str">
        <f>IFERROR(Tab_Compteur_8[[#This Row],[Montant]]/Tab_Compteur_8[[#This Row],[Delta Jour]],"")</f>
        <v/>
      </c>
      <c r="I57" s="215" t="str">
        <f t="shared" si="0"/>
        <v/>
      </c>
      <c r="J57" s="216"/>
      <c r="K57" s="38"/>
      <c r="L57" s="38"/>
      <c r="M57" s="38"/>
    </row>
    <row r="58" spans="1:13">
      <c r="A58" s="3">
        <f t="shared" si="2"/>
        <v>1</v>
      </c>
      <c r="B58" s="88"/>
      <c r="C58" s="199"/>
      <c r="D58" s="200"/>
      <c r="F58" s="193">
        <f t="shared" si="1"/>
        <v>0</v>
      </c>
      <c r="G58" s="193" t="str">
        <f>IF(IFERROR(IF(Str_TypeDonneesCpt8=Cpt_Index,Tab_Compteur_8[[#This Row],[Index]]-E57,Tab_Compteur_8[[#This Row],[Quantité]])/Tab_Compteur_8[[#This Row],[Delta Jour]],"")&lt;0,"",IFERROR(IF(Str_TypeDonneesCpt8=Cpt_Index,Tab_Compteur_8[[#This Row],[Index]]-E57,Tab_Compteur_8[[#This Row],[Quantité]])/Tab_Compteur_8[[#This Row],[Delta Jour]],""))</f>
        <v/>
      </c>
      <c r="H58" s="193" t="str">
        <f>IFERROR(Tab_Compteur_8[[#This Row],[Montant]]/Tab_Compteur_8[[#This Row],[Delta Jour]],"")</f>
        <v/>
      </c>
      <c r="I58" s="215" t="str">
        <f t="shared" si="0"/>
        <v/>
      </c>
      <c r="J58" s="216"/>
      <c r="K58" s="38"/>
      <c r="L58" s="38"/>
      <c r="M58" s="38"/>
    </row>
    <row r="59" spans="1:13">
      <c r="A59" s="3">
        <f t="shared" si="2"/>
        <v>1</v>
      </c>
      <c r="B59" s="88"/>
      <c r="C59" s="199"/>
      <c r="D59" s="200"/>
      <c r="F59" s="193">
        <f t="shared" si="1"/>
        <v>0</v>
      </c>
      <c r="G59" s="193" t="str">
        <f>IF(IFERROR(IF(Str_TypeDonneesCpt8=Cpt_Index,Tab_Compteur_8[[#This Row],[Index]]-E58,Tab_Compteur_8[[#This Row],[Quantité]])/Tab_Compteur_8[[#This Row],[Delta Jour]],"")&lt;0,"",IFERROR(IF(Str_TypeDonneesCpt8=Cpt_Index,Tab_Compteur_8[[#This Row],[Index]]-E58,Tab_Compteur_8[[#This Row],[Quantité]])/Tab_Compteur_8[[#This Row],[Delta Jour]],""))</f>
        <v/>
      </c>
      <c r="H59" s="193" t="str">
        <f>IFERROR(Tab_Compteur_8[[#This Row],[Montant]]/Tab_Compteur_8[[#This Row],[Delta Jour]],"")</f>
        <v/>
      </c>
      <c r="I59" s="215" t="str">
        <f t="shared" si="0"/>
        <v/>
      </c>
      <c r="J59" s="216"/>
      <c r="K59" s="38"/>
      <c r="L59" s="38"/>
      <c r="M59" s="38"/>
    </row>
    <row r="60" spans="1:13">
      <c r="A60" s="3">
        <f t="shared" si="2"/>
        <v>1</v>
      </c>
      <c r="B60" s="88"/>
      <c r="C60" s="196"/>
      <c r="D60" s="195"/>
      <c r="F60" s="193">
        <f t="shared" si="1"/>
        <v>0</v>
      </c>
      <c r="G60" s="193" t="str">
        <f>IF(IFERROR(IF(Str_TypeDonneesCpt8=Cpt_Index,Tab_Compteur_8[[#This Row],[Index]]-E59,Tab_Compteur_8[[#This Row],[Quantité]])/Tab_Compteur_8[[#This Row],[Delta Jour]],"")&lt;0,"",IFERROR(IF(Str_TypeDonneesCpt8=Cpt_Index,Tab_Compteur_8[[#This Row],[Index]]-E59,Tab_Compteur_8[[#This Row],[Quantité]])/Tab_Compteur_8[[#This Row],[Delta Jour]],""))</f>
        <v/>
      </c>
      <c r="H60" s="193" t="str">
        <f>IFERROR(Tab_Compteur_8[[#This Row],[Montant]]/Tab_Compteur_8[[#This Row],[Delta Jour]],"")</f>
        <v/>
      </c>
      <c r="I60" s="215" t="str">
        <f t="shared" si="0"/>
        <v/>
      </c>
      <c r="J60" s="216"/>
      <c r="K60" s="38"/>
      <c r="L60" s="38"/>
      <c r="M60" s="38"/>
    </row>
    <row r="61" spans="1:13">
      <c r="A61" s="3">
        <f t="shared" si="2"/>
        <v>1</v>
      </c>
      <c r="B61" s="88"/>
      <c r="C61" s="196"/>
      <c r="D61" s="195"/>
      <c r="F61" s="193">
        <f t="shared" si="1"/>
        <v>0</v>
      </c>
      <c r="G61" s="193" t="str">
        <f>IF(IFERROR(IF(Str_TypeDonneesCpt8=Cpt_Index,Tab_Compteur_8[[#This Row],[Index]]-E60,Tab_Compteur_8[[#This Row],[Quantité]])/Tab_Compteur_8[[#This Row],[Delta Jour]],"")&lt;0,"",IFERROR(IF(Str_TypeDonneesCpt8=Cpt_Index,Tab_Compteur_8[[#This Row],[Index]]-E60,Tab_Compteur_8[[#This Row],[Quantité]])/Tab_Compteur_8[[#This Row],[Delta Jour]],""))</f>
        <v/>
      </c>
      <c r="H61" s="193" t="str">
        <f>IFERROR(Tab_Compteur_8[[#This Row],[Montant]]/Tab_Compteur_8[[#This Row],[Delta Jour]],"")</f>
        <v/>
      </c>
      <c r="I61" s="215" t="str">
        <f t="shared" si="0"/>
        <v/>
      </c>
      <c r="J61" s="216"/>
      <c r="K61" s="38"/>
      <c r="L61" s="38"/>
      <c r="M61" s="38"/>
    </row>
    <row r="62" spans="1:13">
      <c r="A62" s="3">
        <f t="shared" si="2"/>
        <v>1</v>
      </c>
      <c r="B62" s="88"/>
      <c r="C62" s="196"/>
      <c r="D62" s="195"/>
      <c r="F62" s="193">
        <f t="shared" si="1"/>
        <v>0</v>
      </c>
      <c r="G62" s="193" t="str">
        <f>IF(IFERROR(IF(Str_TypeDonneesCpt8=Cpt_Index,Tab_Compteur_8[[#This Row],[Index]]-E61,Tab_Compteur_8[[#This Row],[Quantité]])/Tab_Compteur_8[[#This Row],[Delta Jour]],"")&lt;0,"",IFERROR(IF(Str_TypeDonneesCpt8=Cpt_Index,Tab_Compteur_8[[#This Row],[Index]]-E61,Tab_Compteur_8[[#This Row],[Quantité]])/Tab_Compteur_8[[#This Row],[Delta Jour]],""))</f>
        <v/>
      </c>
      <c r="H62" s="193" t="str">
        <f>IFERROR(Tab_Compteur_8[[#This Row],[Montant]]/Tab_Compteur_8[[#This Row],[Delta Jour]],"")</f>
        <v/>
      </c>
      <c r="I62" s="215" t="str">
        <f t="shared" si="0"/>
        <v/>
      </c>
      <c r="J62" s="216"/>
      <c r="K62" s="38"/>
      <c r="L62" s="38"/>
      <c r="M62" s="38"/>
    </row>
    <row r="63" spans="1:13">
      <c r="A63" s="3">
        <f t="shared" si="2"/>
        <v>1</v>
      </c>
      <c r="B63" s="88"/>
      <c r="C63" s="196"/>
      <c r="D63" s="195"/>
      <c r="F63" s="193">
        <f t="shared" si="1"/>
        <v>0</v>
      </c>
      <c r="G63" s="193" t="str">
        <f>IF(IFERROR(IF(Str_TypeDonneesCpt8=Cpt_Index,Tab_Compteur_8[[#This Row],[Index]]-E62,Tab_Compteur_8[[#This Row],[Quantité]])/Tab_Compteur_8[[#This Row],[Delta Jour]],"")&lt;0,"",IFERROR(IF(Str_TypeDonneesCpt8=Cpt_Index,Tab_Compteur_8[[#This Row],[Index]]-E62,Tab_Compteur_8[[#This Row],[Quantité]])/Tab_Compteur_8[[#This Row],[Delta Jour]],""))</f>
        <v/>
      </c>
      <c r="H63" s="193" t="str">
        <f>IFERROR(Tab_Compteur_8[[#This Row],[Montant]]/Tab_Compteur_8[[#This Row],[Delta Jour]],"")</f>
        <v/>
      </c>
      <c r="I63" s="215" t="str">
        <f t="shared" si="0"/>
        <v/>
      </c>
      <c r="J63" s="216"/>
      <c r="K63" s="38"/>
      <c r="L63" s="38"/>
      <c r="M63" s="38"/>
    </row>
    <row r="64" spans="1:13">
      <c r="A64" s="3">
        <f t="shared" si="2"/>
        <v>1</v>
      </c>
      <c r="B64" s="88"/>
      <c r="C64" s="196"/>
      <c r="D64" s="195"/>
      <c r="F64" s="193">
        <f t="shared" si="1"/>
        <v>0</v>
      </c>
      <c r="G64" s="193" t="str">
        <f>IF(IFERROR(IF(Str_TypeDonneesCpt8=Cpt_Index,Tab_Compteur_8[[#This Row],[Index]]-E63,Tab_Compteur_8[[#This Row],[Quantité]])/Tab_Compteur_8[[#This Row],[Delta Jour]],"")&lt;0,"",IFERROR(IF(Str_TypeDonneesCpt8=Cpt_Index,Tab_Compteur_8[[#This Row],[Index]]-E63,Tab_Compteur_8[[#This Row],[Quantité]])/Tab_Compteur_8[[#This Row],[Delta Jour]],""))</f>
        <v/>
      </c>
      <c r="H64" s="193" t="str">
        <f>IFERROR(Tab_Compteur_8[[#This Row],[Montant]]/Tab_Compteur_8[[#This Row],[Delta Jour]],"")</f>
        <v/>
      </c>
      <c r="I64" s="215" t="str">
        <f t="shared" si="0"/>
        <v/>
      </c>
      <c r="J64" s="216"/>
      <c r="K64" s="38"/>
      <c r="L64" s="38"/>
      <c r="M64" s="38"/>
    </row>
    <row r="65" spans="1:13">
      <c r="A65" s="3">
        <f t="shared" si="2"/>
        <v>1</v>
      </c>
      <c r="B65" s="88"/>
      <c r="C65" s="196"/>
      <c r="D65" s="195"/>
      <c r="F65" s="193">
        <f t="shared" si="1"/>
        <v>0</v>
      </c>
      <c r="G65" s="193" t="str">
        <f>IF(IFERROR(IF(Str_TypeDonneesCpt8=Cpt_Index,Tab_Compteur_8[[#This Row],[Index]]-E64,Tab_Compteur_8[[#This Row],[Quantité]])/Tab_Compteur_8[[#This Row],[Delta Jour]],"")&lt;0,"",IFERROR(IF(Str_TypeDonneesCpt8=Cpt_Index,Tab_Compteur_8[[#This Row],[Index]]-E64,Tab_Compteur_8[[#This Row],[Quantité]])/Tab_Compteur_8[[#This Row],[Delta Jour]],""))</f>
        <v/>
      </c>
      <c r="H65" s="193" t="str">
        <f>IFERROR(Tab_Compteur_8[[#This Row],[Montant]]/Tab_Compteur_8[[#This Row],[Delta Jour]],"")</f>
        <v/>
      </c>
      <c r="I65" s="215" t="str">
        <f t="shared" si="0"/>
        <v/>
      </c>
      <c r="J65" s="216"/>
      <c r="K65" s="38"/>
      <c r="L65" s="38"/>
      <c r="M65" s="38"/>
    </row>
    <row r="66" spans="1:13">
      <c r="A66" s="3">
        <f t="shared" si="2"/>
        <v>1</v>
      </c>
      <c r="B66" s="88"/>
      <c r="C66" s="196"/>
      <c r="D66" s="195"/>
      <c r="F66" s="193">
        <f t="shared" si="1"/>
        <v>0</v>
      </c>
      <c r="G66" s="193" t="str">
        <f>IF(IFERROR(IF(Str_TypeDonneesCpt8=Cpt_Index,Tab_Compteur_8[[#This Row],[Index]]-E65,Tab_Compteur_8[[#This Row],[Quantité]])/Tab_Compteur_8[[#This Row],[Delta Jour]],"")&lt;0,"",IFERROR(IF(Str_TypeDonneesCpt8=Cpt_Index,Tab_Compteur_8[[#This Row],[Index]]-E65,Tab_Compteur_8[[#This Row],[Quantité]])/Tab_Compteur_8[[#This Row],[Delta Jour]],""))</f>
        <v/>
      </c>
      <c r="H66" s="193" t="str">
        <f>IFERROR(Tab_Compteur_8[[#This Row],[Montant]]/Tab_Compteur_8[[#This Row],[Delta Jour]],"")</f>
        <v/>
      </c>
      <c r="I66" s="215" t="str">
        <f t="shared" si="0"/>
        <v/>
      </c>
      <c r="J66" s="216"/>
      <c r="K66" s="38"/>
      <c r="L66" s="38"/>
      <c r="M66" s="38"/>
    </row>
    <row r="67" spans="1:13">
      <c r="A67" s="3">
        <f t="shared" si="2"/>
        <v>1</v>
      </c>
      <c r="B67" s="88"/>
      <c r="C67" s="196"/>
      <c r="D67" s="195"/>
      <c r="F67" s="193">
        <f t="shared" si="1"/>
        <v>0</v>
      </c>
      <c r="G67" s="193" t="str">
        <f>IF(IFERROR(IF(Str_TypeDonneesCpt8=Cpt_Index,Tab_Compteur_8[[#This Row],[Index]]-E66,Tab_Compteur_8[[#This Row],[Quantité]])/Tab_Compteur_8[[#This Row],[Delta Jour]],"")&lt;0,"",IFERROR(IF(Str_TypeDonneesCpt8=Cpt_Index,Tab_Compteur_8[[#This Row],[Index]]-E66,Tab_Compteur_8[[#This Row],[Quantité]])/Tab_Compteur_8[[#This Row],[Delta Jour]],""))</f>
        <v/>
      </c>
      <c r="H67" s="193" t="str">
        <f>IFERROR(Tab_Compteur_8[[#This Row],[Montant]]/Tab_Compteur_8[[#This Row],[Delta Jour]],"")</f>
        <v/>
      </c>
      <c r="I67" s="215" t="str">
        <f t="shared" ref="I67:I130" si="3">G67</f>
        <v/>
      </c>
      <c r="J67" s="216"/>
      <c r="K67" s="38"/>
      <c r="L67" s="38"/>
      <c r="M67" s="38"/>
    </row>
    <row r="68" spans="1:13">
      <c r="A68" s="3">
        <f t="shared" si="2"/>
        <v>1</v>
      </c>
      <c r="B68" s="88"/>
      <c r="C68" s="196"/>
      <c r="D68" s="195"/>
      <c r="F68" s="193">
        <f t="shared" si="1"/>
        <v>0</v>
      </c>
      <c r="G68" s="193" t="str">
        <f>IF(IFERROR(IF(Str_TypeDonneesCpt8=Cpt_Index,Tab_Compteur_8[[#This Row],[Index]]-E67,Tab_Compteur_8[[#This Row],[Quantité]])/Tab_Compteur_8[[#This Row],[Delta Jour]],"")&lt;0,"",IFERROR(IF(Str_TypeDonneesCpt8=Cpt_Index,Tab_Compteur_8[[#This Row],[Index]]-E67,Tab_Compteur_8[[#This Row],[Quantité]])/Tab_Compteur_8[[#This Row],[Delta Jour]],""))</f>
        <v/>
      </c>
      <c r="H68" s="193" t="str">
        <f>IFERROR(Tab_Compteur_8[[#This Row],[Montant]]/Tab_Compteur_8[[#This Row],[Delta Jour]],"")</f>
        <v/>
      </c>
      <c r="I68" s="215" t="str">
        <f t="shared" si="3"/>
        <v/>
      </c>
      <c r="J68" s="216"/>
      <c r="K68" s="38"/>
      <c r="L68" s="38"/>
      <c r="M68" s="38"/>
    </row>
    <row r="69" spans="1:13">
      <c r="A69" s="3">
        <f t="shared" si="2"/>
        <v>1</v>
      </c>
      <c r="B69" s="88"/>
      <c r="C69" s="196"/>
      <c r="D69" s="195"/>
      <c r="F69" s="193">
        <f t="shared" ref="F69:F132" si="4">IFERROR(B69-A69+1,"")</f>
        <v>0</v>
      </c>
      <c r="G69" s="193" t="str">
        <f>IF(IFERROR(IF(Str_TypeDonneesCpt8=Cpt_Index,Tab_Compteur_8[[#This Row],[Index]]-E68,Tab_Compteur_8[[#This Row],[Quantité]])/Tab_Compteur_8[[#This Row],[Delta Jour]],"")&lt;0,"",IFERROR(IF(Str_TypeDonneesCpt8=Cpt_Index,Tab_Compteur_8[[#This Row],[Index]]-E68,Tab_Compteur_8[[#This Row],[Quantité]])/Tab_Compteur_8[[#This Row],[Delta Jour]],""))</f>
        <v/>
      </c>
      <c r="H69" s="193" t="str">
        <f>IFERROR(Tab_Compteur_8[[#This Row],[Montant]]/Tab_Compteur_8[[#This Row],[Delta Jour]],"")</f>
        <v/>
      </c>
      <c r="I69" s="215" t="str">
        <f t="shared" si="3"/>
        <v/>
      </c>
      <c r="J69" s="216"/>
      <c r="K69" s="38"/>
      <c r="L69" s="38"/>
      <c r="M69" s="38"/>
    </row>
    <row r="70" spans="1:13">
      <c r="A70" s="3">
        <f t="shared" ref="A70:A133" si="5">IFERROR(B69+1,0)</f>
        <v>1</v>
      </c>
      <c r="B70" s="88"/>
      <c r="C70" s="196"/>
      <c r="D70" s="195"/>
      <c r="F70" s="193">
        <f t="shared" si="4"/>
        <v>0</v>
      </c>
      <c r="G70" s="193" t="str">
        <f>IF(IFERROR(IF(Str_TypeDonneesCpt8=Cpt_Index,Tab_Compteur_8[[#This Row],[Index]]-E69,Tab_Compteur_8[[#This Row],[Quantité]])/Tab_Compteur_8[[#This Row],[Delta Jour]],"")&lt;0,"",IFERROR(IF(Str_TypeDonneesCpt8=Cpt_Index,Tab_Compteur_8[[#This Row],[Index]]-E69,Tab_Compteur_8[[#This Row],[Quantité]])/Tab_Compteur_8[[#This Row],[Delta Jour]],""))</f>
        <v/>
      </c>
      <c r="H70" s="193" t="str">
        <f>IFERROR(Tab_Compteur_8[[#This Row],[Montant]]/Tab_Compteur_8[[#This Row],[Delta Jour]],"")</f>
        <v/>
      </c>
      <c r="I70" s="215" t="str">
        <f t="shared" si="3"/>
        <v/>
      </c>
      <c r="J70" s="216"/>
      <c r="K70" s="38"/>
      <c r="L70" s="38"/>
      <c r="M70" s="38"/>
    </row>
    <row r="71" spans="1:13">
      <c r="A71" s="3">
        <f t="shared" si="5"/>
        <v>1</v>
      </c>
      <c r="B71" s="88"/>
      <c r="C71" s="196"/>
      <c r="D71" s="195"/>
      <c r="F71" s="193">
        <f t="shared" si="4"/>
        <v>0</v>
      </c>
      <c r="G71" s="193" t="str">
        <f>IF(IFERROR(IF(Str_TypeDonneesCpt8=Cpt_Index,Tab_Compteur_8[[#This Row],[Index]]-E70,Tab_Compteur_8[[#This Row],[Quantité]])/Tab_Compteur_8[[#This Row],[Delta Jour]],"")&lt;0,"",IFERROR(IF(Str_TypeDonneesCpt8=Cpt_Index,Tab_Compteur_8[[#This Row],[Index]]-E70,Tab_Compteur_8[[#This Row],[Quantité]])/Tab_Compteur_8[[#This Row],[Delta Jour]],""))</f>
        <v/>
      </c>
      <c r="H71" s="193" t="str">
        <f>IFERROR(Tab_Compteur_8[[#This Row],[Montant]]/Tab_Compteur_8[[#This Row],[Delta Jour]],"")</f>
        <v/>
      </c>
      <c r="I71" s="215" t="str">
        <f t="shared" si="3"/>
        <v/>
      </c>
      <c r="J71" s="216"/>
      <c r="K71" s="38"/>
      <c r="L71" s="38"/>
      <c r="M71" s="38"/>
    </row>
    <row r="72" spans="1:13">
      <c r="A72" s="3">
        <f t="shared" si="5"/>
        <v>1</v>
      </c>
      <c r="B72" s="88"/>
      <c r="C72" s="196"/>
      <c r="D72" s="195"/>
      <c r="F72" s="193">
        <f t="shared" si="4"/>
        <v>0</v>
      </c>
      <c r="G72" s="193" t="str">
        <f>IF(IFERROR(IF(Str_TypeDonneesCpt8=Cpt_Index,Tab_Compteur_8[[#This Row],[Index]]-E71,Tab_Compteur_8[[#This Row],[Quantité]])/Tab_Compteur_8[[#This Row],[Delta Jour]],"")&lt;0,"",IFERROR(IF(Str_TypeDonneesCpt8=Cpt_Index,Tab_Compteur_8[[#This Row],[Index]]-E71,Tab_Compteur_8[[#This Row],[Quantité]])/Tab_Compteur_8[[#This Row],[Delta Jour]],""))</f>
        <v/>
      </c>
      <c r="H72" s="193" t="str">
        <f>IFERROR(Tab_Compteur_8[[#This Row],[Montant]]/Tab_Compteur_8[[#This Row],[Delta Jour]],"")</f>
        <v/>
      </c>
      <c r="I72" s="215" t="str">
        <f t="shared" si="3"/>
        <v/>
      </c>
      <c r="J72" s="216"/>
      <c r="K72" s="38"/>
      <c r="L72" s="38"/>
      <c r="M72" s="38"/>
    </row>
    <row r="73" spans="1:13">
      <c r="A73" s="3">
        <f t="shared" si="5"/>
        <v>1</v>
      </c>
      <c r="B73" s="88"/>
      <c r="C73" s="196"/>
      <c r="D73" s="195"/>
      <c r="F73" s="193">
        <f t="shared" si="4"/>
        <v>0</v>
      </c>
      <c r="G73" s="193" t="str">
        <f>IF(IFERROR(IF(Str_TypeDonneesCpt8=Cpt_Index,Tab_Compteur_8[[#This Row],[Index]]-E72,Tab_Compteur_8[[#This Row],[Quantité]])/Tab_Compteur_8[[#This Row],[Delta Jour]],"")&lt;0,"",IFERROR(IF(Str_TypeDonneesCpt8=Cpt_Index,Tab_Compteur_8[[#This Row],[Index]]-E72,Tab_Compteur_8[[#This Row],[Quantité]])/Tab_Compteur_8[[#This Row],[Delta Jour]],""))</f>
        <v/>
      </c>
      <c r="H73" s="193" t="str">
        <f>IFERROR(Tab_Compteur_8[[#This Row],[Montant]]/Tab_Compteur_8[[#This Row],[Delta Jour]],"")</f>
        <v/>
      </c>
      <c r="I73" s="215" t="str">
        <f t="shared" si="3"/>
        <v/>
      </c>
      <c r="J73" s="216"/>
      <c r="K73" s="38"/>
      <c r="L73" s="38"/>
      <c r="M73" s="38"/>
    </row>
    <row r="74" spans="1:13">
      <c r="A74" s="3">
        <f t="shared" si="5"/>
        <v>1</v>
      </c>
      <c r="B74" s="88"/>
      <c r="C74" s="196"/>
      <c r="D74" s="195"/>
      <c r="F74" s="193">
        <f t="shared" si="4"/>
        <v>0</v>
      </c>
      <c r="G74" s="193" t="str">
        <f>IF(IFERROR(IF(Str_TypeDonneesCpt8=Cpt_Index,Tab_Compteur_8[[#This Row],[Index]]-E73,Tab_Compteur_8[[#This Row],[Quantité]])/Tab_Compteur_8[[#This Row],[Delta Jour]],"")&lt;0,"",IFERROR(IF(Str_TypeDonneesCpt8=Cpt_Index,Tab_Compteur_8[[#This Row],[Index]]-E73,Tab_Compteur_8[[#This Row],[Quantité]])/Tab_Compteur_8[[#This Row],[Delta Jour]],""))</f>
        <v/>
      </c>
      <c r="H74" s="193" t="str">
        <f>IFERROR(Tab_Compteur_8[[#This Row],[Montant]]/Tab_Compteur_8[[#This Row],[Delta Jour]],"")</f>
        <v/>
      </c>
      <c r="I74" s="215" t="str">
        <f t="shared" si="3"/>
        <v/>
      </c>
      <c r="J74" s="216"/>
      <c r="K74" s="38"/>
      <c r="L74" s="38"/>
      <c r="M74" s="38"/>
    </row>
    <row r="75" spans="1:13">
      <c r="A75" s="3">
        <f t="shared" si="5"/>
        <v>1</v>
      </c>
      <c r="B75" s="88"/>
      <c r="C75" s="196"/>
      <c r="D75" s="195"/>
      <c r="F75" s="193">
        <f t="shared" si="4"/>
        <v>0</v>
      </c>
      <c r="G75" s="193" t="str">
        <f>IF(IFERROR(IF(Str_TypeDonneesCpt8=Cpt_Index,Tab_Compteur_8[[#This Row],[Index]]-E74,Tab_Compteur_8[[#This Row],[Quantité]])/Tab_Compteur_8[[#This Row],[Delta Jour]],"")&lt;0,"",IFERROR(IF(Str_TypeDonneesCpt8=Cpt_Index,Tab_Compteur_8[[#This Row],[Index]]-E74,Tab_Compteur_8[[#This Row],[Quantité]])/Tab_Compteur_8[[#This Row],[Delta Jour]],""))</f>
        <v/>
      </c>
      <c r="H75" s="193" t="str">
        <f>IFERROR(Tab_Compteur_8[[#This Row],[Montant]]/Tab_Compteur_8[[#This Row],[Delta Jour]],"")</f>
        <v/>
      </c>
      <c r="I75" s="215" t="str">
        <f t="shared" si="3"/>
        <v/>
      </c>
      <c r="J75" s="216"/>
      <c r="K75" s="38"/>
      <c r="L75" s="38"/>
      <c r="M75" s="38"/>
    </row>
    <row r="76" spans="1:13">
      <c r="A76" s="3">
        <f t="shared" si="5"/>
        <v>1</v>
      </c>
      <c r="B76" s="88"/>
      <c r="C76" s="196"/>
      <c r="D76" s="195"/>
      <c r="F76" s="193">
        <f t="shared" si="4"/>
        <v>0</v>
      </c>
      <c r="G76" s="193" t="str">
        <f>IF(IFERROR(IF(Str_TypeDonneesCpt8=Cpt_Index,Tab_Compteur_8[[#This Row],[Index]]-E75,Tab_Compteur_8[[#This Row],[Quantité]])/Tab_Compteur_8[[#This Row],[Delta Jour]],"")&lt;0,"",IFERROR(IF(Str_TypeDonneesCpt8=Cpt_Index,Tab_Compteur_8[[#This Row],[Index]]-E75,Tab_Compteur_8[[#This Row],[Quantité]])/Tab_Compteur_8[[#This Row],[Delta Jour]],""))</f>
        <v/>
      </c>
      <c r="H76" s="193" t="str">
        <f>IFERROR(Tab_Compteur_8[[#This Row],[Montant]]/Tab_Compteur_8[[#This Row],[Delta Jour]],"")</f>
        <v/>
      </c>
      <c r="I76" s="215" t="str">
        <f t="shared" si="3"/>
        <v/>
      </c>
      <c r="J76" s="216"/>
      <c r="K76" s="38"/>
      <c r="L76" s="38"/>
      <c r="M76" s="38"/>
    </row>
    <row r="77" spans="1:13">
      <c r="A77" s="3">
        <f t="shared" si="5"/>
        <v>1</v>
      </c>
      <c r="B77" s="88"/>
      <c r="C77" s="196"/>
      <c r="D77" s="195"/>
      <c r="F77" s="193">
        <f t="shared" si="4"/>
        <v>0</v>
      </c>
      <c r="G77" s="193" t="str">
        <f>IF(IFERROR(IF(Str_TypeDonneesCpt8=Cpt_Index,Tab_Compteur_8[[#This Row],[Index]]-E76,Tab_Compteur_8[[#This Row],[Quantité]])/Tab_Compteur_8[[#This Row],[Delta Jour]],"")&lt;0,"",IFERROR(IF(Str_TypeDonneesCpt8=Cpt_Index,Tab_Compteur_8[[#This Row],[Index]]-E76,Tab_Compteur_8[[#This Row],[Quantité]])/Tab_Compteur_8[[#This Row],[Delta Jour]],""))</f>
        <v/>
      </c>
      <c r="H77" s="193" t="str">
        <f>IFERROR(Tab_Compteur_8[[#This Row],[Montant]]/Tab_Compteur_8[[#This Row],[Delta Jour]],"")</f>
        <v/>
      </c>
      <c r="I77" s="215" t="str">
        <f t="shared" si="3"/>
        <v/>
      </c>
      <c r="J77" s="216"/>
      <c r="K77" s="38"/>
      <c r="L77" s="38"/>
      <c r="M77" s="38"/>
    </row>
    <row r="78" spans="1:13">
      <c r="A78" s="3">
        <f t="shared" si="5"/>
        <v>1</v>
      </c>
      <c r="B78" s="88"/>
      <c r="C78" s="196"/>
      <c r="D78" s="195"/>
      <c r="F78" s="193">
        <f t="shared" si="4"/>
        <v>0</v>
      </c>
      <c r="G78" s="193" t="str">
        <f>IF(IFERROR(IF(Str_TypeDonneesCpt8=Cpt_Index,Tab_Compteur_8[[#This Row],[Index]]-E77,Tab_Compteur_8[[#This Row],[Quantité]])/Tab_Compteur_8[[#This Row],[Delta Jour]],"")&lt;0,"",IFERROR(IF(Str_TypeDonneesCpt8=Cpt_Index,Tab_Compteur_8[[#This Row],[Index]]-E77,Tab_Compteur_8[[#This Row],[Quantité]])/Tab_Compteur_8[[#This Row],[Delta Jour]],""))</f>
        <v/>
      </c>
      <c r="H78" s="193" t="str">
        <f>IFERROR(Tab_Compteur_8[[#This Row],[Montant]]/Tab_Compteur_8[[#This Row],[Delta Jour]],"")</f>
        <v/>
      </c>
      <c r="I78" s="215" t="str">
        <f t="shared" si="3"/>
        <v/>
      </c>
      <c r="J78" s="216"/>
      <c r="K78" s="38"/>
      <c r="L78" s="38"/>
      <c r="M78" s="38"/>
    </row>
    <row r="79" spans="1:13">
      <c r="A79" s="3">
        <f t="shared" si="5"/>
        <v>1</v>
      </c>
      <c r="B79" s="88"/>
      <c r="C79" s="196"/>
      <c r="D79" s="195"/>
      <c r="F79" s="193">
        <f t="shared" si="4"/>
        <v>0</v>
      </c>
      <c r="G79" s="193" t="str">
        <f>IF(IFERROR(IF(Str_TypeDonneesCpt8=Cpt_Index,Tab_Compteur_8[[#This Row],[Index]]-E78,Tab_Compteur_8[[#This Row],[Quantité]])/Tab_Compteur_8[[#This Row],[Delta Jour]],"")&lt;0,"",IFERROR(IF(Str_TypeDonneesCpt8=Cpt_Index,Tab_Compteur_8[[#This Row],[Index]]-E78,Tab_Compteur_8[[#This Row],[Quantité]])/Tab_Compteur_8[[#This Row],[Delta Jour]],""))</f>
        <v/>
      </c>
      <c r="H79" s="193" t="str">
        <f>IFERROR(Tab_Compteur_8[[#This Row],[Montant]]/Tab_Compteur_8[[#This Row],[Delta Jour]],"")</f>
        <v/>
      </c>
      <c r="I79" s="215" t="str">
        <f t="shared" si="3"/>
        <v/>
      </c>
      <c r="J79" s="216"/>
      <c r="K79" s="38"/>
      <c r="L79" s="38"/>
      <c r="M79" s="38"/>
    </row>
    <row r="80" spans="1:13">
      <c r="A80" s="3">
        <f t="shared" si="5"/>
        <v>1</v>
      </c>
      <c r="B80" s="88"/>
      <c r="C80" s="196"/>
      <c r="D80" s="195"/>
      <c r="F80" s="193">
        <f t="shared" si="4"/>
        <v>0</v>
      </c>
      <c r="G80" s="193" t="str">
        <f>IF(IFERROR(IF(Str_TypeDonneesCpt8=Cpt_Index,Tab_Compteur_8[[#This Row],[Index]]-E79,Tab_Compteur_8[[#This Row],[Quantité]])/Tab_Compteur_8[[#This Row],[Delta Jour]],"")&lt;0,"",IFERROR(IF(Str_TypeDonneesCpt8=Cpt_Index,Tab_Compteur_8[[#This Row],[Index]]-E79,Tab_Compteur_8[[#This Row],[Quantité]])/Tab_Compteur_8[[#This Row],[Delta Jour]],""))</f>
        <v/>
      </c>
      <c r="H80" s="193" t="str">
        <f>IFERROR(Tab_Compteur_8[[#This Row],[Montant]]/Tab_Compteur_8[[#This Row],[Delta Jour]],"")</f>
        <v/>
      </c>
      <c r="I80" s="215" t="str">
        <f t="shared" si="3"/>
        <v/>
      </c>
      <c r="J80" s="216"/>
      <c r="K80" s="38"/>
      <c r="L80" s="38"/>
      <c r="M80" s="38"/>
    </row>
    <row r="81" spans="1:13">
      <c r="A81" s="3">
        <f t="shared" si="5"/>
        <v>1</v>
      </c>
      <c r="B81" s="88"/>
      <c r="C81" s="196"/>
      <c r="D81" s="195"/>
      <c r="F81" s="193">
        <f t="shared" si="4"/>
        <v>0</v>
      </c>
      <c r="G81" s="193" t="str">
        <f>IF(IFERROR(IF(Str_TypeDonneesCpt8=Cpt_Index,Tab_Compteur_8[[#This Row],[Index]]-E80,Tab_Compteur_8[[#This Row],[Quantité]])/Tab_Compteur_8[[#This Row],[Delta Jour]],"")&lt;0,"",IFERROR(IF(Str_TypeDonneesCpt8=Cpt_Index,Tab_Compteur_8[[#This Row],[Index]]-E80,Tab_Compteur_8[[#This Row],[Quantité]])/Tab_Compteur_8[[#This Row],[Delta Jour]],""))</f>
        <v/>
      </c>
      <c r="H81" s="193" t="str">
        <f>IFERROR(Tab_Compteur_8[[#This Row],[Montant]]/Tab_Compteur_8[[#This Row],[Delta Jour]],"")</f>
        <v/>
      </c>
      <c r="I81" s="215" t="str">
        <f t="shared" si="3"/>
        <v/>
      </c>
      <c r="J81" s="216"/>
      <c r="K81" s="38"/>
      <c r="L81" s="38"/>
      <c r="M81" s="38"/>
    </row>
    <row r="82" spans="1:13">
      <c r="A82" s="3">
        <f t="shared" si="5"/>
        <v>1</v>
      </c>
      <c r="B82" s="88"/>
      <c r="C82" s="196"/>
      <c r="D82" s="195"/>
      <c r="F82" s="193">
        <f t="shared" si="4"/>
        <v>0</v>
      </c>
      <c r="G82" s="193" t="str">
        <f>IF(IFERROR(IF(Str_TypeDonneesCpt8=Cpt_Index,Tab_Compteur_8[[#This Row],[Index]]-E81,Tab_Compteur_8[[#This Row],[Quantité]])/Tab_Compteur_8[[#This Row],[Delta Jour]],"")&lt;0,"",IFERROR(IF(Str_TypeDonneesCpt8=Cpt_Index,Tab_Compteur_8[[#This Row],[Index]]-E81,Tab_Compteur_8[[#This Row],[Quantité]])/Tab_Compteur_8[[#This Row],[Delta Jour]],""))</f>
        <v/>
      </c>
      <c r="H82" s="193" t="str">
        <f>IFERROR(Tab_Compteur_8[[#This Row],[Montant]]/Tab_Compteur_8[[#This Row],[Delta Jour]],"")</f>
        <v/>
      </c>
      <c r="I82" s="215" t="str">
        <f t="shared" si="3"/>
        <v/>
      </c>
      <c r="J82" s="216"/>
      <c r="K82" s="38"/>
      <c r="L82" s="38"/>
      <c r="M82" s="38"/>
    </row>
    <row r="83" spans="1:13">
      <c r="A83" s="3">
        <f t="shared" si="5"/>
        <v>1</v>
      </c>
      <c r="B83" s="88"/>
      <c r="C83" s="196"/>
      <c r="D83" s="195"/>
      <c r="F83" s="193">
        <f t="shared" si="4"/>
        <v>0</v>
      </c>
      <c r="G83" s="193" t="str">
        <f>IF(IFERROR(IF(Str_TypeDonneesCpt8=Cpt_Index,Tab_Compteur_8[[#This Row],[Index]]-E82,Tab_Compteur_8[[#This Row],[Quantité]])/Tab_Compteur_8[[#This Row],[Delta Jour]],"")&lt;0,"",IFERROR(IF(Str_TypeDonneesCpt8=Cpt_Index,Tab_Compteur_8[[#This Row],[Index]]-E82,Tab_Compteur_8[[#This Row],[Quantité]])/Tab_Compteur_8[[#This Row],[Delta Jour]],""))</f>
        <v/>
      </c>
      <c r="H83" s="193" t="str">
        <f>IFERROR(Tab_Compteur_8[[#This Row],[Montant]]/Tab_Compteur_8[[#This Row],[Delta Jour]],"")</f>
        <v/>
      </c>
      <c r="I83" s="215" t="str">
        <f t="shared" si="3"/>
        <v/>
      </c>
      <c r="J83" s="216"/>
      <c r="K83" s="38"/>
      <c r="L83" s="38"/>
      <c r="M83" s="38"/>
    </row>
    <row r="84" spans="1:13">
      <c r="A84" s="3">
        <f t="shared" si="5"/>
        <v>1</v>
      </c>
      <c r="B84" s="88"/>
      <c r="C84" s="196"/>
      <c r="D84" s="195"/>
      <c r="F84" s="193">
        <f t="shared" si="4"/>
        <v>0</v>
      </c>
      <c r="G84" s="193" t="str">
        <f>IF(IFERROR(IF(Str_TypeDonneesCpt8=Cpt_Index,Tab_Compteur_8[[#This Row],[Index]]-E83,Tab_Compteur_8[[#This Row],[Quantité]])/Tab_Compteur_8[[#This Row],[Delta Jour]],"")&lt;0,"",IFERROR(IF(Str_TypeDonneesCpt8=Cpt_Index,Tab_Compteur_8[[#This Row],[Index]]-E83,Tab_Compteur_8[[#This Row],[Quantité]])/Tab_Compteur_8[[#This Row],[Delta Jour]],""))</f>
        <v/>
      </c>
      <c r="H84" s="193" t="str">
        <f>IFERROR(Tab_Compteur_8[[#This Row],[Montant]]/Tab_Compteur_8[[#This Row],[Delta Jour]],"")</f>
        <v/>
      </c>
      <c r="I84" s="215" t="str">
        <f t="shared" si="3"/>
        <v/>
      </c>
      <c r="J84" s="216"/>
      <c r="K84" s="38"/>
      <c r="L84" s="38"/>
      <c r="M84" s="38"/>
    </row>
    <row r="85" spans="1:13">
      <c r="A85" s="3">
        <f t="shared" si="5"/>
        <v>1</v>
      </c>
      <c r="B85" s="88"/>
      <c r="C85" s="196"/>
      <c r="D85" s="195"/>
      <c r="F85" s="193">
        <f t="shared" si="4"/>
        <v>0</v>
      </c>
      <c r="G85" s="193" t="str">
        <f>IF(IFERROR(IF(Str_TypeDonneesCpt8=Cpt_Index,Tab_Compteur_8[[#This Row],[Index]]-E84,Tab_Compteur_8[[#This Row],[Quantité]])/Tab_Compteur_8[[#This Row],[Delta Jour]],"")&lt;0,"",IFERROR(IF(Str_TypeDonneesCpt8=Cpt_Index,Tab_Compteur_8[[#This Row],[Index]]-E84,Tab_Compteur_8[[#This Row],[Quantité]])/Tab_Compteur_8[[#This Row],[Delta Jour]],""))</f>
        <v/>
      </c>
      <c r="H85" s="193" t="str">
        <f>IFERROR(Tab_Compteur_8[[#This Row],[Montant]]/Tab_Compteur_8[[#This Row],[Delta Jour]],"")</f>
        <v/>
      </c>
      <c r="I85" s="215" t="str">
        <f t="shared" si="3"/>
        <v/>
      </c>
      <c r="J85" s="216"/>
      <c r="K85" s="38"/>
      <c r="L85" s="38"/>
      <c r="M85" s="38"/>
    </row>
    <row r="86" spans="1:13">
      <c r="A86" s="3">
        <f t="shared" si="5"/>
        <v>1</v>
      </c>
      <c r="B86" s="88"/>
      <c r="C86" s="196"/>
      <c r="D86" s="195"/>
      <c r="F86" s="193">
        <f t="shared" si="4"/>
        <v>0</v>
      </c>
      <c r="G86" s="193" t="str">
        <f>IF(IFERROR(IF(Str_TypeDonneesCpt8=Cpt_Index,Tab_Compteur_8[[#This Row],[Index]]-E85,Tab_Compteur_8[[#This Row],[Quantité]])/Tab_Compteur_8[[#This Row],[Delta Jour]],"")&lt;0,"",IFERROR(IF(Str_TypeDonneesCpt8=Cpt_Index,Tab_Compteur_8[[#This Row],[Index]]-E85,Tab_Compteur_8[[#This Row],[Quantité]])/Tab_Compteur_8[[#This Row],[Delta Jour]],""))</f>
        <v/>
      </c>
      <c r="H86" s="193" t="str">
        <f>IFERROR(Tab_Compteur_8[[#This Row],[Montant]]/Tab_Compteur_8[[#This Row],[Delta Jour]],"")</f>
        <v/>
      </c>
      <c r="I86" s="215" t="str">
        <f t="shared" si="3"/>
        <v/>
      </c>
      <c r="J86" s="216"/>
      <c r="K86" s="38"/>
      <c r="L86" s="38"/>
      <c r="M86" s="38"/>
    </row>
    <row r="87" spans="1:13">
      <c r="A87" s="3">
        <f t="shared" si="5"/>
        <v>1</v>
      </c>
      <c r="B87" s="88"/>
      <c r="C87" s="196"/>
      <c r="D87" s="195"/>
      <c r="F87" s="193">
        <f t="shared" si="4"/>
        <v>0</v>
      </c>
      <c r="G87" s="193" t="str">
        <f>IF(IFERROR(IF(Str_TypeDonneesCpt8=Cpt_Index,Tab_Compteur_8[[#This Row],[Index]]-E86,Tab_Compteur_8[[#This Row],[Quantité]])/Tab_Compteur_8[[#This Row],[Delta Jour]],"")&lt;0,"",IFERROR(IF(Str_TypeDonneesCpt8=Cpt_Index,Tab_Compteur_8[[#This Row],[Index]]-E86,Tab_Compteur_8[[#This Row],[Quantité]])/Tab_Compteur_8[[#This Row],[Delta Jour]],""))</f>
        <v/>
      </c>
      <c r="H87" s="193" t="str">
        <f>IFERROR(Tab_Compteur_8[[#This Row],[Montant]]/Tab_Compteur_8[[#This Row],[Delta Jour]],"")</f>
        <v/>
      </c>
      <c r="I87" s="215" t="str">
        <f t="shared" si="3"/>
        <v/>
      </c>
      <c r="J87" s="216"/>
      <c r="K87" s="38"/>
      <c r="L87" s="38"/>
      <c r="M87" s="38"/>
    </row>
    <row r="88" spans="1:13">
      <c r="A88" s="3">
        <f t="shared" si="5"/>
        <v>1</v>
      </c>
      <c r="B88" s="88"/>
      <c r="C88" s="196"/>
      <c r="D88" s="195"/>
      <c r="F88" s="193">
        <f t="shared" si="4"/>
        <v>0</v>
      </c>
      <c r="G88" s="193" t="str">
        <f>IF(IFERROR(IF(Str_TypeDonneesCpt8=Cpt_Index,Tab_Compteur_8[[#This Row],[Index]]-E87,Tab_Compteur_8[[#This Row],[Quantité]])/Tab_Compteur_8[[#This Row],[Delta Jour]],"")&lt;0,"",IFERROR(IF(Str_TypeDonneesCpt8=Cpt_Index,Tab_Compteur_8[[#This Row],[Index]]-E87,Tab_Compteur_8[[#This Row],[Quantité]])/Tab_Compteur_8[[#This Row],[Delta Jour]],""))</f>
        <v/>
      </c>
      <c r="H88" s="193" t="str">
        <f>IFERROR(Tab_Compteur_8[[#This Row],[Montant]]/Tab_Compteur_8[[#This Row],[Delta Jour]],"")</f>
        <v/>
      </c>
      <c r="I88" s="215" t="str">
        <f t="shared" si="3"/>
        <v/>
      </c>
      <c r="J88" s="216"/>
      <c r="K88" s="38"/>
      <c r="L88" s="38"/>
      <c r="M88" s="38"/>
    </row>
    <row r="89" spans="1:13">
      <c r="A89" s="3">
        <f t="shared" si="5"/>
        <v>1</v>
      </c>
      <c r="B89" s="88"/>
      <c r="C89" s="196"/>
      <c r="D89" s="195"/>
      <c r="F89" s="193">
        <f t="shared" si="4"/>
        <v>0</v>
      </c>
      <c r="G89" s="193" t="str">
        <f>IF(IFERROR(IF(Str_TypeDonneesCpt8=Cpt_Index,Tab_Compteur_8[[#This Row],[Index]]-E88,Tab_Compteur_8[[#This Row],[Quantité]])/Tab_Compteur_8[[#This Row],[Delta Jour]],"")&lt;0,"",IFERROR(IF(Str_TypeDonneesCpt8=Cpt_Index,Tab_Compteur_8[[#This Row],[Index]]-E88,Tab_Compteur_8[[#This Row],[Quantité]])/Tab_Compteur_8[[#This Row],[Delta Jour]],""))</f>
        <v/>
      </c>
      <c r="H89" s="193" t="str">
        <f>IFERROR(Tab_Compteur_8[[#This Row],[Montant]]/Tab_Compteur_8[[#This Row],[Delta Jour]],"")</f>
        <v/>
      </c>
      <c r="I89" s="215" t="str">
        <f t="shared" si="3"/>
        <v/>
      </c>
      <c r="J89" s="216"/>
      <c r="K89" s="38"/>
      <c r="L89" s="38"/>
      <c r="M89" s="38"/>
    </row>
    <row r="90" spans="1:13">
      <c r="A90" s="3">
        <f t="shared" si="5"/>
        <v>1</v>
      </c>
      <c r="B90" s="88"/>
      <c r="C90" s="196"/>
      <c r="D90" s="195"/>
      <c r="F90" s="193">
        <f t="shared" si="4"/>
        <v>0</v>
      </c>
      <c r="G90" s="193" t="str">
        <f>IF(IFERROR(IF(Str_TypeDonneesCpt8=Cpt_Index,Tab_Compteur_8[[#This Row],[Index]]-E89,Tab_Compteur_8[[#This Row],[Quantité]])/Tab_Compteur_8[[#This Row],[Delta Jour]],"")&lt;0,"",IFERROR(IF(Str_TypeDonneesCpt8=Cpt_Index,Tab_Compteur_8[[#This Row],[Index]]-E89,Tab_Compteur_8[[#This Row],[Quantité]])/Tab_Compteur_8[[#This Row],[Delta Jour]],""))</f>
        <v/>
      </c>
      <c r="H90" s="193" t="str">
        <f>IFERROR(Tab_Compteur_8[[#This Row],[Montant]]/Tab_Compteur_8[[#This Row],[Delta Jour]],"")</f>
        <v/>
      </c>
      <c r="I90" s="215" t="str">
        <f t="shared" si="3"/>
        <v/>
      </c>
      <c r="J90" s="216"/>
      <c r="K90" s="38"/>
      <c r="L90" s="38"/>
      <c r="M90" s="38"/>
    </row>
    <row r="91" spans="1:13">
      <c r="A91" s="3">
        <f t="shared" si="5"/>
        <v>1</v>
      </c>
      <c r="B91" s="88"/>
      <c r="C91" s="196"/>
      <c r="D91" s="195"/>
      <c r="F91" s="193">
        <f t="shared" si="4"/>
        <v>0</v>
      </c>
      <c r="G91" s="193" t="str">
        <f>IF(IFERROR(IF(Str_TypeDonneesCpt8=Cpt_Index,Tab_Compteur_8[[#This Row],[Index]]-E90,Tab_Compteur_8[[#This Row],[Quantité]])/Tab_Compteur_8[[#This Row],[Delta Jour]],"")&lt;0,"",IFERROR(IF(Str_TypeDonneesCpt8=Cpt_Index,Tab_Compteur_8[[#This Row],[Index]]-E90,Tab_Compteur_8[[#This Row],[Quantité]])/Tab_Compteur_8[[#This Row],[Delta Jour]],""))</f>
        <v/>
      </c>
      <c r="H91" s="193" t="str">
        <f>IFERROR(Tab_Compteur_8[[#This Row],[Montant]]/Tab_Compteur_8[[#This Row],[Delta Jour]],"")</f>
        <v/>
      </c>
      <c r="I91" s="215" t="str">
        <f t="shared" si="3"/>
        <v/>
      </c>
      <c r="J91" s="216"/>
      <c r="K91" s="38"/>
      <c r="L91" s="38"/>
      <c r="M91" s="38"/>
    </row>
    <row r="92" spans="1:13">
      <c r="A92" s="3">
        <f t="shared" si="5"/>
        <v>1</v>
      </c>
      <c r="B92" s="88"/>
      <c r="C92" s="196"/>
      <c r="D92" s="195"/>
      <c r="F92" s="193">
        <f t="shared" si="4"/>
        <v>0</v>
      </c>
      <c r="G92" s="193" t="str">
        <f>IF(IFERROR(IF(Str_TypeDonneesCpt8=Cpt_Index,Tab_Compteur_8[[#This Row],[Index]]-E91,Tab_Compteur_8[[#This Row],[Quantité]])/Tab_Compteur_8[[#This Row],[Delta Jour]],"")&lt;0,"",IFERROR(IF(Str_TypeDonneesCpt8=Cpt_Index,Tab_Compteur_8[[#This Row],[Index]]-E91,Tab_Compteur_8[[#This Row],[Quantité]])/Tab_Compteur_8[[#This Row],[Delta Jour]],""))</f>
        <v/>
      </c>
      <c r="H92" s="193" t="str">
        <f>IFERROR(Tab_Compteur_8[[#This Row],[Montant]]/Tab_Compteur_8[[#This Row],[Delta Jour]],"")</f>
        <v/>
      </c>
      <c r="I92" s="215" t="str">
        <f t="shared" si="3"/>
        <v/>
      </c>
      <c r="J92" s="216"/>
      <c r="K92" s="38"/>
      <c r="L92" s="38"/>
      <c r="M92" s="38"/>
    </row>
    <row r="93" spans="1:13">
      <c r="A93" s="3">
        <f t="shared" si="5"/>
        <v>1</v>
      </c>
      <c r="B93" s="88"/>
      <c r="C93" s="196"/>
      <c r="D93" s="195"/>
      <c r="F93" s="193">
        <f t="shared" si="4"/>
        <v>0</v>
      </c>
      <c r="G93" s="193" t="str">
        <f>IF(IFERROR(IF(Str_TypeDonneesCpt8=Cpt_Index,Tab_Compteur_8[[#This Row],[Index]]-E92,Tab_Compteur_8[[#This Row],[Quantité]])/Tab_Compteur_8[[#This Row],[Delta Jour]],"")&lt;0,"",IFERROR(IF(Str_TypeDonneesCpt8=Cpt_Index,Tab_Compteur_8[[#This Row],[Index]]-E92,Tab_Compteur_8[[#This Row],[Quantité]])/Tab_Compteur_8[[#This Row],[Delta Jour]],""))</f>
        <v/>
      </c>
      <c r="H93" s="193" t="str">
        <f>IFERROR(Tab_Compteur_8[[#This Row],[Montant]]/Tab_Compteur_8[[#This Row],[Delta Jour]],"")</f>
        <v/>
      </c>
      <c r="I93" s="215" t="str">
        <f t="shared" si="3"/>
        <v/>
      </c>
      <c r="J93" s="216"/>
      <c r="K93" s="38"/>
      <c r="L93" s="38"/>
      <c r="M93" s="38"/>
    </row>
    <row r="94" spans="1:13">
      <c r="A94" s="3">
        <f t="shared" si="5"/>
        <v>1</v>
      </c>
      <c r="B94" s="88"/>
      <c r="C94" s="196"/>
      <c r="D94" s="195"/>
      <c r="F94" s="193">
        <f t="shared" si="4"/>
        <v>0</v>
      </c>
      <c r="G94" s="193" t="str">
        <f>IF(IFERROR(IF(Str_TypeDonneesCpt8=Cpt_Index,Tab_Compteur_8[[#This Row],[Index]]-E93,Tab_Compteur_8[[#This Row],[Quantité]])/Tab_Compteur_8[[#This Row],[Delta Jour]],"")&lt;0,"",IFERROR(IF(Str_TypeDonneesCpt8=Cpt_Index,Tab_Compteur_8[[#This Row],[Index]]-E93,Tab_Compteur_8[[#This Row],[Quantité]])/Tab_Compteur_8[[#This Row],[Delta Jour]],""))</f>
        <v/>
      </c>
      <c r="H94" s="193" t="str">
        <f>IFERROR(Tab_Compteur_8[[#This Row],[Montant]]/Tab_Compteur_8[[#This Row],[Delta Jour]],"")</f>
        <v/>
      </c>
      <c r="I94" s="215" t="str">
        <f t="shared" si="3"/>
        <v/>
      </c>
      <c r="J94" s="216"/>
      <c r="K94" s="38"/>
      <c r="L94" s="38"/>
      <c r="M94" s="38"/>
    </row>
    <row r="95" spans="1:13">
      <c r="A95" s="3">
        <f t="shared" si="5"/>
        <v>1</v>
      </c>
      <c r="B95" s="88"/>
      <c r="C95" s="196"/>
      <c r="D95" s="195"/>
      <c r="F95" s="193">
        <f t="shared" si="4"/>
        <v>0</v>
      </c>
      <c r="G95" s="193" t="str">
        <f>IF(IFERROR(IF(Str_TypeDonneesCpt8=Cpt_Index,Tab_Compteur_8[[#This Row],[Index]]-E94,Tab_Compteur_8[[#This Row],[Quantité]])/Tab_Compteur_8[[#This Row],[Delta Jour]],"")&lt;0,"",IFERROR(IF(Str_TypeDonneesCpt8=Cpt_Index,Tab_Compteur_8[[#This Row],[Index]]-E94,Tab_Compteur_8[[#This Row],[Quantité]])/Tab_Compteur_8[[#This Row],[Delta Jour]],""))</f>
        <v/>
      </c>
      <c r="H95" s="193" t="str">
        <f>IFERROR(Tab_Compteur_8[[#This Row],[Montant]]/Tab_Compteur_8[[#This Row],[Delta Jour]],"")</f>
        <v/>
      </c>
      <c r="I95" s="215" t="str">
        <f t="shared" si="3"/>
        <v/>
      </c>
      <c r="J95" s="216"/>
      <c r="K95" s="38"/>
      <c r="L95" s="38"/>
      <c r="M95" s="38"/>
    </row>
    <row r="96" spans="1:13">
      <c r="A96" s="3">
        <f t="shared" si="5"/>
        <v>1</v>
      </c>
      <c r="B96" s="88"/>
      <c r="C96" s="196"/>
      <c r="D96" s="195"/>
      <c r="F96" s="193">
        <f t="shared" si="4"/>
        <v>0</v>
      </c>
      <c r="G96" s="193" t="str">
        <f>IF(IFERROR(IF(Str_TypeDonneesCpt8=Cpt_Index,Tab_Compteur_8[[#This Row],[Index]]-E95,Tab_Compteur_8[[#This Row],[Quantité]])/Tab_Compteur_8[[#This Row],[Delta Jour]],"")&lt;0,"",IFERROR(IF(Str_TypeDonneesCpt8=Cpt_Index,Tab_Compteur_8[[#This Row],[Index]]-E95,Tab_Compteur_8[[#This Row],[Quantité]])/Tab_Compteur_8[[#This Row],[Delta Jour]],""))</f>
        <v/>
      </c>
      <c r="H96" s="193" t="str">
        <f>IFERROR(Tab_Compteur_8[[#This Row],[Montant]]/Tab_Compteur_8[[#This Row],[Delta Jour]],"")</f>
        <v/>
      </c>
      <c r="I96" s="215" t="str">
        <f t="shared" si="3"/>
        <v/>
      </c>
      <c r="J96" s="216"/>
      <c r="K96" s="38"/>
      <c r="L96" s="38"/>
      <c r="M96" s="38"/>
    </row>
    <row r="97" spans="1:13">
      <c r="A97" s="3">
        <f t="shared" si="5"/>
        <v>1</v>
      </c>
      <c r="B97" s="88"/>
      <c r="C97" s="196"/>
      <c r="D97" s="195"/>
      <c r="F97" s="193">
        <f t="shared" si="4"/>
        <v>0</v>
      </c>
      <c r="G97" s="193" t="str">
        <f>IF(IFERROR(IF(Str_TypeDonneesCpt8=Cpt_Index,Tab_Compteur_8[[#This Row],[Index]]-E96,Tab_Compteur_8[[#This Row],[Quantité]])/Tab_Compteur_8[[#This Row],[Delta Jour]],"")&lt;0,"",IFERROR(IF(Str_TypeDonneesCpt8=Cpt_Index,Tab_Compteur_8[[#This Row],[Index]]-E96,Tab_Compteur_8[[#This Row],[Quantité]])/Tab_Compteur_8[[#This Row],[Delta Jour]],""))</f>
        <v/>
      </c>
      <c r="H97" s="193" t="str">
        <f>IFERROR(Tab_Compteur_8[[#This Row],[Montant]]/Tab_Compteur_8[[#This Row],[Delta Jour]],"")</f>
        <v/>
      </c>
      <c r="I97" s="215" t="str">
        <f t="shared" si="3"/>
        <v/>
      </c>
      <c r="J97" s="216"/>
      <c r="K97" s="38"/>
      <c r="L97" s="38"/>
      <c r="M97" s="38"/>
    </row>
    <row r="98" spans="1:13">
      <c r="A98" s="3">
        <f t="shared" si="5"/>
        <v>1</v>
      </c>
      <c r="B98" s="88"/>
      <c r="C98" s="196"/>
      <c r="D98" s="195"/>
      <c r="F98" s="193">
        <f t="shared" si="4"/>
        <v>0</v>
      </c>
      <c r="G98" s="193" t="str">
        <f>IF(IFERROR(IF(Str_TypeDonneesCpt8=Cpt_Index,Tab_Compteur_8[[#This Row],[Index]]-E97,Tab_Compteur_8[[#This Row],[Quantité]])/Tab_Compteur_8[[#This Row],[Delta Jour]],"")&lt;0,"",IFERROR(IF(Str_TypeDonneesCpt8=Cpt_Index,Tab_Compteur_8[[#This Row],[Index]]-E97,Tab_Compteur_8[[#This Row],[Quantité]])/Tab_Compteur_8[[#This Row],[Delta Jour]],""))</f>
        <v/>
      </c>
      <c r="H98" s="193" t="str">
        <f>IFERROR(Tab_Compteur_8[[#This Row],[Montant]]/Tab_Compteur_8[[#This Row],[Delta Jour]],"")</f>
        <v/>
      </c>
      <c r="I98" s="215" t="str">
        <f t="shared" si="3"/>
        <v/>
      </c>
      <c r="J98" s="216"/>
      <c r="K98" s="38"/>
      <c r="L98" s="38"/>
      <c r="M98" s="38"/>
    </row>
    <row r="99" spans="1:13">
      <c r="A99" s="3">
        <f t="shared" si="5"/>
        <v>1</v>
      </c>
      <c r="B99" s="88"/>
      <c r="C99" s="196"/>
      <c r="D99" s="195"/>
      <c r="F99" s="193">
        <f t="shared" si="4"/>
        <v>0</v>
      </c>
      <c r="G99" s="193" t="str">
        <f>IF(IFERROR(IF(Str_TypeDonneesCpt8=Cpt_Index,Tab_Compteur_8[[#This Row],[Index]]-E98,Tab_Compteur_8[[#This Row],[Quantité]])/Tab_Compteur_8[[#This Row],[Delta Jour]],"")&lt;0,"",IFERROR(IF(Str_TypeDonneesCpt8=Cpt_Index,Tab_Compteur_8[[#This Row],[Index]]-E98,Tab_Compteur_8[[#This Row],[Quantité]])/Tab_Compteur_8[[#This Row],[Delta Jour]],""))</f>
        <v/>
      </c>
      <c r="H99" s="193" t="str">
        <f>IFERROR(Tab_Compteur_8[[#This Row],[Montant]]/Tab_Compteur_8[[#This Row],[Delta Jour]],"")</f>
        <v/>
      </c>
      <c r="I99" s="215" t="str">
        <f t="shared" si="3"/>
        <v/>
      </c>
      <c r="J99" s="216"/>
      <c r="K99" s="38"/>
      <c r="L99" s="38"/>
      <c r="M99" s="38"/>
    </row>
    <row r="100" spans="1:13">
      <c r="A100" s="3">
        <f t="shared" si="5"/>
        <v>1</v>
      </c>
      <c r="B100" s="88"/>
      <c r="C100" s="196"/>
      <c r="D100" s="195"/>
      <c r="F100" s="193">
        <f t="shared" si="4"/>
        <v>0</v>
      </c>
      <c r="G100" s="193" t="str">
        <f>IF(IFERROR(IF(Str_TypeDonneesCpt8=Cpt_Index,Tab_Compteur_8[[#This Row],[Index]]-E99,Tab_Compteur_8[[#This Row],[Quantité]])/Tab_Compteur_8[[#This Row],[Delta Jour]],"")&lt;0,"",IFERROR(IF(Str_TypeDonneesCpt8=Cpt_Index,Tab_Compteur_8[[#This Row],[Index]]-E99,Tab_Compteur_8[[#This Row],[Quantité]])/Tab_Compteur_8[[#This Row],[Delta Jour]],""))</f>
        <v/>
      </c>
      <c r="H100" s="193" t="str">
        <f>IFERROR(Tab_Compteur_8[[#This Row],[Montant]]/Tab_Compteur_8[[#This Row],[Delta Jour]],"")</f>
        <v/>
      </c>
      <c r="I100" s="215" t="str">
        <f t="shared" si="3"/>
        <v/>
      </c>
      <c r="J100" s="216"/>
      <c r="K100" s="38"/>
      <c r="L100" s="38"/>
      <c r="M100" s="38"/>
    </row>
    <row r="101" spans="1:13">
      <c r="A101" s="3">
        <f t="shared" si="5"/>
        <v>1</v>
      </c>
      <c r="B101" s="88"/>
      <c r="C101" s="196"/>
      <c r="D101" s="195"/>
      <c r="F101" s="193">
        <f t="shared" si="4"/>
        <v>0</v>
      </c>
      <c r="G101" s="193" t="str">
        <f>IF(IFERROR(IF(Str_TypeDonneesCpt8=Cpt_Index,Tab_Compteur_8[[#This Row],[Index]]-E100,Tab_Compteur_8[[#This Row],[Quantité]])/Tab_Compteur_8[[#This Row],[Delta Jour]],"")&lt;0,"",IFERROR(IF(Str_TypeDonneesCpt8=Cpt_Index,Tab_Compteur_8[[#This Row],[Index]]-E100,Tab_Compteur_8[[#This Row],[Quantité]])/Tab_Compteur_8[[#This Row],[Delta Jour]],""))</f>
        <v/>
      </c>
      <c r="H101" s="193" t="str">
        <f>IFERROR(Tab_Compteur_8[[#This Row],[Montant]]/Tab_Compteur_8[[#This Row],[Delta Jour]],"")</f>
        <v/>
      </c>
      <c r="I101" s="215" t="str">
        <f t="shared" si="3"/>
        <v/>
      </c>
      <c r="J101" s="216"/>
      <c r="K101" s="38"/>
      <c r="L101" s="38"/>
      <c r="M101" s="38"/>
    </row>
    <row r="102" spans="1:13">
      <c r="A102" s="3">
        <f t="shared" si="5"/>
        <v>1</v>
      </c>
      <c r="B102" s="88"/>
      <c r="C102" s="196"/>
      <c r="D102" s="195"/>
      <c r="F102" s="193">
        <f t="shared" si="4"/>
        <v>0</v>
      </c>
      <c r="G102" s="193" t="str">
        <f>IF(IFERROR(IF(Str_TypeDonneesCpt8=Cpt_Index,Tab_Compteur_8[[#This Row],[Index]]-E101,Tab_Compteur_8[[#This Row],[Quantité]])/Tab_Compteur_8[[#This Row],[Delta Jour]],"")&lt;0,"",IFERROR(IF(Str_TypeDonneesCpt8=Cpt_Index,Tab_Compteur_8[[#This Row],[Index]]-E101,Tab_Compteur_8[[#This Row],[Quantité]])/Tab_Compteur_8[[#This Row],[Delta Jour]],""))</f>
        <v/>
      </c>
      <c r="H102" s="193" t="str">
        <f>IFERROR(Tab_Compteur_8[[#This Row],[Montant]]/Tab_Compteur_8[[#This Row],[Delta Jour]],"")</f>
        <v/>
      </c>
      <c r="I102" s="215" t="str">
        <f t="shared" si="3"/>
        <v/>
      </c>
      <c r="J102" s="216"/>
      <c r="K102" s="38"/>
      <c r="L102" s="38"/>
      <c r="M102" s="38"/>
    </row>
    <row r="103" spans="1:13">
      <c r="A103" s="3">
        <f t="shared" si="5"/>
        <v>1</v>
      </c>
      <c r="B103" s="88"/>
      <c r="C103" s="196"/>
      <c r="D103" s="195"/>
      <c r="F103" s="193">
        <f t="shared" si="4"/>
        <v>0</v>
      </c>
      <c r="G103" s="193" t="str">
        <f>IF(IFERROR(IF(Str_TypeDonneesCpt8=Cpt_Index,Tab_Compteur_8[[#This Row],[Index]]-E102,Tab_Compteur_8[[#This Row],[Quantité]])/Tab_Compteur_8[[#This Row],[Delta Jour]],"")&lt;0,"",IFERROR(IF(Str_TypeDonneesCpt8=Cpt_Index,Tab_Compteur_8[[#This Row],[Index]]-E102,Tab_Compteur_8[[#This Row],[Quantité]])/Tab_Compteur_8[[#This Row],[Delta Jour]],""))</f>
        <v/>
      </c>
      <c r="H103" s="193" t="str">
        <f>IFERROR(Tab_Compteur_8[[#This Row],[Montant]]/Tab_Compteur_8[[#This Row],[Delta Jour]],"")</f>
        <v/>
      </c>
      <c r="I103" s="215" t="str">
        <f t="shared" si="3"/>
        <v/>
      </c>
      <c r="J103" s="216"/>
      <c r="K103" s="38"/>
      <c r="L103" s="38"/>
      <c r="M103" s="38"/>
    </row>
    <row r="104" spans="1:13">
      <c r="A104" s="3">
        <f t="shared" si="5"/>
        <v>1</v>
      </c>
      <c r="B104" s="88"/>
      <c r="C104" s="196"/>
      <c r="D104" s="195"/>
      <c r="F104" s="193">
        <f t="shared" si="4"/>
        <v>0</v>
      </c>
      <c r="G104" s="193" t="str">
        <f>IF(IFERROR(IF(Str_TypeDonneesCpt8=Cpt_Index,Tab_Compteur_8[[#This Row],[Index]]-E103,Tab_Compteur_8[[#This Row],[Quantité]])/Tab_Compteur_8[[#This Row],[Delta Jour]],"")&lt;0,"",IFERROR(IF(Str_TypeDonneesCpt8=Cpt_Index,Tab_Compteur_8[[#This Row],[Index]]-E103,Tab_Compteur_8[[#This Row],[Quantité]])/Tab_Compteur_8[[#This Row],[Delta Jour]],""))</f>
        <v/>
      </c>
      <c r="H104" s="193" t="str">
        <f>IFERROR(Tab_Compteur_8[[#This Row],[Montant]]/Tab_Compteur_8[[#This Row],[Delta Jour]],"")</f>
        <v/>
      </c>
      <c r="I104" s="215" t="str">
        <f t="shared" si="3"/>
        <v/>
      </c>
      <c r="J104" s="216"/>
      <c r="K104" s="38"/>
      <c r="L104" s="38"/>
      <c r="M104" s="38"/>
    </row>
    <row r="105" spans="1:13">
      <c r="A105" s="3">
        <f t="shared" si="5"/>
        <v>1</v>
      </c>
      <c r="B105" s="88"/>
      <c r="C105" s="196"/>
      <c r="D105" s="195"/>
      <c r="F105" s="193">
        <f t="shared" si="4"/>
        <v>0</v>
      </c>
      <c r="G105" s="193" t="str">
        <f>IF(IFERROR(IF(Str_TypeDonneesCpt8=Cpt_Index,Tab_Compteur_8[[#This Row],[Index]]-E104,Tab_Compteur_8[[#This Row],[Quantité]])/Tab_Compteur_8[[#This Row],[Delta Jour]],"")&lt;0,"",IFERROR(IF(Str_TypeDonneesCpt8=Cpt_Index,Tab_Compteur_8[[#This Row],[Index]]-E104,Tab_Compteur_8[[#This Row],[Quantité]])/Tab_Compteur_8[[#This Row],[Delta Jour]],""))</f>
        <v/>
      </c>
      <c r="H105" s="193" t="str">
        <f>IFERROR(Tab_Compteur_8[[#This Row],[Montant]]/Tab_Compteur_8[[#This Row],[Delta Jour]],"")</f>
        <v/>
      </c>
      <c r="I105" s="215" t="str">
        <f t="shared" si="3"/>
        <v/>
      </c>
      <c r="J105" s="216"/>
      <c r="K105" s="38"/>
      <c r="L105" s="38"/>
      <c r="M105" s="38"/>
    </row>
    <row r="106" spans="1:13">
      <c r="A106" s="3">
        <f t="shared" si="5"/>
        <v>1</v>
      </c>
      <c r="B106" s="88"/>
      <c r="C106" s="196"/>
      <c r="D106" s="195"/>
      <c r="F106" s="193">
        <f t="shared" si="4"/>
        <v>0</v>
      </c>
      <c r="G106" s="193" t="str">
        <f>IF(IFERROR(IF(Str_TypeDonneesCpt8=Cpt_Index,Tab_Compteur_8[[#This Row],[Index]]-E105,Tab_Compteur_8[[#This Row],[Quantité]])/Tab_Compteur_8[[#This Row],[Delta Jour]],"")&lt;0,"",IFERROR(IF(Str_TypeDonneesCpt8=Cpt_Index,Tab_Compteur_8[[#This Row],[Index]]-E105,Tab_Compteur_8[[#This Row],[Quantité]])/Tab_Compteur_8[[#This Row],[Delta Jour]],""))</f>
        <v/>
      </c>
      <c r="H106" s="193" t="str">
        <f>IFERROR(Tab_Compteur_8[[#This Row],[Montant]]/Tab_Compteur_8[[#This Row],[Delta Jour]],"")</f>
        <v/>
      </c>
      <c r="I106" s="215" t="str">
        <f t="shared" si="3"/>
        <v/>
      </c>
      <c r="J106" s="216"/>
      <c r="K106" s="38"/>
      <c r="L106" s="38"/>
      <c r="M106" s="38"/>
    </row>
    <row r="107" spans="1:13">
      <c r="A107" s="3">
        <f t="shared" si="5"/>
        <v>1</v>
      </c>
      <c r="B107" s="88"/>
      <c r="C107" s="196"/>
      <c r="D107" s="195"/>
      <c r="F107" s="193">
        <f t="shared" si="4"/>
        <v>0</v>
      </c>
      <c r="G107" s="193" t="str">
        <f>IF(IFERROR(IF(Str_TypeDonneesCpt8=Cpt_Index,Tab_Compteur_8[[#This Row],[Index]]-E106,Tab_Compteur_8[[#This Row],[Quantité]])/Tab_Compteur_8[[#This Row],[Delta Jour]],"")&lt;0,"",IFERROR(IF(Str_TypeDonneesCpt8=Cpt_Index,Tab_Compteur_8[[#This Row],[Index]]-E106,Tab_Compteur_8[[#This Row],[Quantité]])/Tab_Compteur_8[[#This Row],[Delta Jour]],""))</f>
        <v/>
      </c>
      <c r="H107" s="193" t="str">
        <f>IFERROR(Tab_Compteur_8[[#This Row],[Montant]]/Tab_Compteur_8[[#This Row],[Delta Jour]],"")</f>
        <v/>
      </c>
      <c r="I107" s="215" t="str">
        <f t="shared" si="3"/>
        <v/>
      </c>
      <c r="J107" s="216"/>
      <c r="K107" s="38"/>
      <c r="L107" s="38"/>
      <c r="M107" s="38"/>
    </row>
    <row r="108" spans="1:13">
      <c r="A108" s="3">
        <f t="shared" si="5"/>
        <v>1</v>
      </c>
      <c r="B108" s="88"/>
      <c r="C108" s="196"/>
      <c r="D108" s="195"/>
      <c r="F108" s="193">
        <f t="shared" si="4"/>
        <v>0</v>
      </c>
      <c r="G108" s="193" t="str">
        <f>IF(IFERROR(IF(Str_TypeDonneesCpt8=Cpt_Index,Tab_Compteur_8[[#This Row],[Index]]-E107,Tab_Compteur_8[[#This Row],[Quantité]])/Tab_Compteur_8[[#This Row],[Delta Jour]],"")&lt;0,"",IFERROR(IF(Str_TypeDonneesCpt8=Cpt_Index,Tab_Compteur_8[[#This Row],[Index]]-E107,Tab_Compteur_8[[#This Row],[Quantité]])/Tab_Compteur_8[[#This Row],[Delta Jour]],""))</f>
        <v/>
      </c>
      <c r="H108" s="193" t="str">
        <f>IFERROR(Tab_Compteur_8[[#This Row],[Montant]]/Tab_Compteur_8[[#This Row],[Delta Jour]],"")</f>
        <v/>
      </c>
      <c r="I108" s="215" t="str">
        <f t="shared" si="3"/>
        <v/>
      </c>
      <c r="J108" s="216"/>
      <c r="K108" s="38"/>
      <c r="L108" s="38"/>
      <c r="M108" s="38"/>
    </row>
    <row r="109" spans="1:13">
      <c r="A109" s="3">
        <f t="shared" si="5"/>
        <v>1</v>
      </c>
      <c r="B109" s="88"/>
      <c r="C109" s="196"/>
      <c r="D109" s="195"/>
      <c r="F109" s="193">
        <f t="shared" si="4"/>
        <v>0</v>
      </c>
      <c r="G109" s="193" t="str">
        <f>IF(IFERROR(IF(Str_TypeDonneesCpt8=Cpt_Index,Tab_Compteur_8[[#This Row],[Index]]-E108,Tab_Compteur_8[[#This Row],[Quantité]])/Tab_Compteur_8[[#This Row],[Delta Jour]],"")&lt;0,"",IFERROR(IF(Str_TypeDonneesCpt8=Cpt_Index,Tab_Compteur_8[[#This Row],[Index]]-E108,Tab_Compteur_8[[#This Row],[Quantité]])/Tab_Compteur_8[[#This Row],[Delta Jour]],""))</f>
        <v/>
      </c>
      <c r="H109" s="193" t="str">
        <f>IFERROR(Tab_Compteur_8[[#This Row],[Montant]]/Tab_Compteur_8[[#This Row],[Delta Jour]],"")</f>
        <v/>
      </c>
      <c r="I109" s="215" t="str">
        <f t="shared" si="3"/>
        <v/>
      </c>
      <c r="J109" s="216"/>
      <c r="K109" s="38"/>
      <c r="L109" s="38"/>
      <c r="M109" s="38"/>
    </row>
    <row r="110" spans="1:13">
      <c r="A110" s="3">
        <f t="shared" si="5"/>
        <v>1</v>
      </c>
      <c r="B110" s="88"/>
      <c r="C110" s="196"/>
      <c r="D110" s="195"/>
      <c r="F110" s="193">
        <f t="shared" si="4"/>
        <v>0</v>
      </c>
      <c r="G110" s="193" t="str">
        <f>IF(IFERROR(IF(Str_TypeDonneesCpt8=Cpt_Index,Tab_Compteur_8[[#This Row],[Index]]-E109,Tab_Compteur_8[[#This Row],[Quantité]])/Tab_Compteur_8[[#This Row],[Delta Jour]],"")&lt;0,"",IFERROR(IF(Str_TypeDonneesCpt8=Cpt_Index,Tab_Compteur_8[[#This Row],[Index]]-E109,Tab_Compteur_8[[#This Row],[Quantité]])/Tab_Compteur_8[[#This Row],[Delta Jour]],""))</f>
        <v/>
      </c>
      <c r="H110" s="193" t="str">
        <f>IFERROR(Tab_Compteur_8[[#This Row],[Montant]]/Tab_Compteur_8[[#This Row],[Delta Jour]],"")</f>
        <v/>
      </c>
      <c r="I110" s="215" t="str">
        <f t="shared" si="3"/>
        <v/>
      </c>
      <c r="J110" s="216"/>
      <c r="K110" s="38"/>
      <c r="L110" s="38"/>
      <c r="M110" s="38"/>
    </row>
    <row r="111" spans="1:13">
      <c r="A111" s="3">
        <f t="shared" si="5"/>
        <v>1</v>
      </c>
      <c r="B111" s="88"/>
      <c r="C111" s="196"/>
      <c r="D111" s="195"/>
      <c r="F111" s="193">
        <f t="shared" si="4"/>
        <v>0</v>
      </c>
      <c r="G111" s="193" t="str">
        <f>IF(IFERROR(IF(Str_TypeDonneesCpt8=Cpt_Index,Tab_Compteur_8[[#This Row],[Index]]-E110,Tab_Compteur_8[[#This Row],[Quantité]])/Tab_Compteur_8[[#This Row],[Delta Jour]],"")&lt;0,"",IFERROR(IF(Str_TypeDonneesCpt8=Cpt_Index,Tab_Compteur_8[[#This Row],[Index]]-E110,Tab_Compteur_8[[#This Row],[Quantité]])/Tab_Compteur_8[[#This Row],[Delta Jour]],""))</f>
        <v/>
      </c>
      <c r="H111" s="193" t="str">
        <f>IFERROR(Tab_Compteur_8[[#This Row],[Montant]]/Tab_Compteur_8[[#This Row],[Delta Jour]],"")</f>
        <v/>
      </c>
      <c r="I111" s="215" t="str">
        <f t="shared" si="3"/>
        <v/>
      </c>
      <c r="J111" s="216"/>
      <c r="K111" s="38"/>
      <c r="L111" s="38"/>
      <c r="M111" s="38"/>
    </row>
    <row r="112" spans="1:13">
      <c r="A112" s="3">
        <f t="shared" si="5"/>
        <v>1</v>
      </c>
      <c r="B112" s="88"/>
      <c r="C112" s="196"/>
      <c r="D112" s="195"/>
      <c r="F112" s="193">
        <f t="shared" si="4"/>
        <v>0</v>
      </c>
      <c r="G112" s="193" t="str">
        <f>IF(IFERROR(IF(Str_TypeDonneesCpt8=Cpt_Index,Tab_Compteur_8[[#This Row],[Index]]-E111,Tab_Compteur_8[[#This Row],[Quantité]])/Tab_Compteur_8[[#This Row],[Delta Jour]],"")&lt;0,"",IFERROR(IF(Str_TypeDonneesCpt8=Cpt_Index,Tab_Compteur_8[[#This Row],[Index]]-E111,Tab_Compteur_8[[#This Row],[Quantité]])/Tab_Compteur_8[[#This Row],[Delta Jour]],""))</f>
        <v/>
      </c>
      <c r="H112" s="193" t="str">
        <f>IFERROR(Tab_Compteur_8[[#This Row],[Montant]]/Tab_Compteur_8[[#This Row],[Delta Jour]],"")</f>
        <v/>
      </c>
      <c r="I112" s="215" t="str">
        <f t="shared" si="3"/>
        <v/>
      </c>
      <c r="J112" s="216"/>
      <c r="K112" s="38"/>
      <c r="L112" s="38"/>
      <c r="M112" s="38"/>
    </row>
    <row r="113" spans="1:13">
      <c r="A113" s="3">
        <f t="shared" si="5"/>
        <v>1</v>
      </c>
      <c r="B113" s="88"/>
      <c r="C113" s="196"/>
      <c r="D113" s="195"/>
      <c r="F113" s="193">
        <f t="shared" si="4"/>
        <v>0</v>
      </c>
      <c r="G113" s="193" t="str">
        <f>IF(IFERROR(IF(Str_TypeDonneesCpt8=Cpt_Index,Tab_Compteur_8[[#This Row],[Index]]-E112,Tab_Compteur_8[[#This Row],[Quantité]])/Tab_Compteur_8[[#This Row],[Delta Jour]],"")&lt;0,"",IFERROR(IF(Str_TypeDonneesCpt8=Cpt_Index,Tab_Compteur_8[[#This Row],[Index]]-E112,Tab_Compteur_8[[#This Row],[Quantité]])/Tab_Compteur_8[[#This Row],[Delta Jour]],""))</f>
        <v/>
      </c>
      <c r="H113" s="193" t="str">
        <f>IFERROR(Tab_Compteur_8[[#This Row],[Montant]]/Tab_Compteur_8[[#This Row],[Delta Jour]],"")</f>
        <v/>
      </c>
      <c r="I113" s="215" t="str">
        <f t="shared" si="3"/>
        <v/>
      </c>
      <c r="J113" s="216"/>
      <c r="K113" s="38"/>
      <c r="L113" s="38"/>
      <c r="M113" s="38"/>
    </row>
    <row r="114" spans="1:13">
      <c r="A114" s="3">
        <f t="shared" si="5"/>
        <v>1</v>
      </c>
      <c r="B114" s="88"/>
      <c r="C114" s="196"/>
      <c r="D114" s="195"/>
      <c r="F114" s="193">
        <f t="shared" si="4"/>
        <v>0</v>
      </c>
      <c r="G114" s="193" t="str">
        <f>IF(IFERROR(IF(Str_TypeDonneesCpt8=Cpt_Index,Tab_Compteur_8[[#This Row],[Index]]-E113,Tab_Compteur_8[[#This Row],[Quantité]])/Tab_Compteur_8[[#This Row],[Delta Jour]],"")&lt;0,"",IFERROR(IF(Str_TypeDonneesCpt8=Cpt_Index,Tab_Compteur_8[[#This Row],[Index]]-E113,Tab_Compteur_8[[#This Row],[Quantité]])/Tab_Compteur_8[[#This Row],[Delta Jour]],""))</f>
        <v/>
      </c>
      <c r="H114" s="193" t="str">
        <f>IFERROR(Tab_Compteur_8[[#This Row],[Montant]]/Tab_Compteur_8[[#This Row],[Delta Jour]],"")</f>
        <v/>
      </c>
      <c r="I114" s="215" t="str">
        <f t="shared" si="3"/>
        <v/>
      </c>
      <c r="J114" s="216"/>
      <c r="K114" s="38"/>
      <c r="L114" s="38"/>
      <c r="M114" s="38"/>
    </row>
    <row r="115" spans="1:13">
      <c r="A115" s="3">
        <f t="shared" si="5"/>
        <v>1</v>
      </c>
      <c r="B115" s="88"/>
      <c r="C115" s="196"/>
      <c r="D115" s="195"/>
      <c r="F115" s="193">
        <f t="shared" si="4"/>
        <v>0</v>
      </c>
      <c r="G115" s="193" t="str">
        <f>IF(IFERROR(IF(Str_TypeDonneesCpt8=Cpt_Index,Tab_Compteur_8[[#This Row],[Index]]-E114,Tab_Compteur_8[[#This Row],[Quantité]])/Tab_Compteur_8[[#This Row],[Delta Jour]],"")&lt;0,"",IFERROR(IF(Str_TypeDonneesCpt8=Cpt_Index,Tab_Compteur_8[[#This Row],[Index]]-E114,Tab_Compteur_8[[#This Row],[Quantité]])/Tab_Compteur_8[[#This Row],[Delta Jour]],""))</f>
        <v/>
      </c>
      <c r="H115" s="193" t="str">
        <f>IFERROR(Tab_Compteur_8[[#This Row],[Montant]]/Tab_Compteur_8[[#This Row],[Delta Jour]],"")</f>
        <v/>
      </c>
      <c r="I115" s="215" t="str">
        <f t="shared" si="3"/>
        <v/>
      </c>
      <c r="J115" s="216"/>
      <c r="K115" s="38"/>
      <c r="L115" s="38"/>
      <c r="M115" s="38"/>
    </row>
    <row r="116" spans="1:13">
      <c r="A116" s="3">
        <f t="shared" si="5"/>
        <v>1</v>
      </c>
      <c r="B116" s="88"/>
      <c r="C116" s="196"/>
      <c r="D116" s="195"/>
      <c r="F116" s="193">
        <f t="shared" si="4"/>
        <v>0</v>
      </c>
      <c r="G116" s="193" t="str">
        <f>IF(IFERROR(IF(Str_TypeDonneesCpt8=Cpt_Index,Tab_Compteur_8[[#This Row],[Index]]-E115,Tab_Compteur_8[[#This Row],[Quantité]])/Tab_Compteur_8[[#This Row],[Delta Jour]],"")&lt;0,"",IFERROR(IF(Str_TypeDonneesCpt8=Cpt_Index,Tab_Compteur_8[[#This Row],[Index]]-E115,Tab_Compteur_8[[#This Row],[Quantité]])/Tab_Compteur_8[[#This Row],[Delta Jour]],""))</f>
        <v/>
      </c>
      <c r="H116" s="193" t="str">
        <f>IFERROR(Tab_Compteur_8[[#This Row],[Montant]]/Tab_Compteur_8[[#This Row],[Delta Jour]],"")</f>
        <v/>
      </c>
      <c r="I116" s="215" t="str">
        <f t="shared" si="3"/>
        <v/>
      </c>
      <c r="J116" s="216"/>
      <c r="K116" s="38"/>
      <c r="L116" s="38"/>
      <c r="M116" s="38"/>
    </row>
    <row r="117" spans="1:13">
      <c r="A117" s="3">
        <f t="shared" si="5"/>
        <v>1</v>
      </c>
      <c r="B117" s="88"/>
      <c r="C117" s="196"/>
      <c r="D117" s="195"/>
      <c r="F117" s="193">
        <f t="shared" si="4"/>
        <v>0</v>
      </c>
      <c r="G117" s="193" t="str">
        <f>IF(IFERROR(IF(Str_TypeDonneesCpt8=Cpt_Index,Tab_Compteur_8[[#This Row],[Index]]-E116,Tab_Compteur_8[[#This Row],[Quantité]])/Tab_Compteur_8[[#This Row],[Delta Jour]],"")&lt;0,"",IFERROR(IF(Str_TypeDonneesCpt8=Cpt_Index,Tab_Compteur_8[[#This Row],[Index]]-E116,Tab_Compteur_8[[#This Row],[Quantité]])/Tab_Compteur_8[[#This Row],[Delta Jour]],""))</f>
        <v/>
      </c>
      <c r="H117" s="193" t="str">
        <f>IFERROR(Tab_Compteur_8[[#This Row],[Montant]]/Tab_Compteur_8[[#This Row],[Delta Jour]],"")</f>
        <v/>
      </c>
      <c r="I117" s="215" t="str">
        <f t="shared" si="3"/>
        <v/>
      </c>
      <c r="J117" s="216"/>
      <c r="K117" s="38"/>
      <c r="L117" s="38"/>
      <c r="M117" s="38"/>
    </row>
    <row r="118" spans="1:13">
      <c r="A118" s="3">
        <f t="shared" si="5"/>
        <v>1</v>
      </c>
      <c r="B118" s="88"/>
      <c r="C118" s="196"/>
      <c r="D118" s="195"/>
      <c r="F118" s="193">
        <f t="shared" si="4"/>
        <v>0</v>
      </c>
      <c r="G118" s="193" t="str">
        <f>IF(IFERROR(IF(Str_TypeDonneesCpt8=Cpt_Index,Tab_Compteur_8[[#This Row],[Index]]-E117,Tab_Compteur_8[[#This Row],[Quantité]])/Tab_Compteur_8[[#This Row],[Delta Jour]],"")&lt;0,"",IFERROR(IF(Str_TypeDonneesCpt8=Cpt_Index,Tab_Compteur_8[[#This Row],[Index]]-E117,Tab_Compteur_8[[#This Row],[Quantité]])/Tab_Compteur_8[[#This Row],[Delta Jour]],""))</f>
        <v/>
      </c>
      <c r="H118" s="193" t="str">
        <f>IFERROR(Tab_Compteur_8[[#This Row],[Montant]]/Tab_Compteur_8[[#This Row],[Delta Jour]],"")</f>
        <v/>
      </c>
      <c r="I118" s="215" t="str">
        <f t="shared" si="3"/>
        <v/>
      </c>
      <c r="J118" s="216"/>
      <c r="K118" s="38"/>
      <c r="L118" s="38"/>
      <c r="M118" s="38"/>
    </row>
    <row r="119" spans="1:13">
      <c r="A119" s="3">
        <f t="shared" si="5"/>
        <v>1</v>
      </c>
      <c r="B119" s="88"/>
      <c r="C119" s="196"/>
      <c r="D119" s="195"/>
      <c r="F119" s="193">
        <f t="shared" si="4"/>
        <v>0</v>
      </c>
      <c r="G119" s="193" t="str">
        <f>IF(IFERROR(IF(Str_TypeDonneesCpt8=Cpt_Index,Tab_Compteur_8[[#This Row],[Index]]-E118,Tab_Compteur_8[[#This Row],[Quantité]])/Tab_Compteur_8[[#This Row],[Delta Jour]],"")&lt;0,"",IFERROR(IF(Str_TypeDonneesCpt8=Cpt_Index,Tab_Compteur_8[[#This Row],[Index]]-E118,Tab_Compteur_8[[#This Row],[Quantité]])/Tab_Compteur_8[[#This Row],[Delta Jour]],""))</f>
        <v/>
      </c>
      <c r="H119" s="193" t="str">
        <f>IFERROR(Tab_Compteur_8[[#This Row],[Montant]]/Tab_Compteur_8[[#This Row],[Delta Jour]],"")</f>
        <v/>
      </c>
      <c r="I119" s="215" t="str">
        <f t="shared" si="3"/>
        <v/>
      </c>
      <c r="J119" s="216"/>
      <c r="K119" s="38"/>
      <c r="L119" s="38"/>
      <c r="M119" s="38"/>
    </row>
    <row r="120" spans="1:13">
      <c r="A120" s="3">
        <f t="shared" si="5"/>
        <v>1</v>
      </c>
      <c r="B120" s="88"/>
      <c r="C120" s="196"/>
      <c r="D120" s="195"/>
      <c r="F120" s="193">
        <f t="shared" si="4"/>
        <v>0</v>
      </c>
      <c r="G120" s="193" t="str">
        <f>IF(IFERROR(IF(Str_TypeDonneesCpt8=Cpt_Index,Tab_Compteur_8[[#This Row],[Index]]-E119,Tab_Compteur_8[[#This Row],[Quantité]])/Tab_Compteur_8[[#This Row],[Delta Jour]],"")&lt;0,"",IFERROR(IF(Str_TypeDonneesCpt8=Cpt_Index,Tab_Compteur_8[[#This Row],[Index]]-E119,Tab_Compteur_8[[#This Row],[Quantité]])/Tab_Compteur_8[[#This Row],[Delta Jour]],""))</f>
        <v/>
      </c>
      <c r="H120" s="193" t="str">
        <f>IFERROR(Tab_Compteur_8[[#This Row],[Montant]]/Tab_Compteur_8[[#This Row],[Delta Jour]],"")</f>
        <v/>
      </c>
      <c r="I120" s="215" t="str">
        <f t="shared" si="3"/>
        <v/>
      </c>
      <c r="J120" s="216"/>
      <c r="K120" s="38"/>
      <c r="L120" s="38"/>
      <c r="M120" s="38"/>
    </row>
    <row r="121" spans="1:13">
      <c r="A121" s="3">
        <f t="shared" si="5"/>
        <v>1</v>
      </c>
      <c r="B121" s="88"/>
      <c r="C121" s="196"/>
      <c r="D121" s="195"/>
      <c r="F121" s="193">
        <f t="shared" si="4"/>
        <v>0</v>
      </c>
      <c r="G121" s="193" t="str">
        <f>IF(IFERROR(IF(Str_TypeDonneesCpt8=Cpt_Index,Tab_Compteur_8[[#This Row],[Index]]-E120,Tab_Compteur_8[[#This Row],[Quantité]])/Tab_Compteur_8[[#This Row],[Delta Jour]],"")&lt;0,"",IFERROR(IF(Str_TypeDonneesCpt8=Cpt_Index,Tab_Compteur_8[[#This Row],[Index]]-E120,Tab_Compteur_8[[#This Row],[Quantité]])/Tab_Compteur_8[[#This Row],[Delta Jour]],""))</f>
        <v/>
      </c>
      <c r="H121" s="193" t="str">
        <f>IFERROR(Tab_Compteur_8[[#This Row],[Montant]]/Tab_Compteur_8[[#This Row],[Delta Jour]],"")</f>
        <v/>
      </c>
      <c r="I121" s="215" t="str">
        <f t="shared" si="3"/>
        <v/>
      </c>
      <c r="J121" s="216"/>
      <c r="K121" s="38"/>
      <c r="L121" s="38"/>
      <c r="M121" s="38"/>
    </row>
    <row r="122" spans="1:13">
      <c r="A122" s="3">
        <f t="shared" si="5"/>
        <v>1</v>
      </c>
      <c r="B122" s="88"/>
      <c r="C122" s="196"/>
      <c r="D122" s="195"/>
      <c r="F122" s="193">
        <f t="shared" si="4"/>
        <v>0</v>
      </c>
      <c r="G122" s="193" t="str">
        <f>IF(IFERROR(IF(Str_TypeDonneesCpt8=Cpt_Index,Tab_Compteur_8[[#This Row],[Index]]-E121,Tab_Compteur_8[[#This Row],[Quantité]])/Tab_Compteur_8[[#This Row],[Delta Jour]],"")&lt;0,"",IFERROR(IF(Str_TypeDonneesCpt8=Cpt_Index,Tab_Compteur_8[[#This Row],[Index]]-E121,Tab_Compteur_8[[#This Row],[Quantité]])/Tab_Compteur_8[[#This Row],[Delta Jour]],""))</f>
        <v/>
      </c>
      <c r="H122" s="193" t="str">
        <f>IFERROR(Tab_Compteur_8[[#This Row],[Montant]]/Tab_Compteur_8[[#This Row],[Delta Jour]],"")</f>
        <v/>
      </c>
      <c r="I122" s="215" t="str">
        <f t="shared" si="3"/>
        <v/>
      </c>
      <c r="J122" s="216"/>
      <c r="K122" s="38"/>
      <c r="L122" s="38"/>
      <c r="M122" s="38"/>
    </row>
    <row r="123" spans="1:13">
      <c r="A123" s="3">
        <f t="shared" si="5"/>
        <v>1</v>
      </c>
      <c r="B123" s="88"/>
      <c r="C123" s="196"/>
      <c r="D123" s="195"/>
      <c r="F123" s="193">
        <f t="shared" si="4"/>
        <v>0</v>
      </c>
      <c r="G123" s="193" t="str">
        <f>IF(IFERROR(IF(Str_TypeDonneesCpt8=Cpt_Index,Tab_Compteur_8[[#This Row],[Index]]-E122,Tab_Compteur_8[[#This Row],[Quantité]])/Tab_Compteur_8[[#This Row],[Delta Jour]],"")&lt;0,"",IFERROR(IF(Str_TypeDonneesCpt8=Cpt_Index,Tab_Compteur_8[[#This Row],[Index]]-E122,Tab_Compteur_8[[#This Row],[Quantité]])/Tab_Compteur_8[[#This Row],[Delta Jour]],""))</f>
        <v/>
      </c>
      <c r="H123" s="193" t="str">
        <f>IFERROR(Tab_Compteur_8[[#This Row],[Montant]]/Tab_Compteur_8[[#This Row],[Delta Jour]],"")</f>
        <v/>
      </c>
      <c r="I123" s="215" t="str">
        <f t="shared" si="3"/>
        <v/>
      </c>
      <c r="J123" s="216"/>
      <c r="K123" s="38"/>
      <c r="L123" s="38"/>
      <c r="M123" s="38"/>
    </row>
    <row r="124" spans="1:13">
      <c r="A124" s="3">
        <f t="shared" si="5"/>
        <v>1</v>
      </c>
      <c r="B124" s="88"/>
      <c r="C124" s="196"/>
      <c r="D124" s="195"/>
      <c r="F124" s="193">
        <f t="shared" si="4"/>
        <v>0</v>
      </c>
      <c r="G124" s="193" t="str">
        <f>IF(IFERROR(IF(Str_TypeDonneesCpt8=Cpt_Index,Tab_Compteur_8[[#This Row],[Index]]-E123,Tab_Compteur_8[[#This Row],[Quantité]])/Tab_Compteur_8[[#This Row],[Delta Jour]],"")&lt;0,"",IFERROR(IF(Str_TypeDonneesCpt8=Cpt_Index,Tab_Compteur_8[[#This Row],[Index]]-E123,Tab_Compteur_8[[#This Row],[Quantité]])/Tab_Compteur_8[[#This Row],[Delta Jour]],""))</f>
        <v/>
      </c>
      <c r="H124" s="193" t="str">
        <f>IFERROR(Tab_Compteur_8[[#This Row],[Montant]]/Tab_Compteur_8[[#This Row],[Delta Jour]],"")</f>
        <v/>
      </c>
      <c r="I124" s="215" t="str">
        <f t="shared" si="3"/>
        <v/>
      </c>
      <c r="J124" s="216"/>
      <c r="K124" s="38"/>
      <c r="L124" s="38"/>
      <c r="M124" s="38"/>
    </row>
    <row r="125" spans="1:13">
      <c r="A125" s="3">
        <f t="shared" si="5"/>
        <v>1</v>
      </c>
      <c r="B125" s="88"/>
      <c r="C125" s="196"/>
      <c r="D125" s="195"/>
      <c r="F125" s="193">
        <f t="shared" si="4"/>
        <v>0</v>
      </c>
      <c r="G125" s="193" t="str">
        <f>IF(IFERROR(IF(Str_TypeDonneesCpt8=Cpt_Index,Tab_Compteur_8[[#This Row],[Index]]-E124,Tab_Compteur_8[[#This Row],[Quantité]])/Tab_Compteur_8[[#This Row],[Delta Jour]],"")&lt;0,"",IFERROR(IF(Str_TypeDonneesCpt8=Cpt_Index,Tab_Compteur_8[[#This Row],[Index]]-E124,Tab_Compteur_8[[#This Row],[Quantité]])/Tab_Compteur_8[[#This Row],[Delta Jour]],""))</f>
        <v/>
      </c>
      <c r="H125" s="193" t="str">
        <f>IFERROR(Tab_Compteur_8[[#This Row],[Montant]]/Tab_Compteur_8[[#This Row],[Delta Jour]],"")</f>
        <v/>
      </c>
      <c r="I125" s="215" t="str">
        <f t="shared" si="3"/>
        <v/>
      </c>
      <c r="J125" s="216"/>
      <c r="K125" s="38"/>
      <c r="L125" s="38"/>
      <c r="M125" s="38"/>
    </row>
    <row r="126" spans="1:13">
      <c r="A126" s="3">
        <f t="shared" si="5"/>
        <v>1</v>
      </c>
      <c r="B126" s="88"/>
      <c r="C126" s="196"/>
      <c r="D126" s="195"/>
      <c r="F126" s="193">
        <f t="shared" si="4"/>
        <v>0</v>
      </c>
      <c r="G126" s="193" t="str">
        <f>IF(IFERROR(IF(Str_TypeDonneesCpt8=Cpt_Index,Tab_Compteur_8[[#This Row],[Index]]-E125,Tab_Compteur_8[[#This Row],[Quantité]])/Tab_Compteur_8[[#This Row],[Delta Jour]],"")&lt;0,"",IFERROR(IF(Str_TypeDonneesCpt8=Cpt_Index,Tab_Compteur_8[[#This Row],[Index]]-E125,Tab_Compteur_8[[#This Row],[Quantité]])/Tab_Compteur_8[[#This Row],[Delta Jour]],""))</f>
        <v/>
      </c>
      <c r="H126" s="193" t="str">
        <f>IFERROR(Tab_Compteur_8[[#This Row],[Montant]]/Tab_Compteur_8[[#This Row],[Delta Jour]],"")</f>
        <v/>
      </c>
      <c r="I126" s="215" t="str">
        <f t="shared" si="3"/>
        <v/>
      </c>
      <c r="J126" s="216"/>
      <c r="K126" s="38"/>
      <c r="L126" s="38"/>
      <c r="M126" s="38"/>
    </row>
    <row r="127" spans="1:13">
      <c r="A127" s="3">
        <f t="shared" si="5"/>
        <v>1</v>
      </c>
      <c r="B127" s="88"/>
      <c r="C127" s="196"/>
      <c r="D127" s="195"/>
      <c r="F127" s="193">
        <f t="shared" si="4"/>
        <v>0</v>
      </c>
      <c r="G127" s="193" t="str">
        <f>IF(IFERROR(IF(Str_TypeDonneesCpt8=Cpt_Index,Tab_Compteur_8[[#This Row],[Index]]-E126,Tab_Compteur_8[[#This Row],[Quantité]])/Tab_Compteur_8[[#This Row],[Delta Jour]],"")&lt;0,"",IFERROR(IF(Str_TypeDonneesCpt8=Cpt_Index,Tab_Compteur_8[[#This Row],[Index]]-E126,Tab_Compteur_8[[#This Row],[Quantité]])/Tab_Compteur_8[[#This Row],[Delta Jour]],""))</f>
        <v/>
      </c>
      <c r="H127" s="193" t="str">
        <f>IFERROR(Tab_Compteur_8[[#This Row],[Montant]]/Tab_Compteur_8[[#This Row],[Delta Jour]],"")</f>
        <v/>
      </c>
      <c r="I127" s="215" t="str">
        <f t="shared" si="3"/>
        <v/>
      </c>
      <c r="J127" s="216"/>
      <c r="K127" s="38"/>
      <c r="L127" s="38"/>
      <c r="M127" s="38"/>
    </row>
    <row r="128" spans="1:13">
      <c r="A128" s="3">
        <f t="shared" si="5"/>
        <v>1</v>
      </c>
      <c r="B128" s="88"/>
      <c r="C128" s="196"/>
      <c r="D128" s="195"/>
      <c r="F128" s="193">
        <f t="shared" si="4"/>
        <v>0</v>
      </c>
      <c r="G128" s="193" t="str">
        <f>IF(IFERROR(IF(Str_TypeDonneesCpt8=Cpt_Index,Tab_Compteur_8[[#This Row],[Index]]-E127,Tab_Compteur_8[[#This Row],[Quantité]])/Tab_Compteur_8[[#This Row],[Delta Jour]],"")&lt;0,"",IFERROR(IF(Str_TypeDonneesCpt8=Cpt_Index,Tab_Compteur_8[[#This Row],[Index]]-E127,Tab_Compteur_8[[#This Row],[Quantité]])/Tab_Compteur_8[[#This Row],[Delta Jour]],""))</f>
        <v/>
      </c>
      <c r="H128" s="193" t="str">
        <f>IFERROR(Tab_Compteur_8[[#This Row],[Montant]]/Tab_Compteur_8[[#This Row],[Delta Jour]],"")</f>
        <v/>
      </c>
      <c r="I128" s="215" t="str">
        <f t="shared" si="3"/>
        <v/>
      </c>
      <c r="J128" s="216"/>
      <c r="K128" s="38"/>
      <c r="L128" s="38"/>
      <c r="M128" s="38"/>
    </row>
    <row r="129" spans="1:13">
      <c r="A129" s="3">
        <f t="shared" si="5"/>
        <v>1</v>
      </c>
      <c r="B129" s="88"/>
      <c r="C129" s="196"/>
      <c r="D129" s="195"/>
      <c r="F129" s="193">
        <f t="shared" si="4"/>
        <v>0</v>
      </c>
      <c r="G129" s="193" t="str">
        <f>IF(IFERROR(IF(Str_TypeDonneesCpt8=Cpt_Index,Tab_Compteur_8[[#This Row],[Index]]-E128,Tab_Compteur_8[[#This Row],[Quantité]])/Tab_Compteur_8[[#This Row],[Delta Jour]],"")&lt;0,"",IFERROR(IF(Str_TypeDonneesCpt8=Cpt_Index,Tab_Compteur_8[[#This Row],[Index]]-E128,Tab_Compteur_8[[#This Row],[Quantité]])/Tab_Compteur_8[[#This Row],[Delta Jour]],""))</f>
        <v/>
      </c>
      <c r="H129" s="193" t="str">
        <f>IFERROR(Tab_Compteur_8[[#This Row],[Montant]]/Tab_Compteur_8[[#This Row],[Delta Jour]],"")</f>
        <v/>
      </c>
      <c r="I129" s="215" t="str">
        <f t="shared" si="3"/>
        <v/>
      </c>
      <c r="J129" s="216"/>
      <c r="K129" s="38"/>
      <c r="L129" s="38"/>
      <c r="M129" s="38"/>
    </row>
    <row r="130" spans="1:13">
      <c r="A130" s="3">
        <f t="shared" si="5"/>
        <v>1</v>
      </c>
      <c r="B130" s="88"/>
      <c r="C130" s="196"/>
      <c r="D130" s="195"/>
      <c r="F130" s="193">
        <f t="shared" si="4"/>
        <v>0</v>
      </c>
      <c r="G130" s="193" t="str">
        <f>IF(IFERROR(IF(Str_TypeDonneesCpt8=Cpt_Index,Tab_Compteur_8[[#This Row],[Index]]-E129,Tab_Compteur_8[[#This Row],[Quantité]])/Tab_Compteur_8[[#This Row],[Delta Jour]],"")&lt;0,"",IFERROR(IF(Str_TypeDonneesCpt8=Cpt_Index,Tab_Compteur_8[[#This Row],[Index]]-E129,Tab_Compteur_8[[#This Row],[Quantité]])/Tab_Compteur_8[[#This Row],[Delta Jour]],""))</f>
        <v/>
      </c>
      <c r="H130" s="193" t="str">
        <f>IFERROR(Tab_Compteur_8[[#This Row],[Montant]]/Tab_Compteur_8[[#This Row],[Delta Jour]],"")</f>
        <v/>
      </c>
      <c r="I130" s="215" t="str">
        <f t="shared" si="3"/>
        <v/>
      </c>
      <c r="J130" s="216"/>
      <c r="K130" s="38"/>
      <c r="L130" s="38"/>
      <c r="M130" s="38"/>
    </row>
    <row r="131" spans="1:13">
      <c r="A131" s="3">
        <f t="shared" si="5"/>
        <v>1</v>
      </c>
      <c r="B131" s="88"/>
      <c r="C131" s="196"/>
      <c r="D131" s="195"/>
      <c r="F131" s="193">
        <f t="shared" si="4"/>
        <v>0</v>
      </c>
      <c r="G131" s="193" t="str">
        <f>IF(IFERROR(IF(Str_TypeDonneesCpt8=Cpt_Index,Tab_Compteur_8[[#This Row],[Index]]-E130,Tab_Compteur_8[[#This Row],[Quantité]])/Tab_Compteur_8[[#This Row],[Delta Jour]],"")&lt;0,"",IFERROR(IF(Str_TypeDonneesCpt8=Cpt_Index,Tab_Compteur_8[[#This Row],[Index]]-E130,Tab_Compteur_8[[#This Row],[Quantité]])/Tab_Compteur_8[[#This Row],[Delta Jour]],""))</f>
        <v/>
      </c>
      <c r="H131" s="193" t="str">
        <f>IFERROR(Tab_Compteur_8[[#This Row],[Montant]]/Tab_Compteur_8[[#This Row],[Delta Jour]],"")</f>
        <v/>
      </c>
      <c r="I131" s="215" t="str">
        <f t="shared" ref="I131:I194" si="6">G131</f>
        <v/>
      </c>
      <c r="J131" s="216"/>
      <c r="K131" s="38"/>
      <c r="L131" s="38"/>
      <c r="M131" s="38"/>
    </row>
    <row r="132" spans="1:13">
      <c r="A132" s="3">
        <f t="shared" si="5"/>
        <v>1</v>
      </c>
      <c r="B132" s="88"/>
      <c r="C132" s="196"/>
      <c r="D132" s="195"/>
      <c r="F132" s="193">
        <f t="shared" si="4"/>
        <v>0</v>
      </c>
      <c r="G132" s="193" t="str">
        <f>IF(IFERROR(IF(Str_TypeDonneesCpt8=Cpt_Index,Tab_Compteur_8[[#This Row],[Index]]-E131,Tab_Compteur_8[[#This Row],[Quantité]])/Tab_Compteur_8[[#This Row],[Delta Jour]],"")&lt;0,"",IFERROR(IF(Str_TypeDonneesCpt8=Cpt_Index,Tab_Compteur_8[[#This Row],[Index]]-E131,Tab_Compteur_8[[#This Row],[Quantité]])/Tab_Compteur_8[[#This Row],[Delta Jour]],""))</f>
        <v/>
      </c>
      <c r="H132" s="193" t="str">
        <f>IFERROR(Tab_Compteur_8[[#This Row],[Montant]]/Tab_Compteur_8[[#This Row],[Delta Jour]],"")</f>
        <v/>
      </c>
      <c r="I132" s="215" t="str">
        <f t="shared" si="6"/>
        <v/>
      </c>
      <c r="J132" s="216"/>
      <c r="K132" s="38"/>
      <c r="L132" s="38"/>
      <c r="M132" s="38"/>
    </row>
    <row r="133" spans="1:13">
      <c r="A133" s="3">
        <f t="shared" si="5"/>
        <v>1</v>
      </c>
      <c r="B133" s="88"/>
      <c r="C133" s="196"/>
      <c r="D133" s="195"/>
      <c r="F133" s="193">
        <f t="shared" ref="F133:F196" si="7">IFERROR(B133-A133+1,"")</f>
        <v>0</v>
      </c>
      <c r="G133" s="193" t="str">
        <f>IF(IFERROR(IF(Str_TypeDonneesCpt8=Cpt_Index,Tab_Compteur_8[[#This Row],[Index]]-E132,Tab_Compteur_8[[#This Row],[Quantité]])/Tab_Compteur_8[[#This Row],[Delta Jour]],"")&lt;0,"",IFERROR(IF(Str_TypeDonneesCpt8=Cpt_Index,Tab_Compteur_8[[#This Row],[Index]]-E132,Tab_Compteur_8[[#This Row],[Quantité]])/Tab_Compteur_8[[#This Row],[Delta Jour]],""))</f>
        <v/>
      </c>
      <c r="H133" s="193" t="str">
        <f>IFERROR(Tab_Compteur_8[[#This Row],[Montant]]/Tab_Compteur_8[[#This Row],[Delta Jour]],"")</f>
        <v/>
      </c>
      <c r="I133" s="215" t="str">
        <f t="shared" si="6"/>
        <v/>
      </c>
      <c r="J133" s="216"/>
      <c r="K133" s="38"/>
      <c r="L133" s="38"/>
      <c r="M133" s="38"/>
    </row>
    <row r="134" spans="1:13">
      <c r="A134" s="3">
        <f t="shared" ref="A134:A197" si="8">IFERROR(B133+1,0)</f>
        <v>1</v>
      </c>
      <c r="B134" s="88"/>
      <c r="C134" s="196"/>
      <c r="D134" s="195"/>
      <c r="F134" s="193">
        <f t="shared" si="7"/>
        <v>0</v>
      </c>
      <c r="G134" s="193" t="str">
        <f>IF(IFERROR(IF(Str_TypeDonneesCpt8=Cpt_Index,Tab_Compteur_8[[#This Row],[Index]]-E133,Tab_Compteur_8[[#This Row],[Quantité]])/Tab_Compteur_8[[#This Row],[Delta Jour]],"")&lt;0,"",IFERROR(IF(Str_TypeDonneesCpt8=Cpt_Index,Tab_Compteur_8[[#This Row],[Index]]-E133,Tab_Compteur_8[[#This Row],[Quantité]])/Tab_Compteur_8[[#This Row],[Delta Jour]],""))</f>
        <v/>
      </c>
      <c r="H134" s="193" t="str">
        <f>IFERROR(Tab_Compteur_8[[#This Row],[Montant]]/Tab_Compteur_8[[#This Row],[Delta Jour]],"")</f>
        <v/>
      </c>
      <c r="I134" s="215" t="str">
        <f t="shared" si="6"/>
        <v/>
      </c>
      <c r="J134" s="216"/>
      <c r="K134" s="38"/>
      <c r="L134" s="38"/>
      <c r="M134" s="38"/>
    </row>
    <row r="135" spans="1:13">
      <c r="A135" s="3">
        <f t="shared" si="8"/>
        <v>1</v>
      </c>
      <c r="B135" s="88"/>
      <c r="C135" s="196"/>
      <c r="D135" s="195"/>
      <c r="F135" s="193">
        <f t="shared" si="7"/>
        <v>0</v>
      </c>
      <c r="G135" s="193" t="str">
        <f>IF(IFERROR(IF(Str_TypeDonneesCpt8=Cpt_Index,Tab_Compteur_8[[#This Row],[Index]]-E134,Tab_Compteur_8[[#This Row],[Quantité]])/Tab_Compteur_8[[#This Row],[Delta Jour]],"")&lt;0,"",IFERROR(IF(Str_TypeDonneesCpt8=Cpt_Index,Tab_Compteur_8[[#This Row],[Index]]-E134,Tab_Compteur_8[[#This Row],[Quantité]])/Tab_Compteur_8[[#This Row],[Delta Jour]],""))</f>
        <v/>
      </c>
      <c r="H135" s="193" t="str">
        <f>IFERROR(Tab_Compteur_8[[#This Row],[Montant]]/Tab_Compteur_8[[#This Row],[Delta Jour]],"")</f>
        <v/>
      </c>
      <c r="I135" s="215" t="str">
        <f t="shared" si="6"/>
        <v/>
      </c>
      <c r="J135" s="216"/>
      <c r="K135" s="38"/>
      <c r="L135" s="38"/>
      <c r="M135" s="38"/>
    </row>
    <row r="136" spans="1:13">
      <c r="A136" s="3">
        <f t="shared" si="8"/>
        <v>1</v>
      </c>
      <c r="B136" s="88"/>
      <c r="C136" s="196"/>
      <c r="D136" s="195"/>
      <c r="F136" s="193">
        <f t="shared" si="7"/>
        <v>0</v>
      </c>
      <c r="G136" s="193" t="str">
        <f>IF(IFERROR(IF(Str_TypeDonneesCpt8=Cpt_Index,Tab_Compteur_8[[#This Row],[Index]]-E135,Tab_Compteur_8[[#This Row],[Quantité]])/Tab_Compteur_8[[#This Row],[Delta Jour]],"")&lt;0,"",IFERROR(IF(Str_TypeDonneesCpt8=Cpt_Index,Tab_Compteur_8[[#This Row],[Index]]-E135,Tab_Compteur_8[[#This Row],[Quantité]])/Tab_Compteur_8[[#This Row],[Delta Jour]],""))</f>
        <v/>
      </c>
      <c r="H136" s="193" t="str">
        <f>IFERROR(Tab_Compteur_8[[#This Row],[Montant]]/Tab_Compteur_8[[#This Row],[Delta Jour]],"")</f>
        <v/>
      </c>
      <c r="I136" s="215" t="str">
        <f t="shared" si="6"/>
        <v/>
      </c>
      <c r="J136" s="216"/>
      <c r="K136" s="38"/>
      <c r="L136" s="38"/>
      <c r="M136" s="38"/>
    </row>
    <row r="137" spans="1:13">
      <c r="A137" s="3">
        <f t="shared" si="8"/>
        <v>1</v>
      </c>
      <c r="B137" s="88"/>
      <c r="C137" s="196"/>
      <c r="D137" s="195"/>
      <c r="F137" s="193">
        <f t="shared" si="7"/>
        <v>0</v>
      </c>
      <c r="G137" s="193" t="str">
        <f>IF(IFERROR(IF(Str_TypeDonneesCpt8=Cpt_Index,Tab_Compteur_8[[#This Row],[Index]]-E136,Tab_Compteur_8[[#This Row],[Quantité]])/Tab_Compteur_8[[#This Row],[Delta Jour]],"")&lt;0,"",IFERROR(IF(Str_TypeDonneesCpt8=Cpt_Index,Tab_Compteur_8[[#This Row],[Index]]-E136,Tab_Compteur_8[[#This Row],[Quantité]])/Tab_Compteur_8[[#This Row],[Delta Jour]],""))</f>
        <v/>
      </c>
      <c r="H137" s="193" t="str">
        <f>IFERROR(Tab_Compteur_8[[#This Row],[Montant]]/Tab_Compteur_8[[#This Row],[Delta Jour]],"")</f>
        <v/>
      </c>
      <c r="I137" s="215" t="str">
        <f t="shared" si="6"/>
        <v/>
      </c>
      <c r="J137" s="216"/>
      <c r="K137" s="38"/>
      <c r="L137" s="38"/>
      <c r="M137" s="38"/>
    </row>
    <row r="138" spans="1:13">
      <c r="A138" s="3">
        <f t="shared" si="8"/>
        <v>1</v>
      </c>
      <c r="B138" s="88"/>
      <c r="C138" s="196"/>
      <c r="D138" s="195"/>
      <c r="F138" s="193">
        <f t="shared" si="7"/>
        <v>0</v>
      </c>
      <c r="G138" s="193" t="str">
        <f>IF(IFERROR(IF(Str_TypeDonneesCpt8=Cpt_Index,Tab_Compteur_8[[#This Row],[Index]]-E137,Tab_Compteur_8[[#This Row],[Quantité]])/Tab_Compteur_8[[#This Row],[Delta Jour]],"")&lt;0,"",IFERROR(IF(Str_TypeDonneesCpt8=Cpt_Index,Tab_Compteur_8[[#This Row],[Index]]-E137,Tab_Compteur_8[[#This Row],[Quantité]])/Tab_Compteur_8[[#This Row],[Delta Jour]],""))</f>
        <v/>
      </c>
      <c r="H138" s="193" t="str">
        <f>IFERROR(Tab_Compteur_8[[#This Row],[Montant]]/Tab_Compteur_8[[#This Row],[Delta Jour]],"")</f>
        <v/>
      </c>
      <c r="I138" s="215" t="str">
        <f t="shared" si="6"/>
        <v/>
      </c>
      <c r="J138" s="216"/>
      <c r="K138" s="38"/>
      <c r="L138" s="38"/>
      <c r="M138" s="38"/>
    </row>
    <row r="139" spans="1:13">
      <c r="A139" s="3">
        <f t="shared" si="8"/>
        <v>1</v>
      </c>
      <c r="B139" s="88"/>
      <c r="C139" s="196"/>
      <c r="D139" s="195"/>
      <c r="F139" s="193">
        <f t="shared" si="7"/>
        <v>0</v>
      </c>
      <c r="G139" s="193" t="str">
        <f>IF(IFERROR(IF(Str_TypeDonneesCpt8=Cpt_Index,Tab_Compteur_8[[#This Row],[Index]]-E138,Tab_Compteur_8[[#This Row],[Quantité]])/Tab_Compteur_8[[#This Row],[Delta Jour]],"")&lt;0,"",IFERROR(IF(Str_TypeDonneesCpt8=Cpt_Index,Tab_Compteur_8[[#This Row],[Index]]-E138,Tab_Compteur_8[[#This Row],[Quantité]])/Tab_Compteur_8[[#This Row],[Delta Jour]],""))</f>
        <v/>
      </c>
      <c r="H139" s="193" t="str">
        <f>IFERROR(Tab_Compteur_8[[#This Row],[Montant]]/Tab_Compteur_8[[#This Row],[Delta Jour]],"")</f>
        <v/>
      </c>
      <c r="I139" s="215" t="str">
        <f t="shared" si="6"/>
        <v/>
      </c>
      <c r="J139" s="216"/>
      <c r="K139" s="38"/>
      <c r="L139" s="38"/>
      <c r="M139" s="38"/>
    </row>
    <row r="140" spans="1:13">
      <c r="A140" s="3">
        <f t="shared" si="8"/>
        <v>1</v>
      </c>
      <c r="B140" s="88"/>
      <c r="C140" s="196"/>
      <c r="D140" s="195"/>
      <c r="F140" s="193">
        <f t="shared" si="7"/>
        <v>0</v>
      </c>
      <c r="G140" s="193" t="str">
        <f>IF(IFERROR(IF(Str_TypeDonneesCpt8=Cpt_Index,Tab_Compteur_8[[#This Row],[Index]]-E139,Tab_Compteur_8[[#This Row],[Quantité]])/Tab_Compteur_8[[#This Row],[Delta Jour]],"")&lt;0,"",IFERROR(IF(Str_TypeDonneesCpt8=Cpt_Index,Tab_Compteur_8[[#This Row],[Index]]-E139,Tab_Compteur_8[[#This Row],[Quantité]])/Tab_Compteur_8[[#This Row],[Delta Jour]],""))</f>
        <v/>
      </c>
      <c r="H140" s="193" t="str">
        <f>IFERROR(Tab_Compteur_8[[#This Row],[Montant]]/Tab_Compteur_8[[#This Row],[Delta Jour]],"")</f>
        <v/>
      </c>
      <c r="I140" s="215" t="str">
        <f t="shared" si="6"/>
        <v/>
      </c>
      <c r="J140" s="216"/>
      <c r="K140" s="38"/>
      <c r="L140" s="38"/>
      <c r="M140" s="38"/>
    </row>
    <row r="141" spans="1:13">
      <c r="A141" s="3">
        <f t="shared" si="8"/>
        <v>1</v>
      </c>
      <c r="B141" s="88"/>
      <c r="C141" s="196"/>
      <c r="D141" s="195"/>
      <c r="F141" s="193">
        <f t="shared" si="7"/>
        <v>0</v>
      </c>
      <c r="G141" s="193" t="str">
        <f>IF(IFERROR(IF(Str_TypeDonneesCpt8=Cpt_Index,Tab_Compteur_8[[#This Row],[Index]]-E140,Tab_Compteur_8[[#This Row],[Quantité]])/Tab_Compteur_8[[#This Row],[Delta Jour]],"")&lt;0,"",IFERROR(IF(Str_TypeDonneesCpt8=Cpt_Index,Tab_Compteur_8[[#This Row],[Index]]-E140,Tab_Compteur_8[[#This Row],[Quantité]])/Tab_Compteur_8[[#This Row],[Delta Jour]],""))</f>
        <v/>
      </c>
      <c r="H141" s="193" t="str">
        <f>IFERROR(Tab_Compteur_8[[#This Row],[Montant]]/Tab_Compteur_8[[#This Row],[Delta Jour]],"")</f>
        <v/>
      </c>
      <c r="I141" s="215" t="str">
        <f t="shared" si="6"/>
        <v/>
      </c>
      <c r="J141" s="216"/>
      <c r="K141" s="38"/>
      <c r="L141" s="38"/>
      <c r="M141" s="38"/>
    </row>
    <row r="142" spans="1:13">
      <c r="A142" s="3">
        <f t="shared" si="8"/>
        <v>1</v>
      </c>
      <c r="B142" s="88"/>
      <c r="C142" s="196"/>
      <c r="D142" s="195"/>
      <c r="F142" s="193">
        <f t="shared" si="7"/>
        <v>0</v>
      </c>
      <c r="G142" s="193" t="str">
        <f>IF(IFERROR(IF(Str_TypeDonneesCpt8=Cpt_Index,Tab_Compteur_8[[#This Row],[Index]]-E141,Tab_Compteur_8[[#This Row],[Quantité]])/Tab_Compteur_8[[#This Row],[Delta Jour]],"")&lt;0,"",IFERROR(IF(Str_TypeDonneesCpt8=Cpt_Index,Tab_Compteur_8[[#This Row],[Index]]-E141,Tab_Compteur_8[[#This Row],[Quantité]])/Tab_Compteur_8[[#This Row],[Delta Jour]],""))</f>
        <v/>
      </c>
      <c r="H142" s="193" t="str">
        <f>IFERROR(Tab_Compteur_8[[#This Row],[Montant]]/Tab_Compteur_8[[#This Row],[Delta Jour]],"")</f>
        <v/>
      </c>
      <c r="I142" s="215" t="str">
        <f t="shared" si="6"/>
        <v/>
      </c>
      <c r="J142" s="216"/>
      <c r="K142" s="38"/>
      <c r="L142" s="38"/>
      <c r="M142" s="38"/>
    </row>
    <row r="143" spans="1:13">
      <c r="A143" s="3">
        <f t="shared" si="8"/>
        <v>1</v>
      </c>
      <c r="B143" s="88"/>
      <c r="C143" s="196"/>
      <c r="D143" s="195"/>
      <c r="F143" s="193">
        <f t="shared" si="7"/>
        <v>0</v>
      </c>
      <c r="G143" s="193" t="str">
        <f>IF(IFERROR(IF(Str_TypeDonneesCpt8=Cpt_Index,Tab_Compteur_8[[#This Row],[Index]]-E142,Tab_Compteur_8[[#This Row],[Quantité]])/Tab_Compteur_8[[#This Row],[Delta Jour]],"")&lt;0,"",IFERROR(IF(Str_TypeDonneesCpt8=Cpt_Index,Tab_Compteur_8[[#This Row],[Index]]-E142,Tab_Compteur_8[[#This Row],[Quantité]])/Tab_Compteur_8[[#This Row],[Delta Jour]],""))</f>
        <v/>
      </c>
      <c r="H143" s="193" t="str">
        <f>IFERROR(Tab_Compteur_8[[#This Row],[Montant]]/Tab_Compteur_8[[#This Row],[Delta Jour]],"")</f>
        <v/>
      </c>
      <c r="I143" s="215" t="str">
        <f t="shared" si="6"/>
        <v/>
      </c>
      <c r="J143" s="216"/>
      <c r="K143" s="38"/>
      <c r="L143" s="38"/>
      <c r="M143" s="38"/>
    </row>
    <row r="144" spans="1:13">
      <c r="A144" s="3">
        <f t="shared" si="8"/>
        <v>1</v>
      </c>
      <c r="B144" s="88"/>
      <c r="C144" s="196"/>
      <c r="D144" s="195"/>
      <c r="F144" s="193">
        <f t="shared" si="7"/>
        <v>0</v>
      </c>
      <c r="G144" s="193" t="str">
        <f>IF(IFERROR(IF(Str_TypeDonneesCpt8=Cpt_Index,Tab_Compteur_8[[#This Row],[Index]]-E143,Tab_Compteur_8[[#This Row],[Quantité]])/Tab_Compteur_8[[#This Row],[Delta Jour]],"")&lt;0,"",IFERROR(IF(Str_TypeDonneesCpt8=Cpt_Index,Tab_Compteur_8[[#This Row],[Index]]-E143,Tab_Compteur_8[[#This Row],[Quantité]])/Tab_Compteur_8[[#This Row],[Delta Jour]],""))</f>
        <v/>
      </c>
      <c r="H144" s="193" t="str">
        <f>IFERROR(Tab_Compteur_8[[#This Row],[Montant]]/Tab_Compteur_8[[#This Row],[Delta Jour]],"")</f>
        <v/>
      </c>
      <c r="I144" s="215" t="str">
        <f t="shared" si="6"/>
        <v/>
      </c>
      <c r="J144" s="216"/>
      <c r="K144" s="38"/>
      <c r="L144" s="38"/>
      <c r="M144" s="38"/>
    </row>
    <row r="145" spans="1:13">
      <c r="A145" s="3">
        <f t="shared" si="8"/>
        <v>1</v>
      </c>
      <c r="B145" s="88"/>
      <c r="C145" s="196"/>
      <c r="D145" s="195"/>
      <c r="F145" s="193">
        <f t="shared" si="7"/>
        <v>0</v>
      </c>
      <c r="G145" s="193" t="str">
        <f>IF(IFERROR(IF(Str_TypeDonneesCpt8=Cpt_Index,Tab_Compteur_8[[#This Row],[Index]]-E144,Tab_Compteur_8[[#This Row],[Quantité]])/Tab_Compteur_8[[#This Row],[Delta Jour]],"")&lt;0,"",IFERROR(IF(Str_TypeDonneesCpt8=Cpt_Index,Tab_Compteur_8[[#This Row],[Index]]-E144,Tab_Compteur_8[[#This Row],[Quantité]])/Tab_Compteur_8[[#This Row],[Delta Jour]],""))</f>
        <v/>
      </c>
      <c r="H145" s="193" t="str">
        <f>IFERROR(Tab_Compteur_8[[#This Row],[Montant]]/Tab_Compteur_8[[#This Row],[Delta Jour]],"")</f>
        <v/>
      </c>
      <c r="I145" s="215" t="str">
        <f t="shared" si="6"/>
        <v/>
      </c>
      <c r="J145" s="216"/>
      <c r="K145" s="38"/>
      <c r="L145" s="38"/>
      <c r="M145" s="38"/>
    </row>
    <row r="146" spans="1:13">
      <c r="A146" s="3">
        <f t="shared" si="8"/>
        <v>1</v>
      </c>
      <c r="B146" s="88"/>
      <c r="C146" s="196"/>
      <c r="D146" s="195"/>
      <c r="F146" s="193">
        <f t="shared" si="7"/>
        <v>0</v>
      </c>
      <c r="G146" s="193" t="str">
        <f>IF(IFERROR(IF(Str_TypeDonneesCpt8=Cpt_Index,Tab_Compteur_8[[#This Row],[Index]]-E145,Tab_Compteur_8[[#This Row],[Quantité]])/Tab_Compteur_8[[#This Row],[Delta Jour]],"")&lt;0,"",IFERROR(IF(Str_TypeDonneesCpt8=Cpt_Index,Tab_Compteur_8[[#This Row],[Index]]-E145,Tab_Compteur_8[[#This Row],[Quantité]])/Tab_Compteur_8[[#This Row],[Delta Jour]],""))</f>
        <v/>
      </c>
      <c r="H146" s="193" t="str">
        <f>IFERROR(Tab_Compteur_8[[#This Row],[Montant]]/Tab_Compteur_8[[#This Row],[Delta Jour]],"")</f>
        <v/>
      </c>
      <c r="I146" s="215" t="str">
        <f t="shared" si="6"/>
        <v/>
      </c>
      <c r="J146" s="216"/>
      <c r="K146" s="38"/>
      <c r="L146" s="38"/>
      <c r="M146" s="38"/>
    </row>
    <row r="147" spans="1:13">
      <c r="A147" s="3">
        <f t="shared" si="8"/>
        <v>1</v>
      </c>
      <c r="B147" s="88"/>
      <c r="C147" s="196"/>
      <c r="D147" s="195"/>
      <c r="F147" s="193">
        <f t="shared" si="7"/>
        <v>0</v>
      </c>
      <c r="G147" s="193" t="str">
        <f>IF(IFERROR(IF(Str_TypeDonneesCpt8=Cpt_Index,Tab_Compteur_8[[#This Row],[Index]]-E146,Tab_Compteur_8[[#This Row],[Quantité]])/Tab_Compteur_8[[#This Row],[Delta Jour]],"")&lt;0,"",IFERROR(IF(Str_TypeDonneesCpt8=Cpt_Index,Tab_Compteur_8[[#This Row],[Index]]-E146,Tab_Compteur_8[[#This Row],[Quantité]])/Tab_Compteur_8[[#This Row],[Delta Jour]],""))</f>
        <v/>
      </c>
      <c r="H147" s="193" t="str">
        <f>IFERROR(Tab_Compteur_8[[#This Row],[Montant]]/Tab_Compteur_8[[#This Row],[Delta Jour]],"")</f>
        <v/>
      </c>
      <c r="I147" s="215" t="str">
        <f t="shared" si="6"/>
        <v/>
      </c>
      <c r="J147" s="216"/>
      <c r="K147" s="38"/>
      <c r="L147" s="38"/>
      <c r="M147" s="38"/>
    </row>
    <row r="148" spans="1:13">
      <c r="A148" s="3">
        <f t="shared" si="8"/>
        <v>1</v>
      </c>
      <c r="B148" s="88"/>
      <c r="C148" s="196"/>
      <c r="D148" s="195"/>
      <c r="F148" s="193">
        <f t="shared" si="7"/>
        <v>0</v>
      </c>
      <c r="G148" s="193" t="str">
        <f>IF(IFERROR(IF(Str_TypeDonneesCpt8=Cpt_Index,Tab_Compteur_8[[#This Row],[Index]]-E147,Tab_Compteur_8[[#This Row],[Quantité]])/Tab_Compteur_8[[#This Row],[Delta Jour]],"")&lt;0,"",IFERROR(IF(Str_TypeDonneesCpt8=Cpt_Index,Tab_Compteur_8[[#This Row],[Index]]-E147,Tab_Compteur_8[[#This Row],[Quantité]])/Tab_Compteur_8[[#This Row],[Delta Jour]],""))</f>
        <v/>
      </c>
      <c r="H148" s="193" t="str">
        <f>IFERROR(Tab_Compteur_8[[#This Row],[Montant]]/Tab_Compteur_8[[#This Row],[Delta Jour]],"")</f>
        <v/>
      </c>
      <c r="I148" s="215" t="str">
        <f t="shared" si="6"/>
        <v/>
      </c>
      <c r="J148" s="216"/>
      <c r="K148" s="38"/>
      <c r="L148" s="38"/>
      <c r="M148" s="38"/>
    </row>
    <row r="149" spans="1:13">
      <c r="A149" s="3">
        <f t="shared" si="8"/>
        <v>1</v>
      </c>
      <c r="B149" s="88"/>
      <c r="C149" s="196"/>
      <c r="D149" s="195"/>
      <c r="F149" s="193">
        <f t="shared" si="7"/>
        <v>0</v>
      </c>
      <c r="G149" s="193" t="str">
        <f>IF(IFERROR(IF(Str_TypeDonneesCpt8=Cpt_Index,Tab_Compteur_8[[#This Row],[Index]]-E148,Tab_Compteur_8[[#This Row],[Quantité]])/Tab_Compteur_8[[#This Row],[Delta Jour]],"")&lt;0,"",IFERROR(IF(Str_TypeDonneesCpt8=Cpt_Index,Tab_Compteur_8[[#This Row],[Index]]-E148,Tab_Compteur_8[[#This Row],[Quantité]])/Tab_Compteur_8[[#This Row],[Delta Jour]],""))</f>
        <v/>
      </c>
      <c r="H149" s="193" t="str">
        <f>IFERROR(Tab_Compteur_8[[#This Row],[Montant]]/Tab_Compteur_8[[#This Row],[Delta Jour]],"")</f>
        <v/>
      </c>
      <c r="I149" s="215" t="str">
        <f t="shared" si="6"/>
        <v/>
      </c>
      <c r="J149" s="216"/>
      <c r="K149" s="38"/>
      <c r="L149" s="38"/>
      <c r="M149" s="38"/>
    </row>
    <row r="150" spans="1:13">
      <c r="A150" s="3">
        <f t="shared" si="8"/>
        <v>1</v>
      </c>
      <c r="B150" s="88"/>
      <c r="C150" s="196"/>
      <c r="D150" s="195"/>
      <c r="F150" s="193">
        <f t="shared" si="7"/>
        <v>0</v>
      </c>
      <c r="G150" s="193" t="str">
        <f>IF(IFERROR(IF(Str_TypeDonneesCpt8=Cpt_Index,Tab_Compteur_8[[#This Row],[Index]]-E149,Tab_Compteur_8[[#This Row],[Quantité]])/Tab_Compteur_8[[#This Row],[Delta Jour]],"")&lt;0,"",IFERROR(IF(Str_TypeDonneesCpt8=Cpt_Index,Tab_Compteur_8[[#This Row],[Index]]-E149,Tab_Compteur_8[[#This Row],[Quantité]])/Tab_Compteur_8[[#This Row],[Delta Jour]],""))</f>
        <v/>
      </c>
      <c r="H150" s="193" t="str">
        <f>IFERROR(Tab_Compteur_8[[#This Row],[Montant]]/Tab_Compteur_8[[#This Row],[Delta Jour]],"")</f>
        <v/>
      </c>
      <c r="I150" s="215" t="str">
        <f t="shared" si="6"/>
        <v/>
      </c>
      <c r="J150" s="216"/>
      <c r="K150" s="38"/>
      <c r="L150" s="38"/>
      <c r="M150" s="38"/>
    </row>
    <row r="151" spans="1:13">
      <c r="A151" s="3">
        <f t="shared" si="8"/>
        <v>1</v>
      </c>
      <c r="B151" s="88"/>
      <c r="C151" s="196"/>
      <c r="D151" s="195"/>
      <c r="F151" s="193">
        <f t="shared" si="7"/>
        <v>0</v>
      </c>
      <c r="G151" s="193" t="str">
        <f>IF(IFERROR(IF(Str_TypeDonneesCpt8=Cpt_Index,Tab_Compteur_8[[#This Row],[Index]]-E150,Tab_Compteur_8[[#This Row],[Quantité]])/Tab_Compteur_8[[#This Row],[Delta Jour]],"")&lt;0,"",IFERROR(IF(Str_TypeDonneesCpt8=Cpt_Index,Tab_Compteur_8[[#This Row],[Index]]-E150,Tab_Compteur_8[[#This Row],[Quantité]])/Tab_Compteur_8[[#This Row],[Delta Jour]],""))</f>
        <v/>
      </c>
      <c r="H151" s="193" t="str">
        <f>IFERROR(Tab_Compteur_8[[#This Row],[Montant]]/Tab_Compteur_8[[#This Row],[Delta Jour]],"")</f>
        <v/>
      </c>
      <c r="I151" s="215" t="str">
        <f t="shared" si="6"/>
        <v/>
      </c>
      <c r="J151" s="216"/>
      <c r="K151" s="38"/>
      <c r="L151" s="38"/>
      <c r="M151" s="38"/>
    </row>
    <row r="152" spans="1:13">
      <c r="A152" s="3">
        <f t="shared" si="8"/>
        <v>1</v>
      </c>
      <c r="B152" s="88"/>
      <c r="C152" s="196"/>
      <c r="D152" s="195"/>
      <c r="F152" s="193">
        <f t="shared" si="7"/>
        <v>0</v>
      </c>
      <c r="G152" s="193" t="str">
        <f>IF(IFERROR(IF(Str_TypeDonneesCpt8=Cpt_Index,Tab_Compteur_8[[#This Row],[Index]]-E151,Tab_Compteur_8[[#This Row],[Quantité]])/Tab_Compteur_8[[#This Row],[Delta Jour]],"")&lt;0,"",IFERROR(IF(Str_TypeDonneesCpt8=Cpt_Index,Tab_Compteur_8[[#This Row],[Index]]-E151,Tab_Compteur_8[[#This Row],[Quantité]])/Tab_Compteur_8[[#This Row],[Delta Jour]],""))</f>
        <v/>
      </c>
      <c r="H152" s="193" t="str">
        <f>IFERROR(Tab_Compteur_8[[#This Row],[Montant]]/Tab_Compteur_8[[#This Row],[Delta Jour]],"")</f>
        <v/>
      </c>
      <c r="I152" s="215" t="str">
        <f t="shared" si="6"/>
        <v/>
      </c>
      <c r="J152" s="216"/>
      <c r="K152" s="38"/>
      <c r="L152" s="38"/>
      <c r="M152" s="38"/>
    </row>
    <row r="153" spans="1:13">
      <c r="A153" s="3">
        <f t="shared" si="8"/>
        <v>1</v>
      </c>
      <c r="B153" s="88"/>
      <c r="C153" s="196"/>
      <c r="D153" s="195"/>
      <c r="F153" s="193">
        <f t="shared" si="7"/>
        <v>0</v>
      </c>
      <c r="G153" s="193" t="str">
        <f>IF(IFERROR(IF(Str_TypeDonneesCpt8=Cpt_Index,Tab_Compteur_8[[#This Row],[Index]]-E152,Tab_Compteur_8[[#This Row],[Quantité]])/Tab_Compteur_8[[#This Row],[Delta Jour]],"")&lt;0,"",IFERROR(IF(Str_TypeDonneesCpt8=Cpt_Index,Tab_Compteur_8[[#This Row],[Index]]-E152,Tab_Compteur_8[[#This Row],[Quantité]])/Tab_Compteur_8[[#This Row],[Delta Jour]],""))</f>
        <v/>
      </c>
      <c r="H153" s="193" t="str">
        <f>IFERROR(Tab_Compteur_8[[#This Row],[Montant]]/Tab_Compteur_8[[#This Row],[Delta Jour]],"")</f>
        <v/>
      </c>
      <c r="I153" s="215" t="str">
        <f t="shared" si="6"/>
        <v/>
      </c>
      <c r="J153" s="216"/>
      <c r="K153" s="38"/>
      <c r="L153" s="38"/>
      <c r="M153" s="38"/>
    </row>
    <row r="154" spans="1:13">
      <c r="A154" s="3">
        <f t="shared" si="8"/>
        <v>1</v>
      </c>
      <c r="B154" s="88"/>
      <c r="C154" s="196"/>
      <c r="D154" s="195"/>
      <c r="F154" s="193">
        <f t="shared" si="7"/>
        <v>0</v>
      </c>
      <c r="G154" s="193" t="str">
        <f>IF(IFERROR(IF(Str_TypeDonneesCpt8=Cpt_Index,Tab_Compteur_8[[#This Row],[Index]]-E153,Tab_Compteur_8[[#This Row],[Quantité]])/Tab_Compteur_8[[#This Row],[Delta Jour]],"")&lt;0,"",IFERROR(IF(Str_TypeDonneesCpt8=Cpt_Index,Tab_Compteur_8[[#This Row],[Index]]-E153,Tab_Compteur_8[[#This Row],[Quantité]])/Tab_Compteur_8[[#This Row],[Delta Jour]],""))</f>
        <v/>
      </c>
      <c r="H154" s="193" t="str">
        <f>IFERROR(Tab_Compteur_8[[#This Row],[Montant]]/Tab_Compteur_8[[#This Row],[Delta Jour]],"")</f>
        <v/>
      </c>
      <c r="I154" s="215" t="str">
        <f t="shared" si="6"/>
        <v/>
      </c>
      <c r="J154" s="216"/>
      <c r="K154" s="38"/>
      <c r="L154" s="38"/>
      <c r="M154" s="38"/>
    </row>
    <row r="155" spans="1:13">
      <c r="A155" s="3">
        <f t="shared" si="8"/>
        <v>1</v>
      </c>
      <c r="B155" s="88"/>
      <c r="C155" s="196"/>
      <c r="D155" s="195"/>
      <c r="F155" s="193">
        <f t="shared" si="7"/>
        <v>0</v>
      </c>
      <c r="G155" s="193" t="str">
        <f>IF(IFERROR(IF(Str_TypeDonneesCpt8=Cpt_Index,Tab_Compteur_8[[#This Row],[Index]]-E154,Tab_Compteur_8[[#This Row],[Quantité]])/Tab_Compteur_8[[#This Row],[Delta Jour]],"")&lt;0,"",IFERROR(IF(Str_TypeDonneesCpt8=Cpt_Index,Tab_Compteur_8[[#This Row],[Index]]-E154,Tab_Compteur_8[[#This Row],[Quantité]])/Tab_Compteur_8[[#This Row],[Delta Jour]],""))</f>
        <v/>
      </c>
      <c r="H155" s="193" t="str">
        <f>IFERROR(Tab_Compteur_8[[#This Row],[Montant]]/Tab_Compteur_8[[#This Row],[Delta Jour]],"")</f>
        <v/>
      </c>
      <c r="I155" s="215" t="str">
        <f t="shared" si="6"/>
        <v/>
      </c>
      <c r="J155" s="216"/>
      <c r="K155" s="38"/>
      <c r="L155" s="38"/>
      <c r="M155" s="38"/>
    </row>
    <row r="156" spans="1:13">
      <c r="A156" s="3">
        <f t="shared" si="8"/>
        <v>1</v>
      </c>
      <c r="B156" s="88"/>
      <c r="C156" s="196"/>
      <c r="D156" s="195"/>
      <c r="F156" s="193">
        <f t="shared" si="7"/>
        <v>0</v>
      </c>
      <c r="G156" s="193" t="str">
        <f>IF(IFERROR(IF(Str_TypeDonneesCpt8=Cpt_Index,Tab_Compteur_8[[#This Row],[Index]]-E155,Tab_Compteur_8[[#This Row],[Quantité]])/Tab_Compteur_8[[#This Row],[Delta Jour]],"")&lt;0,"",IFERROR(IF(Str_TypeDonneesCpt8=Cpt_Index,Tab_Compteur_8[[#This Row],[Index]]-E155,Tab_Compteur_8[[#This Row],[Quantité]])/Tab_Compteur_8[[#This Row],[Delta Jour]],""))</f>
        <v/>
      </c>
      <c r="H156" s="193" t="str">
        <f>IFERROR(Tab_Compteur_8[[#This Row],[Montant]]/Tab_Compteur_8[[#This Row],[Delta Jour]],"")</f>
        <v/>
      </c>
      <c r="I156" s="215" t="str">
        <f t="shared" si="6"/>
        <v/>
      </c>
      <c r="J156" s="216"/>
      <c r="K156" s="38"/>
      <c r="L156" s="38"/>
      <c r="M156" s="38"/>
    </row>
    <row r="157" spans="1:13">
      <c r="A157" s="3">
        <f t="shared" si="8"/>
        <v>1</v>
      </c>
      <c r="B157" s="88"/>
      <c r="C157" s="196"/>
      <c r="D157" s="195"/>
      <c r="F157" s="193">
        <f t="shared" si="7"/>
        <v>0</v>
      </c>
      <c r="G157" s="193" t="str">
        <f>IF(IFERROR(IF(Str_TypeDonneesCpt8=Cpt_Index,Tab_Compteur_8[[#This Row],[Index]]-E156,Tab_Compteur_8[[#This Row],[Quantité]])/Tab_Compteur_8[[#This Row],[Delta Jour]],"")&lt;0,"",IFERROR(IF(Str_TypeDonneesCpt8=Cpt_Index,Tab_Compteur_8[[#This Row],[Index]]-E156,Tab_Compteur_8[[#This Row],[Quantité]])/Tab_Compteur_8[[#This Row],[Delta Jour]],""))</f>
        <v/>
      </c>
      <c r="H157" s="193" t="str">
        <f>IFERROR(Tab_Compteur_8[[#This Row],[Montant]]/Tab_Compteur_8[[#This Row],[Delta Jour]],"")</f>
        <v/>
      </c>
      <c r="I157" s="215" t="str">
        <f t="shared" si="6"/>
        <v/>
      </c>
      <c r="J157" s="216"/>
      <c r="K157" s="38"/>
      <c r="L157" s="38"/>
      <c r="M157" s="38"/>
    </row>
    <row r="158" spans="1:13">
      <c r="A158" s="3">
        <f t="shared" si="8"/>
        <v>1</v>
      </c>
      <c r="B158" s="88"/>
      <c r="C158" s="196"/>
      <c r="D158" s="195"/>
      <c r="F158" s="193">
        <f t="shared" si="7"/>
        <v>0</v>
      </c>
      <c r="G158" s="193" t="str">
        <f>IF(IFERROR(IF(Str_TypeDonneesCpt8=Cpt_Index,Tab_Compteur_8[[#This Row],[Index]]-E157,Tab_Compteur_8[[#This Row],[Quantité]])/Tab_Compteur_8[[#This Row],[Delta Jour]],"")&lt;0,"",IFERROR(IF(Str_TypeDonneesCpt8=Cpt_Index,Tab_Compteur_8[[#This Row],[Index]]-E157,Tab_Compteur_8[[#This Row],[Quantité]])/Tab_Compteur_8[[#This Row],[Delta Jour]],""))</f>
        <v/>
      </c>
      <c r="H158" s="193" t="str">
        <f>IFERROR(Tab_Compteur_8[[#This Row],[Montant]]/Tab_Compteur_8[[#This Row],[Delta Jour]],"")</f>
        <v/>
      </c>
      <c r="I158" s="215" t="str">
        <f t="shared" si="6"/>
        <v/>
      </c>
      <c r="J158" s="216"/>
      <c r="K158" s="38"/>
      <c r="L158" s="38"/>
      <c r="M158" s="38"/>
    </row>
    <row r="159" spans="1:13">
      <c r="A159" s="3">
        <f t="shared" si="8"/>
        <v>1</v>
      </c>
      <c r="B159" s="88"/>
      <c r="C159" s="196"/>
      <c r="D159" s="195"/>
      <c r="F159" s="193">
        <f t="shared" si="7"/>
        <v>0</v>
      </c>
      <c r="G159" s="193" t="str">
        <f>IF(IFERROR(IF(Str_TypeDonneesCpt8=Cpt_Index,Tab_Compteur_8[[#This Row],[Index]]-E158,Tab_Compteur_8[[#This Row],[Quantité]])/Tab_Compteur_8[[#This Row],[Delta Jour]],"")&lt;0,"",IFERROR(IF(Str_TypeDonneesCpt8=Cpt_Index,Tab_Compteur_8[[#This Row],[Index]]-E158,Tab_Compteur_8[[#This Row],[Quantité]])/Tab_Compteur_8[[#This Row],[Delta Jour]],""))</f>
        <v/>
      </c>
      <c r="H159" s="193" t="str">
        <f>IFERROR(Tab_Compteur_8[[#This Row],[Montant]]/Tab_Compteur_8[[#This Row],[Delta Jour]],"")</f>
        <v/>
      </c>
      <c r="I159" s="215" t="str">
        <f t="shared" si="6"/>
        <v/>
      </c>
      <c r="J159" s="216"/>
      <c r="K159" s="38"/>
      <c r="L159" s="38"/>
      <c r="M159" s="38"/>
    </row>
    <row r="160" spans="1:13">
      <c r="A160" s="3">
        <f t="shared" si="8"/>
        <v>1</v>
      </c>
      <c r="B160" s="88"/>
      <c r="C160" s="196"/>
      <c r="D160" s="195"/>
      <c r="F160" s="193">
        <f t="shared" si="7"/>
        <v>0</v>
      </c>
      <c r="G160" s="193" t="str">
        <f>IF(IFERROR(IF(Str_TypeDonneesCpt8=Cpt_Index,Tab_Compteur_8[[#This Row],[Index]]-E159,Tab_Compteur_8[[#This Row],[Quantité]])/Tab_Compteur_8[[#This Row],[Delta Jour]],"")&lt;0,"",IFERROR(IF(Str_TypeDonneesCpt8=Cpt_Index,Tab_Compteur_8[[#This Row],[Index]]-E159,Tab_Compteur_8[[#This Row],[Quantité]])/Tab_Compteur_8[[#This Row],[Delta Jour]],""))</f>
        <v/>
      </c>
      <c r="H160" s="193" t="str">
        <f>IFERROR(Tab_Compteur_8[[#This Row],[Montant]]/Tab_Compteur_8[[#This Row],[Delta Jour]],"")</f>
        <v/>
      </c>
      <c r="I160" s="215" t="str">
        <f t="shared" si="6"/>
        <v/>
      </c>
      <c r="J160" s="216"/>
      <c r="K160" s="38"/>
      <c r="L160" s="38"/>
      <c r="M160" s="38"/>
    </row>
    <row r="161" spans="1:13">
      <c r="A161" s="3">
        <f t="shared" si="8"/>
        <v>1</v>
      </c>
      <c r="B161" s="88"/>
      <c r="C161" s="196"/>
      <c r="D161" s="195"/>
      <c r="F161" s="193">
        <f t="shared" si="7"/>
        <v>0</v>
      </c>
      <c r="G161" s="193" t="str">
        <f>IF(IFERROR(IF(Str_TypeDonneesCpt8=Cpt_Index,Tab_Compteur_8[[#This Row],[Index]]-E160,Tab_Compteur_8[[#This Row],[Quantité]])/Tab_Compteur_8[[#This Row],[Delta Jour]],"")&lt;0,"",IFERROR(IF(Str_TypeDonneesCpt8=Cpt_Index,Tab_Compteur_8[[#This Row],[Index]]-E160,Tab_Compteur_8[[#This Row],[Quantité]])/Tab_Compteur_8[[#This Row],[Delta Jour]],""))</f>
        <v/>
      </c>
      <c r="H161" s="193" t="str">
        <f>IFERROR(Tab_Compteur_8[[#This Row],[Montant]]/Tab_Compteur_8[[#This Row],[Delta Jour]],"")</f>
        <v/>
      </c>
      <c r="I161" s="215" t="str">
        <f t="shared" si="6"/>
        <v/>
      </c>
      <c r="J161" s="216"/>
      <c r="K161" s="38"/>
      <c r="L161" s="38"/>
      <c r="M161" s="38"/>
    </row>
    <row r="162" spans="1:13">
      <c r="A162" s="3">
        <f t="shared" si="8"/>
        <v>1</v>
      </c>
      <c r="B162" s="88"/>
      <c r="C162" s="196"/>
      <c r="D162" s="195"/>
      <c r="F162" s="193">
        <f t="shared" si="7"/>
        <v>0</v>
      </c>
      <c r="G162" s="193" t="str">
        <f>IF(IFERROR(IF(Str_TypeDonneesCpt8=Cpt_Index,Tab_Compteur_8[[#This Row],[Index]]-E161,Tab_Compteur_8[[#This Row],[Quantité]])/Tab_Compteur_8[[#This Row],[Delta Jour]],"")&lt;0,"",IFERROR(IF(Str_TypeDonneesCpt8=Cpt_Index,Tab_Compteur_8[[#This Row],[Index]]-E161,Tab_Compteur_8[[#This Row],[Quantité]])/Tab_Compteur_8[[#This Row],[Delta Jour]],""))</f>
        <v/>
      </c>
      <c r="H162" s="193" t="str">
        <f>IFERROR(Tab_Compteur_8[[#This Row],[Montant]]/Tab_Compteur_8[[#This Row],[Delta Jour]],"")</f>
        <v/>
      </c>
      <c r="I162" s="215" t="str">
        <f t="shared" si="6"/>
        <v/>
      </c>
      <c r="J162" s="216"/>
      <c r="K162" s="38"/>
      <c r="L162" s="38"/>
      <c r="M162" s="38"/>
    </row>
    <row r="163" spans="1:13">
      <c r="A163" s="3">
        <f t="shared" si="8"/>
        <v>1</v>
      </c>
      <c r="B163" s="88"/>
      <c r="C163" s="196"/>
      <c r="D163" s="195"/>
      <c r="F163" s="193">
        <f t="shared" si="7"/>
        <v>0</v>
      </c>
      <c r="G163" s="193" t="str">
        <f>IF(IFERROR(IF(Str_TypeDonneesCpt8=Cpt_Index,Tab_Compteur_8[[#This Row],[Index]]-E162,Tab_Compteur_8[[#This Row],[Quantité]])/Tab_Compteur_8[[#This Row],[Delta Jour]],"")&lt;0,"",IFERROR(IF(Str_TypeDonneesCpt8=Cpt_Index,Tab_Compteur_8[[#This Row],[Index]]-E162,Tab_Compteur_8[[#This Row],[Quantité]])/Tab_Compteur_8[[#This Row],[Delta Jour]],""))</f>
        <v/>
      </c>
      <c r="H163" s="193" t="str">
        <f>IFERROR(Tab_Compteur_8[[#This Row],[Montant]]/Tab_Compteur_8[[#This Row],[Delta Jour]],"")</f>
        <v/>
      </c>
      <c r="I163" s="215" t="str">
        <f t="shared" si="6"/>
        <v/>
      </c>
      <c r="J163" s="216"/>
      <c r="K163" s="38"/>
      <c r="L163" s="38"/>
      <c r="M163" s="38"/>
    </row>
    <row r="164" spans="1:13">
      <c r="A164" s="3">
        <f t="shared" si="8"/>
        <v>1</v>
      </c>
      <c r="B164" s="88"/>
      <c r="C164" s="196"/>
      <c r="D164" s="195"/>
      <c r="F164" s="193">
        <f t="shared" si="7"/>
        <v>0</v>
      </c>
      <c r="G164" s="193" t="str">
        <f>IF(IFERROR(IF(Str_TypeDonneesCpt8=Cpt_Index,Tab_Compteur_8[[#This Row],[Index]]-E163,Tab_Compteur_8[[#This Row],[Quantité]])/Tab_Compteur_8[[#This Row],[Delta Jour]],"")&lt;0,"",IFERROR(IF(Str_TypeDonneesCpt8=Cpt_Index,Tab_Compteur_8[[#This Row],[Index]]-E163,Tab_Compteur_8[[#This Row],[Quantité]])/Tab_Compteur_8[[#This Row],[Delta Jour]],""))</f>
        <v/>
      </c>
      <c r="H164" s="193" t="str">
        <f>IFERROR(Tab_Compteur_8[[#This Row],[Montant]]/Tab_Compteur_8[[#This Row],[Delta Jour]],"")</f>
        <v/>
      </c>
      <c r="I164" s="215" t="str">
        <f t="shared" si="6"/>
        <v/>
      </c>
      <c r="J164" s="216"/>
      <c r="K164" s="38"/>
      <c r="L164" s="38"/>
      <c r="M164" s="38"/>
    </row>
    <row r="165" spans="1:13">
      <c r="A165" s="3">
        <f t="shared" si="8"/>
        <v>1</v>
      </c>
      <c r="B165" s="88"/>
      <c r="C165" s="196"/>
      <c r="D165" s="195"/>
      <c r="F165" s="193">
        <f t="shared" si="7"/>
        <v>0</v>
      </c>
      <c r="G165" s="193" t="str">
        <f>IF(IFERROR(IF(Str_TypeDonneesCpt8=Cpt_Index,Tab_Compteur_8[[#This Row],[Index]]-E164,Tab_Compteur_8[[#This Row],[Quantité]])/Tab_Compteur_8[[#This Row],[Delta Jour]],"")&lt;0,"",IFERROR(IF(Str_TypeDonneesCpt8=Cpt_Index,Tab_Compteur_8[[#This Row],[Index]]-E164,Tab_Compteur_8[[#This Row],[Quantité]])/Tab_Compteur_8[[#This Row],[Delta Jour]],""))</f>
        <v/>
      </c>
      <c r="H165" s="193" t="str">
        <f>IFERROR(Tab_Compteur_8[[#This Row],[Montant]]/Tab_Compteur_8[[#This Row],[Delta Jour]],"")</f>
        <v/>
      </c>
      <c r="I165" s="215" t="str">
        <f t="shared" si="6"/>
        <v/>
      </c>
      <c r="J165" s="216"/>
      <c r="K165" s="38"/>
      <c r="L165" s="38"/>
      <c r="M165" s="38"/>
    </row>
    <row r="166" spans="1:13">
      <c r="A166" s="3">
        <f t="shared" si="8"/>
        <v>1</v>
      </c>
      <c r="B166" s="88"/>
      <c r="C166" s="196"/>
      <c r="D166" s="195"/>
      <c r="F166" s="193">
        <f t="shared" si="7"/>
        <v>0</v>
      </c>
      <c r="G166" s="193" t="str">
        <f>IF(IFERROR(IF(Str_TypeDonneesCpt8=Cpt_Index,Tab_Compteur_8[[#This Row],[Index]]-E165,Tab_Compteur_8[[#This Row],[Quantité]])/Tab_Compteur_8[[#This Row],[Delta Jour]],"")&lt;0,"",IFERROR(IF(Str_TypeDonneesCpt8=Cpt_Index,Tab_Compteur_8[[#This Row],[Index]]-E165,Tab_Compteur_8[[#This Row],[Quantité]])/Tab_Compteur_8[[#This Row],[Delta Jour]],""))</f>
        <v/>
      </c>
      <c r="H166" s="193" t="str">
        <f>IFERROR(Tab_Compteur_8[[#This Row],[Montant]]/Tab_Compteur_8[[#This Row],[Delta Jour]],"")</f>
        <v/>
      </c>
      <c r="I166" s="215" t="str">
        <f t="shared" si="6"/>
        <v/>
      </c>
      <c r="J166" s="216"/>
      <c r="K166" s="38"/>
      <c r="L166" s="38"/>
      <c r="M166" s="38"/>
    </row>
    <row r="167" spans="1:13">
      <c r="A167" s="3">
        <f t="shared" si="8"/>
        <v>1</v>
      </c>
      <c r="B167" s="88"/>
      <c r="C167" s="196"/>
      <c r="D167" s="195"/>
      <c r="F167" s="193">
        <f t="shared" si="7"/>
        <v>0</v>
      </c>
      <c r="G167" s="193" t="str">
        <f>IF(IFERROR(IF(Str_TypeDonneesCpt8=Cpt_Index,Tab_Compteur_8[[#This Row],[Index]]-E166,Tab_Compteur_8[[#This Row],[Quantité]])/Tab_Compteur_8[[#This Row],[Delta Jour]],"")&lt;0,"",IFERROR(IF(Str_TypeDonneesCpt8=Cpt_Index,Tab_Compteur_8[[#This Row],[Index]]-E166,Tab_Compteur_8[[#This Row],[Quantité]])/Tab_Compteur_8[[#This Row],[Delta Jour]],""))</f>
        <v/>
      </c>
      <c r="H167" s="193" t="str">
        <f>IFERROR(Tab_Compteur_8[[#This Row],[Montant]]/Tab_Compteur_8[[#This Row],[Delta Jour]],"")</f>
        <v/>
      </c>
      <c r="I167" s="215" t="str">
        <f t="shared" si="6"/>
        <v/>
      </c>
      <c r="J167" s="216"/>
      <c r="K167" s="38"/>
      <c r="L167" s="38"/>
      <c r="M167" s="38"/>
    </row>
    <row r="168" spans="1:13">
      <c r="A168" s="3">
        <f t="shared" si="8"/>
        <v>1</v>
      </c>
      <c r="B168" s="88"/>
      <c r="C168" s="196"/>
      <c r="D168" s="195"/>
      <c r="F168" s="193">
        <f t="shared" si="7"/>
        <v>0</v>
      </c>
      <c r="G168" s="193" t="str">
        <f>IF(IFERROR(IF(Str_TypeDonneesCpt8=Cpt_Index,Tab_Compteur_8[[#This Row],[Index]]-E167,Tab_Compteur_8[[#This Row],[Quantité]])/Tab_Compteur_8[[#This Row],[Delta Jour]],"")&lt;0,"",IFERROR(IF(Str_TypeDonneesCpt8=Cpt_Index,Tab_Compteur_8[[#This Row],[Index]]-E167,Tab_Compteur_8[[#This Row],[Quantité]])/Tab_Compteur_8[[#This Row],[Delta Jour]],""))</f>
        <v/>
      </c>
      <c r="H168" s="193" t="str">
        <f>IFERROR(Tab_Compteur_8[[#This Row],[Montant]]/Tab_Compteur_8[[#This Row],[Delta Jour]],"")</f>
        <v/>
      </c>
      <c r="I168" s="215" t="str">
        <f t="shared" si="6"/>
        <v/>
      </c>
      <c r="J168" s="216"/>
      <c r="K168" s="38"/>
      <c r="L168" s="38"/>
      <c r="M168" s="38"/>
    </row>
    <row r="169" spans="1:13">
      <c r="A169" s="3">
        <f t="shared" si="8"/>
        <v>1</v>
      </c>
      <c r="B169" s="88"/>
      <c r="C169" s="196"/>
      <c r="D169" s="195"/>
      <c r="F169" s="193">
        <f t="shared" si="7"/>
        <v>0</v>
      </c>
      <c r="G169" s="193" t="str">
        <f>IF(IFERROR(IF(Str_TypeDonneesCpt8=Cpt_Index,Tab_Compteur_8[[#This Row],[Index]]-E168,Tab_Compteur_8[[#This Row],[Quantité]])/Tab_Compteur_8[[#This Row],[Delta Jour]],"")&lt;0,"",IFERROR(IF(Str_TypeDonneesCpt8=Cpt_Index,Tab_Compteur_8[[#This Row],[Index]]-E168,Tab_Compteur_8[[#This Row],[Quantité]])/Tab_Compteur_8[[#This Row],[Delta Jour]],""))</f>
        <v/>
      </c>
      <c r="H169" s="193" t="str">
        <f>IFERROR(Tab_Compteur_8[[#This Row],[Montant]]/Tab_Compteur_8[[#This Row],[Delta Jour]],"")</f>
        <v/>
      </c>
      <c r="I169" s="215" t="str">
        <f t="shared" si="6"/>
        <v/>
      </c>
      <c r="J169" s="216"/>
      <c r="K169" s="38"/>
      <c r="L169" s="38"/>
      <c r="M169" s="38"/>
    </row>
    <row r="170" spans="1:13">
      <c r="A170" s="3">
        <f t="shared" si="8"/>
        <v>1</v>
      </c>
      <c r="B170" s="88"/>
      <c r="C170" s="196"/>
      <c r="D170" s="195"/>
      <c r="F170" s="193">
        <f t="shared" si="7"/>
        <v>0</v>
      </c>
      <c r="G170" s="193" t="str">
        <f>IF(IFERROR(IF(Str_TypeDonneesCpt8=Cpt_Index,Tab_Compteur_8[[#This Row],[Index]]-E169,Tab_Compteur_8[[#This Row],[Quantité]])/Tab_Compteur_8[[#This Row],[Delta Jour]],"")&lt;0,"",IFERROR(IF(Str_TypeDonneesCpt8=Cpt_Index,Tab_Compteur_8[[#This Row],[Index]]-E169,Tab_Compteur_8[[#This Row],[Quantité]])/Tab_Compteur_8[[#This Row],[Delta Jour]],""))</f>
        <v/>
      </c>
      <c r="H170" s="193" t="str">
        <f>IFERROR(Tab_Compteur_8[[#This Row],[Montant]]/Tab_Compteur_8[[#This Row],[Delta Jour]],"")</f>
        <v/>
      </c>
      <c r="I170" s="215" t="str">
        <f t="shared" si="6"/>
        <v/>
      </c>
      <c r="J170" s="216"/>
      <c r="K170" s="38"/>
      <c r="L170" s="38"/>
      <c r="M170" s="38"/>
    </row>
    <row r="171" spans="1:13">
      <c r="A171" s="3">
        <f t="shared" si="8"/>
        <v>1</v>
      </c>
      <c r="B171" s="88"/>
      <c r="C171" s="196"/>
      <c r="D171" s="195"/>
      <c r="F171" s="193">
        <f t="shared" si="7"/>
        <v>0</v>
      </c>
      <c r="G171" s="193" t="str">
        <f>IF(IFERROR(IF(Str_TypeDonneesCpt8=Cpt_Index,Tab_Compteur_8[[#This Row],[Index]]-E170,Tab_Compteur_8[[#This Row],[Quantité]])/Tab_Compteur_8[[#This Row],[Delta Jour]],"")&lt;0,"",IFERROR(IF(Str_TypeDonneesCpt8=Cpt_Index,Tab_Compteur_8[[#This Row],[Index]]-E170,Tab_Compteur_8[[#This Row],[Quantité]])/Tab_Compteur_8[[#This Row],[Delta Jour]],""))</f>
        <v/>
      </c>
      <c r="H171" s="193" t="str">
        <f>IFERROR(Tab_Compteur_8[[#This Row],[Montant]]/Tab_Compteur_8[[#This Row],[Delta Jour]],"")</f>
        <v/>
      </c>
      <c r="I171" s="215" t="str">
        <f t="shared" si="6"/>
        <v/>
      </c>
      <c r="J171" s="216"/>
      <c r="K171" s="38"/>
      <c r="L171" s="38"/>
      <c r="M171" s="38"/>
    </row>
    <row r="172" spans="1:13">
      <c r="A172" s="3">
        <f t="shared" si="8"/>
        <v>1</v>
      </c>
      <c r="B172" s="88"/>
      <c r="C172" s="196"/>
      <c r="D172" s="195"/>
      <c r="F172" s="193">
        <f t="shared" si="7"/>
        <v>0</v>
      </c>
      <c r="G172" s="193" t="str">
        <f>IF(IFERROR(IF(Str_TypeDonneesCpt8=Cpt_Index,Tab_Compteur_8[[#This Row],[Index]]-E171,Tab_Compteur_8[[#This Row],[Quantité]])/Tab_Compteur_8[[#This Row],[Delta Jour]],"")&lt;0,"",IFERROR(IF(Str_TypeDonneesCpt8=Cpt_Index,Tab_Compteur_8[[#This Row],[Index]]-E171,Tab_Compteur_8[[#This Row],[Quantité]])/Tab_Compteur_8[[#This Row],[Delta Jour]],""))</f>
        <v/>
      </c>
      <c r="H172" s="193" t="str">
        <f>IFERROR(Tab_Compteur_8[[#This Row],[Montant]]/Tab_Compteur_8[[#This Row],[Delta Jour]],"")</f>
        <v/>
      </c>
      <c r="I172" s="215" t="str">
        <f t="shared" si="6"/>
        <v/>
      </c>
      <c r="J172" s="216"/>
      <c r="K172" s="38"/>
      <c r="L172" s="38"/>
      <c r="M172" s="38"/>
    </row>
    <row r="173" spans="1:13">
      <c r="A173" s="3">
        <f t="shared" si="8"/>
        <v>1</v>
      </c>
      <c r="B173" s="88"/>
      <c r="C173" s="196"/>
      <c r="D173" s="195"/>
      <c r="F173" s="193">
        <f t="shared" si="7"/>
        <v>0</v>
      </c>
      <c r="G173" s="193" t="str">
        <f>IF(IFERROR(IF(Str_TypeDonneesCpt8=Cpt_Index,Tab_Compteur_8[[#This Row],[Index]]-E172,Tab_Compteur_8[[#This Row],[Quantité]])/Tab_Compteur_8[[#This Row],[Delta Jour]],"")&lt;0,"",IFERROR(IF(Str_TypeDonneesCpt8=Cpt_Index,Tab_Compteur_8[[#This Row],[Index]]-E172,Tab_Compteur_8[[#This Row],[Quantité]])/Tab_Compteur_8[[#This Row],[Delta Jour]],""))</f>
        <v/>
      </c>
      <c r="H173" s="193" t="str">
        <f>IFERROR(Tab_Compteur_8[[#This Row],[Montant]]/Tab_Compteur_8[[#This Row],[Delta Jour]],"")</f>
        <v/>
      </c>
      <c r="I173" s="215" t="str">
        <f t="shared" si="6"/>
        <v/>
      </c>
      <c r="J173" s="216"/>
      <c r="K173" s="38"/>
      <c r="L173" s="38"/>
      <c r="M173" s="38"/>
    </row>
    <row r="174" spans="1:13">
      <c r="A174" s="3">
        <f t="shared" si="8"/>
        <v>1</v>
      </c>
      <c r="B174" s="88"/>
      <c r="C174" s="196"/>
      <c r="D174" s="195"/>
      <c r="F174" s="193">
        <f t="shared" si="7"/>
        <v>0</v>
      </c>
      <c r="G174" s="193" t="str">
        <f>IF(IFERROR(IF(Str_TypeDonneesCpt8=Cpt_Index,Tab_Compteur_8[[#This Row],[Index]]-E173,Tab_Compteur_8[[#This Row],[Quantité]])/Tab_Compteur_8[[#This Row],[Delta Jour]],"")&lt;0,"",IFERROR(IF(Str_TypeDonneesCpt8=Cpt_Index,Tab_Compteur_8[[#This Row],[Index]]-E173,Tab_Compteur_8[[#This Row],[Quantité]])/Tab_Compteur_8[[#This Row],[Delta Jour]],""))</f>
        <v/>
      </c>
      <c r="H174" s="193" t="str">
        <f>IFERROR(Tab_Compteur_8[[#This Row],[Montant]]/Tab_Compteur_8[[#This Row],[Delta Jour]],"")</f>
        <v/>
      </c>
      <c r="I174" s="215" t="str">
        <f t="shared" si="6"/>
        <v/>
      </c>
      <c r="J174" s="216"/>
      <c r="K174" s="38"/>
      <c r="L174" s="38"/>
      <c r="M174" s="38"/>
    </row>
    <row r="175" spans="1:13">
      <c r="A175" s="3">
        <f t="shared" si="8"/>
        <v>1</v>
      </c>
      <c r="B175" s="88"/>
      <c r="C175" s="196"/>
      <c r="D175" s="195"/>
      <c r="F175" s="193">
        <f t="shared" si="7"/>
        <v>0</v>
      </c>
      <c r="G175" s="193" t="str">
        <f>IF(IFERROR(IF(Str_TypeDonneesCpt8=Cpt_Index,Tab_Compteur_8[[#This Row],[Index]]-E174,Tab_Compteur_8[[#This Row],[Quantité]])/Tab_Compteur_8[[#This Row],[Delta Jour]],"")&lt;0,"",IFERROR(IF(Str_TypeDonneesCpt8=Cpt_Index,Tab_Compteur_8[[#This Row],[Index]]-E174,Tab_Compteur_8[[#This Row],[Quantité]])/Tab_Compteur_8[[#This Row],[Delta Jour]],""))</f>
        <v/>
      </c>
      <c r="H175" s="193" t="str">
        <f>IFERROR(Tab_Compteur_8[[#This Row],[Montant]]/Tab_Compteur_8[[#This Row],[Delta Jour]],"")</f>
        <v/>
      </c>
      <c r="I175" s="215" t="str">
        <f t="shared" si="6"/>
        <v/>
      </c>
      <c r="J175" s="216"/>
      <c r="K175" s="38"/>
      <c r="L175" s="38"/>
      <c r="M175" s="38"/>
    </row>
    <row r="176" spans="1:13">
      <c r="A176" s="3">
        <f t="shared" si="8"/>
        <v>1</v>
      </c>
      <c r="B176" s="88"/>
      <c r="C176" s="196"/>
      <c r="D176" s="195"/>
      <c r="F176" s="193">
        <f t="shared" si="7"/>
        <v>0</v>
      </c>
      <c r="G176" s="193" t="str">
        <f>IF(IFERROR(IF(Str_TypeDonneesCpt8=Cpt_Index,Tab_Compteur_8[[#This Row],[Index]]-E175,Tab_Compteur_8[[#This Row],[Quantité]])/Tab_Compteur_8[[#This Row],[Delta Jour]],"")&lt;0,"",IFERROR(IF(Str_TypeDonneesCpt8=Cpt_Index,Tab_Compteur_8[[#This Row],[Index]]-E175,Tab_Compteur_8[[#This Row],[Quantité]])/Tab_Compteur_8[[#This Row],[Delta Jour]],""))</f>
        <v/>
      </c>
      <c r="H176" s="193" t="str">
        <f>IFERROR(Tab_Compteur_8[[#This Row],[Montant]]/Tab_Compteur_8[[#This Row],[Delta Jour]],"")</f>
        <v/>
      </c>
      <c r="I176" s="215" t="str">
        <f t="shared" si="6"/>
        <v/>
      </c>
      <c r="J176" s="216"/>
      <c r="K176" s="38"/>
      <c r="L176" s="38"/>
      <c r="M176" s="38"/>
    </row>
    <row r="177" spans="1:13">
      <c r="A177" s="3">
        <f t="shared" si="8"/>
        <v>1</v>
      </c>
      <c r="B177" s="88"/>
      <c r="C177" s="196"/>
      <c r="D177" s="195"/>
      <c r="F177" s="193">
        <f t="shared" si="7"/>
        <v>0</v>
      </c>
      <c r="G177" s="193" t="str">
        <f>IF(IFERROR(IF(Str_TypeDonneesCpt8=Cpt_Index,Tab_Compteur_8[[#This Row],[Index]]-E176,Tab_Compteur_8[[#This Row],[Quantité]])/Tab_Compteur_8[[#This Row],[Delta Jour]],"")&lt;0,"",IFERROR(IF(Str_TypeDonneesCpt8=Cpt_Index,Tab_Compteur_8[[#This Row],[Index]]-E176,Tab_Compteur_8[[#This Row],[Quantité]])/Tab_Compteur_8[[#This Row],[Delta Jour]],""))</f>
        <v/>
      </c>
      <c r="H177" s="193" t="str">
        <f>IFERROR(Tab_Compteur_8[[#This Row],[Montant]]/Tab_Compteur_8[[#This Row],[Delta Jour]],"")</f>
        <v/>
      </c>
      <c r="I177" s="215" t="str">
        <f t="shared" si="6"/>
        <v/>
      </c>
      <c r="J177" s="216"/>
      <c r="K177" s="38"/>
      <c r="L177" s="38"/>
      <c r="M177" s="38"/>
    </row>
    <row r="178" spans="1:13">
      <c r="A178" s="3">
        <f t="shared" si="8"/>
        <v>1</v>
      </c>
      <c r="B178" s="88"/>
      <c r="C178" s="196"/>
      <c r="D178" s="195"/>
      <c r="F178" s="193">
        <f t="shared" si="7"/>
        <v>0</v>
      </c>
      <c r="G178" s="193" t="str">
        <f>IF(IFERROR(IF(Str_TypeDonneesCpt8=Cpt_Index,Tab_Compteur_8[[#This Row],[Index]]-E177,Tab_Compteur_8[[#This Row],[Quantité]])/Tab_Compteur_8[[#This Row],[Delta Jour]],"")&lt;0,"",IFERROR(IF(Str_TypeDonneesCpt8=Cpt_Index,Tab_Compteur_8[[#This Row],[Index]]-E177,Tab_Compteur_8[[#This Row],[Quantité]])/Tab_Compteur_8[[#This Row],[Delta Jour]],""))</f>
        <v/>
      </c>
      <c r="H178" s="193" t="str">
        <f>IFERROR(Tab_Compteur_8[[#This Row],[Montant]]/Tab_Compteur_8[[#This Row],[Delta Jour]],"")</f>
        <v/>
      </c>
      <c r="I178" s="215" t="str">
        <f t="shared" si="6"/>
        <v/>
      </c>
      <c r="J178" s="216"/>
      <c r="K178" s="38"/>
      <c r="L178" s="38"/>
      <c r="M178" s="38"/>
    </row>
    <row r="179" spans="1:13">
      <c r="A179" s="3">
        <f t="shared" si="8"/>
        <v>1</v>
      </c>
      <c r="B179" s="88"/>
      <c r="C179" s="196"/>
      <c r="D179" s="195"/>
      <c r="F179" s="193">
        <f t="shared" si="7"/>
        <v>0</v>
      </c>
      <c r="G179" s="193" t="str">
        <f>IF(IFERROR(IF(Str_TypeDonneesCpt8=Cpt_Index,Tab_Compteur_8[[#This Row],[Index]]-E178,Tab_Compteur_8[[#This Row],[Quantité]])/Tab_Compteur_8[[#This Row],[Delta Jour]],"")&lt;0,"",IFERROR(IF(Str_TypeDonneesCpt8=Cpt_Index,Tab_Compteur_8[[#This Row],[Index]]-E178,Tab_Compteur_8[[#This Row],[Quantité]])/Tab_Compteur_8[[#This Row],[Delta Jour]],""))</f>
        <v/>
      </c>
      <c r="H179" s="193" t="str">
        <f>IFERROR(Tab_Compteur_8[[#This Row],[Montant]]/Tab_Compteur_8[[#This Row],[Delta Jour]],"")</f>
        <v/>
      </c>
      <c r="I179" s="215" t="str">
        <f t="shared" si="6"/>
        <v/>
      </c>
      <c r="J179" s="216"/>
      <c r="K179" s="38"/>
      <c r="L179" s="38"/>
      <c r="M179" s="38"/>
    </row>
    <row r="180" spans="1:13">
      <c r="A180" s="3">
        <f t="shared" si="8"/>
        <v>1</v>
      </c>
      <c r="B180" s="88"/>
      <c r="C180" s="196"/>
      <c r="D180" s="195"/>
      <c r="F180" s="193">
        <f t="shared" si="7"/>
        <v>0</v>
      </c>
      <c r="G180" s="193" t="str">
        <f>IF(IFERROR(IF(Str_TypeDonneesCpt8=Cpt_Index,Tab_Compteur_8[[#This Row],[Index]]-E179,Tab_Compteur_8[[#This Row],[Quantité]])/Tab_Compteur_8[[#This Row],[Delta Jour]],"")&lt;0,"",IFERROR(IF(Str_TypeDonneesCpt8=Cpt_Index,Tab_Compteur_8[[#This Row],[Index]]-E179,Tab_Compteur_8[[#This Row],[Quantité]])/Tab_Compteur_8[[#This Row],[Delta Jour]],""))</f>
        <v/>
      </c>
      <c r="H180" s="193" t="str">
        <f>IFERROR(Tab_Compteur_8[[#This Row],[Montant]]/Tab_Compteur_8[[#This Row],[Delta Jour]],"")</f>
        <v/>
      </c>
      <c r="I180" s="215" t="str">
        <f t="shared" si="6"/>
        <v/>
      </c>
      <c r="J180" s="216"/>
      <c r="K180" s="38"/>
      <c r="L180" s="38"/>
      <c r="M180" s="38"/>
    </row>
    <row r="181" spans="1:13">
      <c r="A181" s="3">
        <f t="shared" si="8"/>
        <v>1</v>
      </c>
      <c r="B181" s="88"/>
      <c r="C181" s="196"/>
      <c r="D181" s="195"/>
      <c r="F181" s="193">
        <f t="shared" si="7"/>
        <v>0</v>
      </c>
      <c r="G181" s="193" t="str">
        <f>IF(IFERROR(IF(Str_TypeDonneesCpt8=Cpt_Index,Tab_Compteur_8[[#This Row],[Index]]-E180,Tab_Compteur_8[[#This Row],[Quantité]])/Tab_Compteur_8[[#This Row],[Delta Jour]],"")&lt;0,"",IFERROR(IF(Str_TypeDonneesCpt8=Cpt_Index,Tab_Compteur_8[[#This Row],[Index]]-E180,Tab_Compteur_8[[#This Row],[Quantité]])/Tab_Compteur_8[[#This Row],[Delta Jour]],""))</f>
        <v/>
      </c>
      <c r="H181" s="193" t="str">
        <f>IFERROR(Tab_Compteur_8[[#This Row],[Montant]]/Tab_Compteur_8[[#This Row],[Delta Jour]],"")</f>
        <v/>
      </c>
      <c r="I181" s="215" t="str">
        <f t="shared" si="6"/>
        <v/>
      </c>
      <c r="J181" s="216"/>
      <c r="K181" s="38"/>
      <c r="L181" s="38"/>
      <c r="M181" s="38"/>
    </row>
    <row r="182" spans="1:13">
      <c r="A182" s="3">
        <f t="shared" si="8"/>
        <v>1</v>
      </c>
      <c r="B182" s="88"/>
      <c r="C182" s="196"/>
      <c r="D182" s="195"/>
      <c r="F182" s="193">
        <f t="shared" si="7"/>
        <v>0</v>
      </c>
      <c r="G182" s="193" t="str">
        <f>IF(IFERROR(IF(Str_TypeDonneesCpt8=Cpt_Index,Tab_Compteur_8[[#This Row],[Index]]-E181,Tab_Compteur_8[[#This Row],[Quantité]])/Tab_Compteur_8[[#This Row],[Delta Jour]],"")&lt;0,"",IFERROR(IF(Str_TypeDonneesCpt8=Cpt_Index,Tab_Compteur_8[[#This Row],[Index]]-E181,Tab_Compteur_8[[#This Row],[Quantité]])/Tab_Compteur_8[[#This Row],[Delta Jour]],""))</f>
        <v/>
      </c>
      <c r="H182" s="193" t="str">
        <f>IFERROR(Tab_Compteur_8[[#This Row],[Montant]]/Tab_Compteur_8[[#This Row],[Delta Jour]],"")</f>
        <v/>
      </c>
      <c r="I182" s="215" t="str">
        <f t="shared" si="6"/>
        <v/>
      </c>
      <c r="J182" s="216"/>
      <c r="K182" s="38"/>
      <c r="L182" s="38"/>
      <c r="M182" s="38"/>
    </row>
    <row r="183" spans="1:13">
      <c r="A183" s="3">
        <f t="shared" si="8"/>
        <v>1</v>
      </c>
      <c r="B183" s="88"/>
      <c r="C183" s="196"/>
      <c r="D183" s="195"/>
      <c r="F183" s="193">
        <f t="shared" si="7"/>
        <v>0</v>
      </c>
      <c r="G183" s="193" t="str">
        <f>IF(IFERROR(IF(Str_TypeDonneesCpt8=Cpt_Index,Tab_Compteur_8[[#This Row],[Index]]-E182,Tab_Compteur_8[[#This Row],[Quantité]])/Tab_Compteur_8[[#This Row],[Delta Jour]],"")&lt;0,"",IFERROR(IF(Str_TypeDonneesCpt8=Cpt_Index,Tab_Compteur_8[[#This Row],[Index]]-E182,Tab_Compteur_8[[#This Row],[Quantité]])/Tab_Compteur_8[[#This Row],[Delta Jour]],""))</f>
        <v/>
      </c>
      <c r="H183" s="193" t="str">
        <f>IFERROR(Tab_Compteur_8[[#This Row],[Montant]]/Tab_Compteur_8[[#This Row],[Delta Jour]],"")</f>
        <v/>
      </c>
      <c r="I183" s="215" t="str">
        <f t="shared" si="6"/>
        <v/>
      </c>
      <c r="J183" s="216"/>
      <c r="K183" s="38"/>
      <c r="L183" s="38"/>
      <c r="M183" s="38"/>
    </row>
    <row r="184" spans="1:13">
      <c r="A184" s="3">
        <f t="shared" si="8"/>
        <v>1</v>
      </c>
      <c r="B184" s="88"/>
      <c r="C184" s="196"/>
      <c r="D184" s="195"/>
      <c r="F184" s="193">
        <f t="shared" si="7"/>
        <v>0</v>
      </c>
      <c r="G184" s="193" t="str">
        <f>IF(IFERROR(IF(Str_TypeDonneesCpt8=Cpt_Index,Tab_Compteur_8[[#This Row],[Index]]-E183,Tab_Compteur_8[[#This Row],[Quantité]])/Tab_Compteur_8[[#This Row],[Delta Jour]],"")&lt;0,"",IFERROR(IF(Str_TypeDonneesCpt8=Cpt_Index,Tab_Compteur_8[[#This Row],[Index]]-E183,Tab_Compteur_8[[#This Row],[Quantité]])/Tab_Compteur_8[[#This Row],[Delta Jour]],""))</f>
        <v/>
      </c>
      <c r="H184" s="193" t="str">
        <f>IFERROR(Tab_Compteur_8[[#This Row],[Montant]]/Tab_Compteur_8[[#This Row],[Delta Jour]],"")</f>
        <v/>
      </c>
      <c r="I184" s="215" t="str">
        <f t="shared" si="6"/>
        <v/>
      </c>
      <c r="J184" s="216"/>
      <c r="K184" s="38"/>
      <c r="L184" s="38"/>
      <c r="M184" s="38"/>
    </row>
    <row r="185" spans="1:13">
      <c r="A185" s="3">
        <f t="shared" si="8"/>
        <v>1</v>
      </c>
      <c r="B185" s="88"/>
      <c r="C185" s="196"/>
      <c r="D185" s="195"/>
      <c r="F185" s="193">
        <f t="shared" si="7"/>
        <v>0</v>
      </c>
      <c r="G185" s="193" t="str">
        <f>IF(IFERROR(IF(Str_TypeDonneesCpt8=Cpt_Index,Tab_Compteur_8[[#This Row],[Index]]-E184,Tab_Compteur_8[[#This Row],[Quantité]])/Tab_Compteur_8[[#This Row],[Delta Jour]],"")&lt;0,"",IFERROR(IF(Str_TypeDonneesCpt8=Cpt_Index,Tab_Compteur_8[[#This Row],[Index]]-E184,Tab_Compteur_8[[#This Row],[Quantité]])/Tab_Compteur_8[[#This Row],[Delta Jour]],""))</f>
        <v/>
      </c>
      <c r="H185" s="193" t="str">
        <f>IFERROR(Tab_Compteur_8[[#This Row],[Montant]]/Tab_Compteur_8[[#This Row],[Delta Jour]],"")</f>
        <v/>
      </c>
      <c r="I185" s="215" t="str">
        <f t="shared" si="6"/>
        <v/>
      </c>
      <c r="J185" s="216"/>
      <c r="K185" s="38"/>
      <c r="L185" s="38"/>
      <c r="M185" s="38"/>
    </row>
    <row r="186" spans="1:13">
      <c r="A186" s="3">
        <f t="shared" si="8"/>
        <v>1</v>
      </c>
      <c r="B186" s="88"/>
      <c r="C186" s="196"/>
      <c r="D186" s="195"/>
      <c r="F186" s="193">
        <f t="shared" si="7"/>
        <v>0</v>
      </c>
      <c r="G186" s="193" t="str">
        <f>IF(IFERROR(IF(Str_TypeDonneesCpt8=Cpt_Index,Tab_Compteur_8[[#This Row],[Index]]-E185,Tab_Compteur_8[[#This Row],[Quantité]])/Tab_Compteur_8[[#This Row],[Delta Jour]],"")&lt;0,"",IFERROR(IF(Str_TypeDonneesCpt8=Cpt_Index,Tab_Compteur_8[[#This Row],[Index]]-E185,Tab_Compteur_8[[#This Row],[Quantité]])/Tab_Compteur_8[[#This Row],[Delta Jour]],""))</f>
        <v/>
      </c>
      <c r="H186" s="193" t="str">
        <f>IFERROR(Tab_Compteur_8[[#This Row],[Montant]]/Tab_Compteur_8[[#This Row],[Delta Jour]],"")</f>
        <v/>
      </c>
      <c r="I186" s="215" t="str">
        <f t="shared" si="6"/>
        <v/>
      </c>
      <c r="J186" s="216"/>
      <c r="K186" s="38"/>
      <c r="L186" s="38"/>
      <c r="M186" s="38"/>
    </row>
    <row r="187" spans="1:13">
      <c r="A187" s="3">
        <f t="shared" si="8"/>
        <v>1</v>
      </c>
      <c r="B187" s="88"/>
      <c r="C187" s="196"/>
      <c r="D187" s="195"/>
      <c r="F187" s="193">
        <f t="shared" si="7"/>
        <v>0</v>
      </c>
      <c r="G187" s="193" t="str">
        <f>IF(IFERROR(IF(Str_TypeDonneesCpt8=Cpt_Index,Tab_Compteur_8[[#This Row],[Index]]-E186,Tab_Compteur_8[[#This Row],[Quantité]])/Tab_Compteur_8[[#This Row],[Delta Jour]],"")&lt;0,"",IFERROR(IF(Str_TypeDonneesCpt8=Cpt_Index,Tab_Compteur_8[[#This Row],[Index]]-E186,Tab_Compteur_8[[#This Row],[Quantité]])/Tab_Compteur_8[[#This Row],[Delta Jour]],""))</f>
        <v/>
      </c>
      <c r="H187" s="193" t="str">
        <f>IFERROR(Tab_Compteur_8[[#This Row],[Montant]]/Tab_Compteur_8[[#This Row],[Delta Jour]],"")</f>
        <v/>
      </c>
      <c r="I187" s="215" t="str">
        <f t="shared" si="6"/>
        <v/>
      </c>
      <c r="J187" s="216"/>
      <c r="K187" s="38"/>
      <c r="L187" s="38"/>
      <c r="M187" s="38"/>
    </row>
    <row r="188" spans="1:13">
      <c r="A188" s="3">
        <f t="shared" si="8"/>
        <v>1</v>
      </c>
      <c r="B188" s="88"/>
      <c r="C188" s="196"/>
      <c r="D188" s="195"/>
      <c r="F188" s="193">
        <f t="shared" si="7"/>
        <v>0</v>
      </c>
      <c r="G188" s="193" t="str">
        <f>IF(IFERROR(IF(Str_TypeDonneesCpt8=Cpt_Index,Tab_Compteur_8[[#This Row],[Index]]-E187,Tab_Compteur_8[[#This Row],[Quantité]])/Tab_Compteur_8[[#This Row],[Delta Jour]],"")&lt;0,"",IFERROR(IF(Str_TypeDonneesCpt8=Cpt_Index,Tab_Compteur_8[[#This Row],[Index]]-E187,Tab_Compteur_8[[#This Row],[Quantité]])/Tab_Compteur_8[[#This Row],[Delta Jour]],""))</f>
        <v/>
      </c>
      <c r="H188" s="193" t="str">
        <f>IFERROR(Tab_Compteur_8[[#This Row],[Montant]]/Tab_Compteur_8[[#This Row],[Delta Jour]],"")</f>
        <v/>
      </c>
      <c r="I188" s="215" t="str">
        <f t="shared" si="6"/>
        <v/>
      </c>
      <c r="J188" s="216"/>
      <c r="K188" s="38"/>
      <c r="L188" s="38"/>
      <c r="M188" s="38"/>
    </row>
    <row r="189" spans="1:13">
      <c r="A189" s="3">
        <f t="shared" si="8"/>
        <v>1</v>
      </c>
      <c r="B189" s="88"/>
      <c r="C189" s="196"/>
      <c r="D189" s="195"/>
      <c r="F189" s="193">
        <f t="shared" si="7"/>
        <v>0</v>
      </c>
      <c r="G189" s="193" t="str">
        <f>IF(IFERROR(IF(Str_TypeDonneesCpt8=Cpt_Index,Tab_Compteur_8[[#This Row],[Index]]-E188,Tab_Compteur_8[[#This Row],[Quantité]])/Tab_Compteur_8[[#This Row],[Delta Jour]],"")&lt;0,"",IFERROR(IF(Str_TypeDonneesCpt8=Cpt_Index,Tab_Compteur_8[[#This Row],[Index]]-E188,Tab_Compteur_8[[#This Row],[Quantité]])/Tab_Compteur_8[[#This Row],[Delta Jour]],""))</f>
        <v/>
      </c>
      <c r="H189" s="193" t="str">
        <f>IFERROR(Tab_Compteur_8[[#This Row],[Montant]]/Tab_Compteur_8[[#This Row],[Delta Jour]],"")</f>
        <v/>
      </c>
      <c r="I189" s="215" t="str">
        <f t="shared" si="6"/>
        <v/>
      </c>
      <c r="J189" s="216"/>
      <c r="K189" s="38"/>
      <c r="L189" s="38"/>
      <c r="M189" s="38"/>
    </row>
    <row r="190" spans="1:13">
      <c r="A190" s="3">
        <f t="shared" si="8"/>
        <v>1</v>
      </c>
      <c r="B190" s="88"/>
      <c r="C190" s="196"/>
      <c r="D190" s="195"/>
      <c r="F190" s="193">
        <f t="shared" si="7"/>
        <v>0</v>
      </c>
      <c r="G190" s="193" t="str">
        <f>IF(IFERROR(IF(Str_TypeDonneesCpt8=Cpt_Index,Tab_Compteur_8[[#This Row],[Index]]-E189,Tab_Compteur_8[[#This Row],[Quantité]])/Tab_Compteur_8[[#This Row],[Delta Jour]],"")&lt;0,"",IFERROR(IF(Str_TypeDonneesCpt8=Cpt_Index,Tab_Compteur_8[[#This Row],[Index]]-E189,Tab_Compteur_8[[#This Row],[Quantité]])/Tab_Compteur_8[[#This Row],[Delta Jour]],""))</f>
        <v/>
      </c>
      <c r="H190" s="193" t="str">
        <f>IFERROR(Tab_Compteur_8[[#This Row],[Montant]]/Tab_Compteur_8[[#This Row],[Delta Jour]],"")</f>
        <v/>
      </c>
      <c r="I190" s="215" t="str">
        <f t="shared" si="6"/>
        <v/>
      </c>
      <c r="J190" s="216"/>
      <c r="K190" s="38"/>
      <c r="L190" s="38"/>
      <c r="M190" s="38"/>
    </row>
    <row r="191" spans="1:13">
      <c r="A191" s="3">
        <f t="shared" si="8"/>
        <v>1</v>
      </c>
      <c r="B191" s="88"/>
      <c r="C191" s="196"/>
      <c r="D191" s="195"/>
      <c r="F191" s="193">
        <f t="shared" si="7"/>
        <v>0</v>
      </c>
      <c r="G191" s="193" t="str">
        <f>IF(IFERROR(IF(Str_TypeDonneesCpt8=Cpt_Index,Tab_Compteur_8[[#This Row],[Index]]-E190,Tab_Compteur_8[[#This Row],[Quantité]])/Tab_Compteur_8[[#This Row],[Delta Jour]],"")&lt;0,"",IFERROR(IF(Str_TypeDonneesCpt8=Cpt_Index,Tab_Compteur_8[[#This Row],[Index]]-E190,Tab_Compteur_8[[#This Row],[Quantité]])/Tab_Compteur_8[[#This Row],[Delta Jour]],""))</f>
        <v/>
      </c>
      <c r="H191" s="193" t="str">
        <f>IFERROR(Tab_Compteur_8[[#This Row],[Montant]]/Tab_Compteur_8[[#This Row],[Delta Jour]],"")</f>
        <v/>
      </c>
      <c r="I191" s="215" t="str">
        <f t="shared" si="6"/>
        <v/>
      </c>
      <c r="J191" s="216"/>
      <c r="K191" s="38"/>
      <c r="L191" s="38"/>
      <c r="M191" s="38"/>
    </row>
    <row r="192" spans="1:13">
      <c r="A192" s="3">
        <f t="shared" si="8"/>
        <v>1</v>
      </c>
      <c r="B192" s="88"/>
      <c r="C192" s="196"/>
      <c r="D192" s="195"/>
      <c r="F192" s="193">
        <f t="shared" si="7"/>
        <v>0</v>
      </c>
      <c r="G192" s="193" t="str">
        <f>IF(IFERROR(IF(Str_TypeDonneesCpt8=Cpt_Index,Tab_Compteur_8[[#This Row],[Index]]-E191,Tab_Compteur_8[[#This Row],[Quantité]])/Tab_Compteur_8[[#This Row],[Delta Jour]],"")&lt;0,"",IFERROR(IF(Str_TypeDonneesCpt8=Cpt_Index,Tab_Compteur_8[[#This Row],[Index]]-E191,Tab_Compteur_8[[#This Row],[Quantité]])/Tab_Compteur_8[[#This Row],[Delta Jour]],""))</f>
        <v/>
      </c>
      <c r="H192" s="193" t="str">
        <f>IFERROR(Tab_Compteur_8[[#This Row],[Montant]]/Tab_Compteur_8[[#This Row],[Delta Jour]],"")</f>
        <v/>
      </c>
      <c r="I192" s="215" t="str">
        <f t="shared" si="6"/>
        <v/>
      </c>
      <c r="J192" s="216"/>
      <c r="K192" s="38"/>
      <c r="L192" s="38"/>
      <c r="M192" s="38"/>
    </row>
    <row r="193" spans="1:13">
      <c r="A193" s="3">
        <f t="shared" si="8"/>
        <v>1</v>
      </c>
      <c r="B193" s="88"/>
      <c r="C193" s="196"/>
      <c r="D193" s="195"/>
      <c r="F193" s="193">
        <f t="shared" si="7"/>
        <v>0</v>
      </c>
      <c r="G193" s="193" t="str">
        <f>IF(IFERROR(IF(Str_TypeDonneesCpt8=Cpt_Index,Tab_Compteur_8[[#This Row],[Index]]-E192,Tab_Compteur_8[[#This Row],[Quantité]])/Tab_Compteur_8[[#This Row],[Delta Jour]],"")&lt;0,"",IFERROR(IF(Str_TypeDonneesCpt8=Cpt_Index,Tab_Compteur_8[[#This Row],[Index]]-E192,Tab_Compteur_8[[#This Row],[Quantité]])/Tab_Compteur_8[[#This Row],[Delta Jour]],""))</f>
        <v/>
      </c>
      <c r="H193" s="193" t="str">
        <f>IFERROR(Tab_Compteur_8[[#This Row],[Montant]]/Tab_Compteur_8[[#This Row],[Delta Jour]],"")</f>
        <v/>
      </c>
      <c r="I193" s="215" t="str">
        <f t="shared" si="6"/>
        <v/>
      </c>
      <c r="J193" s="216"/>
      <c r="K193" s="38"/>
      <c r="L193" s="38"/>
      <c r="M193" s="38"/>
    </row>
    <row r="194" spans="1:13">
      <c r="A194" s="3">
        <f t="shared" si="8"/>
        <v>1</v>
      </c>
      <c r="B194" s="88"/>
      <c r="C194" s="196"/>
      <c r="D194" s="195"/>
      <c r="F194" s="193">
        <f t="shared" si="7"/>
        <v>0</v>
      </c>
      <c r="G194" s="193" t="str">
        <f>IF(IFERROR(IF(Str_TypeDonneesCpt8=Cpt_Index,Tab_Compteur_8[[#This Row],[Index]]-E193,Tab_Compteur_8[[#This Row],[Quantité]])/Tab_Compteur_8[[#This Row],[Delta Jour]],"")&lt;0,"",IFERROR(IF(Str_TypeDonneesCpt8=Cpt_Index,Tab_Compteur_8[[#This Row],[Index]]-E193,Tab_Compteur_8[[#This Row],[Quantité]])/Tab_Compteur_8[[#This Row],[Delta Jour]],""))</f>
        <v/>
      </c>
      <c r="H194" s="193" t="str">
        <f>IFERROR(Tab_Compteur_8[[#This Row],[Montant]]/Tab_Compteur_8[[#This Row],[Delta Jour]],"")</f>
        <v/>
      </c>
      <c r="I194" s="215" t="str">
        <f t="shared" si="6"/>
        <v/>
      </c>
      <c r="J194" s="216"/>
      <c r="K194" s="38"/>
      <c r="L194" s="38"/>
      <c r="M194" s="38"/>
    </row>
    <row r="195" spans="1:13">
      <c r="A195" s="3">
        <f t="shared" si="8"/>
        <v>1</v>
      </c>
      <c r="B195" s="88"/>
      <c r="C195" s="196"/>
      <c r="D195" s="195"/>
      <c r="F195" s="193">
        <f t="shared" si="7"/>
        <v>0</v>
      </c>
      <c r="G195" s="193" t="str">
        <f>IF(IFERROR(IF(Str_TypeDonneesCpt8=Cpt_Index,Tab_Compteur_8[[#This Row],[Index]]-E194,Tab_Compteur_8[[#This Row],[Quantité]])/Tab_Compteur_8[[#This Row],[Delta Jour]],"")&lt;0,"",IFERROR(IF(Str_TypeDonneesCpt8=Cpt_Index,Tab_Compteur_8[[#This Row],[Index]]-E194,Tab_Compteur_8[[#This Row],[Quantité]])/Tab_Compteur_8[[#This Row],[Delta Jour]],""))</f>
        <v/>
      </c>
      <c r="H195" s="193" t="str">
        <f>IFERROR(Tab_Compteur_8[[#This Row],[Montant]]/Tab_Compteur_8[[#This Row],[Delta Jour]],"")</f>
        <v/>
      </c>
      <c r="I195" s="215" t="str">
        <f t="shared" ref="I195:I243" si="9">G195</f>
        <v/>
      </c>
      <c r="J195" s="216"/>
      <c r="K195" s="38"/>
      <c r="L195" s="38"/>
      <c r="M195" s="38"/>
    </row>
    <row r="196" spans="1:13">
      <c r="A196" s="3">
        <f t="shared" si="8"/>
        <v>1</v>
      </c>
      <c r="B196" s="88"/>
      <c r="C196" s="196"/>
      <c r="D196" s="195"/>
      <c r="F196" s="193">
        <f t="shared" si="7"/>
        <v>0</v>
      </c>
      <c r="G196" s="193" t="str">
        <f>IF(IFERROR(IF(Str_TypeDonneesCpt8=Cpt_Index,Tab_Compteur_8[[#This Row],[Index]]-E195,Tab_Compteur_8[[#This Row],[Quantité]])/Tab_Compteur_8[[#This Row],[Delta Jour]],"")&lt;0,"",IFERROR(IF(Str_TypeDonneesCpt8=Cpt_Index,Tab_Compteur_8[[#This Row],[Index]]-E195,Tab_Compteur_8[[#This Row],[Quantité]])/Tab_Compteur_8[[#This Row],[Delta Jour]],""))</f>
        <v/>
      </c>
      <c r="H196" s="193" t="str">
        <f>IFERROR(Tab_Compteur_8[[#This Row],[Montant]]/Tab_Compteur_8[[#This Row],[Delta Jour]],"")</f>
        <v/>
      </c>
      <c r="I196" s="215" t="str">
        <f t="shared" si="9"/>
        <v/>
      </c>
      <c r="J196" s="216"/>
      <c r="K196" s="38"/>
      <c r="L196" s="38"/>
      <c r="M196" s="38"/>
    </row>
    <row r="197" spans="1:13">
      <c r="A197" s="3">
        <f t="shared" si="8"/>
        <v>1</v>
      </c>
      <c r="B197" s="88"/>
      <c r="C197" s="196"/>
      <c r="D197" s="195"/>
      <c r="F197" s="193">
        <f t="shared" ref="F197:F243" si="10">IFERROR(B197-A197+1,"")</f>
        <v>0</v>
      </c>
      <c r="G197" s="193" t="str">
        <f>IF(IFERROR(IF(Str_TypeDonneesCpt8=Cpt_Index,Tab_Compteur_8[[#This Row],[Index]]-E196,Tab_Compteur_8[[#This Row],[Quantité]])/Tab_Compteur_8[[#This Row],[Delta Jour]],"")&lt;0,"",IFERROR(IF(Str_TypeDonneesCpt8=Cpt_Index,Tab_Compteur_8[[#This Row],[Index]]-E196,Tab_Compteur_8[[#This Row],[Quantité]])/Tab_Compteur_8[[#This Row],[Delta Jour]],""))</f>
        <v/>
      </c>
      <c r="H197" s="193" t="str">
        <f>IFERROR(Tab_Compteur_8[[#This Row],[Montant]]/Tab_Compteur_8[[#This Row],[Delta Jour]],"")</f>
        <v/>
      </c>
      <c r="I197" s="215" t="str">
        <f t="shared" si="9"/>
        <v/>
      </c>
      <c r="J197" s="216"/>
      <c r="K197" s="38"/>
      <c r="L197" s="38"/>
      <c r="M197" s="38"/>
    </row>
    <row r="198" spans="1:13">
      <c r="A198" s="3">
        <f t="shared" ref="A198:A243" si="11">IFERROR(B197+1,0)</f>
        <v>1</v>
      </c>
      <c r="B198" s="88"/>
      <c r="C198" s="196"/>
      <c r="D198" s="195"/>
      <c r="F198" s="193">
        <f t="shared" si="10"/>
        <v>0</v>
      </c>
      <c r="G198" s="193" t="str">
        <f>IF(IFERROR(IF(Str_TypeDonneesCpt8=Cpt_Index,Tab_Compteur_8[[#This Row],[Index]]-E197,Tab_Compteur_8[[#This Row],[Quantité]])/Tab_Compteur_8[[#This Row],[Delta Jour]],"")&lt;0,"",IFERROR(IF(Str_TypeDonneesCpt8=Cpt_Index,Tab_Compteur_8[[#This Row],[Index]]-E197,Tab_Compteur_8[[#This Row],[Quantité]])/Tab_Compteur_8[[#This Row],[Delta Jour]],""))</f>
        <v/>
      </c>
      <c r="H198" s="193" t="str">
        <f>IFERROR(Tab_Compteur_8[[#This Row],[Montant]]/Tab_Compteur_8[[#This Row],[Delta Jour]],"")</f>
        <v/>
      </c>
      <c r="I198" s="215" t="str">
        <f t="shared" si="9"/>
        <v/>
      </c>
      <c r="J198" s="216"/>
      <c r="K198" s="38"/>
      <c r="L198" s="38"/>
      <c r="M198" s="38"/>
    </row>
    <row r="199" spans="1:13">
      <c r="A199" s="3">
        <f t="shared" si="11"/>
        <v>1</v>
      </c>
      <c r="B199" s="88"/>
      <c r="C199" s="196"/>
      <c r="D199" s="195"/>
      <c r="F199" s="193">
        <f t="shared" si="10"/>
        <v>0</v>
      </c>
      <c r="G199" s="193" t="str">
        <f>IF(IFERROR(IF(Str_TypeDonneesCpt8=Cpt_Index,Tab_Compteur_8[[#This Row],[Index]]-E198,Tab_Compteur_8[[#This Row],[Quantité]])/Tab_Compteur_8[[#This Row],[Delta Jour]],"")&lt;0,"",IFERROR(IF(Str_TypeDonneesCpt8=Cpt_Index,Tab_Compteur_8[[#This Row],[Index]]-E198,Tab_Compteur_8[[#This Row],[Quantité]])/Tab_Compteur_8[[#This Row],[Delta Jour]],""))</f>
        <v/>
      </c>
      <c r="H199" s="193" t="str">
        <f>IFERROR(Tab_Compteur_8[[#This Row],[Montant]]/Tab_Compteur_8[[#This Row],[Delta Jour]],"")</f>
        <v/>
      </c>
      <c r="I199" s="215" t="str">
        <f t="shared" si="9"/>
        <v/>
      </c>
      <c r="J199" s="216"/>
      <c r="K199" s="38"/>
      <c r="L199" s="38"/>
      <c r="M199" s="38"/>
    </row>
    <row r="200" spans="1:13">
      <c r="A200" s="3">
        <f t="shared" si="11"/>
        <v>1</v>
      </c>
      <c r="B200" s="88"/>
      <c r="C200" s="196"/>
      <c r="D200" s="195"/>
      <c r="F200" s="193">
        <f t="shared" si="10"/>
        <v>0</v>
      </c>
      <c r="G200" s="193" t="str">
        <f>IF(IFERROR(IF(Str_TypeDonneesCpt8=Cpt_Index,Tab_Compteur_8[[#This Row],[Index]]-E199,Tab_Compteur_8[[#This Row],[Quantité]])/Tab_Compteur_8[[#This Row],[Delta Jour]],"")&lt;0,"",IFERROR(IF(Str_TypeDonneesCpt8=Cpt_Index,Tab_Compteur_8[[#This Row],[Index]]-E199,Tab_Compteur_8[[#This Row],[Quantité]])/Tab_Compteur_8[[#This Row],[Delta Jour]],""))</f>
        <v/>
      </c>
      <c r="H200" s="193" t="str">
        <f>IFERROR(Tab_Compteur_8[[#This Row],[Montant]]/Tab_Compteur_8[[#This Row],[Delta Jour]],"")</f>
        <v/>
      </c>
      <c r="I200" s="215" t="str">
        <f t="shared" si="9"/>
        <v/>
      </c>
      <c r="J200" s="216"/>
      <c r="K200" s="38"/>
      <c r="L200" s="38"/>
      <c r="M200" s="38"/>
    </row>
    <row r="201" spans="1:13">
      <c r="A201" s="3">
        <f t="shared" si="11"/>
        <v>1</v>
      </c>
      <c r="B201" s="88"/>
      <c r="C201" s="196"/>
      <c r="D201" s="195"/>
      <c r="F201" s="193">
        <f t="shared" si="10"/>
        <v>0</v>
      </c>
      <c r="G201" s="193" t="str">
        <f>IF(IFERROR(IF(Str_TypeDonneesCpt8=Cpt_Index,Tab_Compteur_8[[#This Row],[Index]]-E200,Tab_Compteur_8[[#This Row],[Quantité]])/Tab_Compteur_8[[#This Row],[Delta Jour]],"")&lt;0,"",IFERROR(IF(Str_TypeDonneesCpt8=Cpt_Index,Tab_Compteur_8[[#This Row],[Index]]-E200,Tab_Compteur_8[[#This Row],[Quantité]])/Tab_Compteur_8[[#This Row],[Delta Jour]],""))</f>
        <v/>
      </c>
      <c r="H201" s="193" t="str">
        <f>IFERROR(Tab_Compteur_8[[#This Row],[Montant]]/Tab_Compteur_8[[#This Row],[Delta Jour]],"")</f>
        <v/>
      </c>
      <c r="I201" s="215" t="str">
        <f t="shared" si="9"/>
        <v/>
      </c>
      <c r="J201" s="216"/>
      <c r="K201" s="38"/>
      <c r="L201" s="38"/>
      <c r="M201" s="38"/>
    </row>
    <row r="202" spans="1:13">
      <c r="A202" s="3">
        <f t="shared" si="11"/>
        <v>1</v>
      </c>
      <c r="B202" s="88"/>
      <c r="C202" s="196"/>
      <c r="D202" s="195"/>
      <c r="F202" s="193">
        <f t="shared" si="10"/>
        <v>0</v>
      </c>
      <c r="G202" s="193" t="str">
        <f>IF(IFERROR(IF(Str_TypeDonneesCpt8=Cpt_Index,Tab_Compteur_8[[#This Row],[Index]]-E201,Tab_Compteur_8[[#This Row],[Quantité]])/Tab_Compteur_8[[#This Row],[Delta Jour]],"")&lt;0,"",IFERROR(IF(Str_TypeDonneesCpt8=Cpt_Index,Tab_Compteur_8[[#This Row],[Index]]-E201,Tab_Compteur_8[[#This Row],[Quantité]])/Tab_Compteur_8[[#This Row],[Delta Jour]],""))</f>
        <v/>
      </c>
      <c r="H202" s="193" t="str">
        <f>IFERROR(Tab_Compteur_8[[#This Row],[Montant]]/Tab_Compteur_8[[#This Row],[Delta Jour]],"")</f>
        <v/>
      </c>
      <c r="I202" s="215" t="str">
        <f t="shared" si="9"/>
        <v/>
      </c>
      <c r="J202" s="216"/>
      <c r="K202" s="38"/>
      <c r="L202" s="38"/>
      <c r="M202" s="38"/>
    </row>
    <row r="203" spans="1:13">
      <c r="A203" s="3">
        <f t="shared" si="11"/>
        <v>1</v>
      </c>
      <c r="B203" s="88"/>
      <c r="C203" s="196"/>
      <c r="D203" s="195"/>
      <c r="F203" s="193">
        <f t="shared" si="10"/>
        <v>0</v>
      </c>
      <c r="G203" s="193" t="str">
        <f>IF(IFERROR(IF(Str_TypeDonneesCpt8=Cpt_Index,Tab_Compteur_8[[#This Row],[Index]]-E202,Tab_Compteur_8[[#This Row],[Quantité]])/Tab_Compteur_8[[#This Row],[Delta Jour]],"")&lt;0,"",IFERROR(IF(Str_TypeDonneesCpt8=Cpt_Index,Tab_Compteur_8[[#This Row],[Index]]-E202,Tab_Compteur_8[[#This Row],[Quantité]])/Tab_Compteur_8[[#This Row],[Delta Jour]],""))</f>
        <v/>
      </c>
      <c r="H203" s="193" t="str">
        <f>IFERROR(Tab_Compteur_8[[#This Row],[Montant]]/Tab_Compteur_8[[#This Row],[Delta Jour]],"")</f>
        <v/>
      </c>
      <c r="I203" s="215" t="str">
        <f t="shared" si="9"/>
        <v/>
      </c>
      <c r="J203" s="216"/>
      <c r="K203" s="38"/>
      <c r="L203" s="38"/>
      <c r="M203" s="38"/>
    </row>
    <row r="204" spans="1:13">
      <c r="A204" s="3">
        <f t="shared" si="11"/>
        <v>1</v>
      </c>
      <c r="B204" s="88"/>
      <c r="C204" s="196"/>
      <c r="D204" s="195"/>
      <c r="F204" s="193">
        <f t="shared" si="10"/>
        <v>0</v>
      </c>
      <c r="G204" s="193" t="str">
        <f>IF(IFERROR(IF(Str_TypeDonneesCpt8=Cpt_Index,Tab_Compteur_8[[#This Row],[Index]]-E203,Tab_Compteur_8[[#This Row],[Quantité]])/Tab_Compteur_8[[#This Row],[Delta Jour]],"")&lt;0,"",IFERROR(IF(Str_TypeDonneesCpt8=Cpt_Index,Tab_Compteur_8[[#This Row],[Index]]-E203,Tab_Compteur_8[[#This Row],[Quantité]])/Tab_Compteur_8[[#This Row],[Delta Jour]],""))</f>
        <v/>
      </c>
      <c r="H204" s="193" t="str">
        <f>IFERROR(Tab_Compteur_8[[#This Row],[Montant]]/Tab_Compteur_8[[#This Row],[Delta Jour]],"")</f>
        <v/>
      </c>
      <c r="I204" s="215" t="str">
        <f t="shared" si="9"/>
        <v/>
      </c>
      <c r="J204" s="216"/>
      <c r="K204" s="38"/>
      <c r="L204" s="38"/>
      <c r="M204" s="38"/>
    </row>
    <row r="205" spans="1:13">
      <c r="A205" s="3">
        <f t="shared" si="11"/>
        <v>1</v>
      </c>
      <c r="B205" s="88"/>
      <c r="C205" s="196"/>
      <c r="D205" s="195"/>
      <c r="F205" s="193">
        <f t="shared" si="10"/>
        <v>0</v>
      </c>
      <c r="G205" s="193" t="str">
        <f>IF(IFERROR(IF(Str_TypeDonneesCpt8=Cpt_Index,Tab_Compteur_8[[#This Row],[Index]]-E204,Tab_Compteur_8[[#This Row],[Quantité]])/Tab_Compteur_8[[#This Row],[Delta Jour]],"")&lt;0,"",IFERROR(IF(Str_TypeDonneesCpt8=Cpt_Index,Tab_Compteur_8[[#This Row],[Index]]-E204,Tab_Compteur_8[[#This Row],[Quantité]])/Tab_Compteur_8[[#This Row],[Delta Jour]],""))</f>
        <v/>
      </c>
      <c r="H205" s="193" t="str">
        <f>IFERROR(Tab_Compteur_8[[#This Row],[Montant]]/Tab_Compteur_8[[#This Row],[Delta Jour]],"")</f>
        <v/>
      </c>
      <c r="I205" s="215" t="str">
        <f t="shared" si="9"/>
        <v/>
      </c>
      <c r="J205" s="216"/>
      <c r="K205" s="38"/>
      <c r="L205" s="38"/>
      <c r="M205" s="38"/>
    </row>
    <row r="206" spans="1:13">
      <c r="A206" s="3">
        <f t="shared" si="11"/>
        <v>1</v>
      </c>
      <c r="B206" s="88"/>
      <c r="C206" s="196"/>
      <c r="D206" s="195"/>
      <c r="F206" s="193">
        <f t="shared" si="10"/>
        <v>0</v>
      </c>
      <c r="G206" s="193" t="str">
        <f>IF(IFERROR(IF(Str_TypeDonneesCpt8=Cpt_Index,Tab_Compteur_8[[#This Row],[Index]]-E205,Tab_Compteur_8[[#This Row],[Quantité]])/Tab_Compteur_8[[#This Row],[Delta Jour]],"")&lt;0,"",IFERROR(IF(Str_TypeDonneesCpt8=Cpt_Index,Tab_Compteur_8[[#This Row],[Index]]-E205,Tab_Compteur_8[[#This Row],[Quantité]])/Tab_Compteur_8[[#This Row],[Delta Jour]],""))</f>
        <v/>
      </c>
      <c r="H206" s="193" t="str">
        <f>IFERROR(Tab_Compteur_8[[#This Row],[Montant]]/Tab_Compteur_8[[#This Row],[Delta Jour]],"")</f>
        <v/>
      </c>
      <c r="I206" s="215" t="str">
        <f t="shared" si="9"/>
        <v/>
      </c>
      <c r="J206" s="216"/>
      <c r="K206" s="38"/>
      <c r="L206" s="38"/>
      <c r="M206" s="38"/>
    </row>
    <row r="207" spans="1:13">
      <c r="A207" s="3">
        <f t="shared" si="11"/>
        <v>1</v>
      </c>
      <c r="B207" s="88"/>
      <c r="C207" s="196"/>
      <c r="D207" s="195"/>
      <c r="F207" s="193">
        <f t="shared" si="10"/>
        <v>0</v>
      </c>
      <c r="G207" s="193" t="str">
        <f>IF(IFERROR(IF(Str_TypeDonneesCpt8=Cpt_Index,Tab_Compteur_8[[#This Row],[Index]]-E206,Tab_Compteur_8[[#This Row],[Quantité]])/Tab_Compteur_8[[#This Row],[Delta Jour]],"")&lt;0,"",IFERROR(IF(Str_TypeDonneesCpt8=Cpt_Index,Tab_Compteur_8[[#This Row],[Index]]-E206,Tab_Compteur_8[[#This Row],[Quantité]])/Tab_Compteur_8[[#This Row],[Delta Jour]],""))</f>
        <v/>
      </c>
      <c r="H207" s="193" t="str">
        <f>IFERROR(Tab_Compteur_8[[#This Row],[Montant]]/Tab_Compteur_8[[#This Row],[Delta Jour]],"")</f>
        <v/>
      </c>
      <c r="I207" s="215" t="str">
        <f t="shared" si="9"/>
        <v/>
      </c>
      <c r="J207" s="216"/>
      <c r="K207" s="38"/>
      <c r="L207" s="38"/>
      <c r="M207" s="38"/>
    </row>
    <row r="208" spans="1:13">
      <c r="A208" s="3">
        <f t="shared" si="11"/>
        <v>1</v>
      </c>
      <c r="B208" s="88"/>
      <c r="C208" s="196"/>
      <c r="D208" s="195"/>
      <c r="F208" s="193">
        <f t="shared" si="10"/>
        <v>0</v>
      </c>
      <c r="G208" s="193" t="str">
        <f>IF(IFERROR(IF(Str_TypeDonneesCpt8=Cpt_Index,Tab_Compteur_8[[#This Row],[Index]]-E207,Tab_Compteur_8[[#This Row],[Quantité]])/Tab_Compteur_8[[#This Row],[Delta Jour]],"")&lt;0,"",IFERROR(IF(Str_TypeDonneesCpt8=Cpt_Index,Tab_Compteur_8[[#This Row],[Index]]-E207,Tab_Compteur_8[[#This Row],[Quantité]])/Tab_Compteur_8[[#This Row],[Delta Jour]],""))</f>
        <v/>
      </c>
      <c r="H208" s="193" t="str">
        <f>IFERROR(Tab_Compteur_8[[#This Row],[Montant]]/Tab_Compteur_8[[#This Row],[Delta Jour]],"")</f>
        <v/>
      </c>
      <c r="I208" s="215" t="str">
        <f t="shared" si="9"/>
        <v/>
      </c>
      <c r="J208" s="216"/>
      <c r="K208" s="38"/>
      <c r="L208" s="38"/>
      <c r="M208" s="38"/>
    </row>
    <row r="209" spans="1:13">
      <c r="A209" s="3">
        <f t="shared" si="11"/>
        <v>1</v>
      </c>
      <c r="B209" s="88"/>
      <c r="C209" s="196"/>
      <c r="D209" s="195"/>
      <c r="F209" s="193">
        <f t="shared" si="10"/>
        <v>0</v>
      </c>
      <c r="G209" s="193" t="str">
        <f>IF(IFERROR(IF(Str_TypeDonneesCpt8=Cpt_Index,Tab_Compteur_8[[#This Row],[Index]]-E208,Tab_Compteur_8[[#This Row],[Quantité]])/Tab_Compteur_8[[#This Row],[Delta Jour]],"")&lt;0,"",IFERROR(IF(Str_TypeDonneesCpt8=Cpt_Index,Tab_Compteur_8[[#This Row],[Index]]-E208,Tab_Compteur_8[[#This Row],[Quantité]])/Tab_Compteur_8[[#This Row],[Delta Jour]],""))</f>
        <v/>
      </c>
      <c r="H209" s="193" t="str">
        <f>IFERROR(Tab_Compteur_8[[#This Row],[Montant]]/Tab_Compteur_8[[#This Row],[Delta Jour]],"")</f>
        <v/>
      </c>
      <c r="I209" s="215" t="str">
        <f t="shared" si="9"/>
        <v/>
      </c>
      <c r="J209" s="216"/>
      <c r="K209" s="38"/>
      <c r="L209" s="38"/>
      <c r="M209" s="38"/>
    </row>
    <row r="210" spans="1:13">
      <c r="A210" s="3">
        <f t="shared" si="11"/>
        <v>1</v>
      </c>
      <c r="B210" s="88"/>
      <c r="C210" s="196"/>
      <c r="D210" s="195"/>
      <c r="F210" s="193">
        <f t="shared" si="10"/>
        <v>0</v>
      </c>
      <c r="G210" s="193" t="str">
        <f>IF(IFERROR(IF(Str_TypeDonneesCpt8=Cpt_Index,Tab_Compteur_8[[#This Row],[Index]]-E209,Tab_Compteur_8[[#This Row],[Quantité]])/Tab_Compteur_8[[#This Row],[Delta Jour]],"")&lt;0,"",IFERROR(IF(Str_TypeDonneesCpt8=Cpt_Index,Tab_Compteur_8[[#This Row],[Index]]-E209,Tab_Compteur_8[[#This Row],[Quantité]])/Tab_Compteur_8[[#This Row],[Delta Jour]],""))</f>
        <v/>
      </c>
      <c r="H210" s="193" t="str">
        <f>IFERROR(Tab_Compteur_8[[#This Row],[Montant]]/Tab_Compteur_8[[#This Row],[Delta Jour]],"")</f>
        <v/>
      </c>
      <c r="I210" s="215" t="str">
        <f t="shared" si="9"/>
        <v/>
      </c>
      <c r="J210" s="216"/>
      <c r="K210" s="38"/>
      <c r="L210" s="38"/>
      <c r="M210" s="38"/>
    </row>
    <row r="211" spans="1:13">
      <c r="A211" s="3">
        <f t="shared" si="11"/>
        <v>1</v>
      </c>
      <c r="B211" s="88"/>
      <c r="C211" s="196"/>
      <c r="D211" s="195"/>
      <c r="F211" s="193">
        <f t="shared" si="10"/>
        <v>0</v>
      </c>
      <c r="G211" s="193" t="str">
        <f>IF(IFERROR(IF(Str_TypeDonneesCpt8=Cpt_Index,Tab_Compteur_8[[#This Row],[Index]]-E210,Tab_Compteur_8[[#This Row],[Quantité]])/Tab_Compteur_8[[#This Row],[Delta Jour]],"")&lt;0,"",IFERROR(IF(Str_TypeDonneesCpt8=Cpt_Index,Tab_Compteur_8[[#This Row],[Index]]-E210,Tab_Compteur_8[[#This Row],[Quantité]])/Tab_Compteur_8[[#This Row],[Delta Jour]],""))</f>
        <v/>
      </c>
      <c r="H211" s="193" t="str">
        <f>IFERROR(Tab_Compteur_8[[#This Row],[Montant]]/Tab_Compteur_8[[#This Row],[Delta Jour]],"")</f>
        <v/>
      </c>
      <c r="I211" s="215" t="str">
        <f t="shared" si="9"/>
        <v/>
      </c>
      <c r="J211" s="216"/>
      <c r="K211" s="38"/>
      <c r="L211" s="38"/>
      <c r="M211" s="38"/>
    </row>
    <row r="212" spans="1:13">
      <c r="A212" s="3">
        <f t="shared" si="11"/>
        <v>1</v>
      </c>
      <c r="B212" s="88"/>
      <c r="C212" s="196"/>
      <c r="D212" s="195"/>
      <c r="F212" s="193">
        <f t="shared" si="10"/>
        <v>0</v>
      </c>
      <c r="G212" s="193" t="str">
        <f>IF(IFERROR(IF(Str_TypeDonneesCpt8=Cpt_Index,Tab_Compteur_8[[#This Row],[Index]]-E211,Tab_Compteur_8[[#This Row],[Quantité]])/Tab_Compteur_8[[#This Row],[Delta Jour]],"")&lt;0,"",IFERROR(IF(Str_TypeDonneesCpt8=Cpt_Index,Tab_Compteur_8[[#This Row],[Index]]-E211,Tab_Compteur_8[[#This Row],[Quantité]])/Tab_Compteur_8[[#This Row],[Delta Jour]],""))</f>
        <v/>
      </c>
      <c r="H212" s="193" t="str">
        <f>IFERROR(Tab_Compteur_8[[#This Row],[Montant]]/Tab_Compteur_8[[#This Row],[Delta Jour]],"")</f>
        <v/>
      </c>
      <c r="I212" s="215" t="str">
        <f t="shared" si="9"/>
        <v/>
      </c>
      <c r="J212" s="216"/>
      <c r="K212" s="38"/>
      <c r="L212" s="38"/>
      <c r="M212" s="38"/>
    </row>
    <row r="213" spans="1:13">
      <c r="A213" s="3">
        <f t="shared" si="11"/>
        <v>1</v>
      </c>
      <c r="B213" s="88"/>
      <c r="C213" s="196"/>
      <c r="D213" s="195"/>
      <c r="F213" s="193">
        <f t="shared" si="10"/>
        <v>0</v>
      </c>
      <c r="G213" s="193" t="str">
        <f>IF(IFERROR(IF(Str_TypeDonneesCpt8=Cpt_Index,Tab_Compteur_8[[#This Row],[Index]]-E212,Tab_Compteur_8[[#This Row],[Quantité]])/Tab_Compteur_8[[#This Row],[Delta Jour]],"")&lt;0,"",IFERROR(IF(Str_TypeDonneesCpt8=Cpt_Index,Tab_Compteur_8[[#This Row],[Index]]-E212,Tab_Compteur_8[[#This Row],[Quantité]])/Tab_Compteur_8[[#This Row],[Delta Jour]],""))</f>
        <v/>
      </c>
      <c r="H213" s="193" t="str">
        <f>IFERROR(Tab_Compteur_8[[#This Row],[Montant]]/Tab_Compteur_8[[#This Row],[Delta Jour]],"")</f>
        <v/>
      </c>
      <c r="I213" s="215" t="str">
        <f t="shared" si="9"/>
        <v/>
      </c>
      <c r="J213" s="216"/>
      <c r="K213" s="38"/>
      <c r="L213" s="38"/>
      <c r="M213" s="38"/>
    </row>
    <row r="214" spans="1:13">
      <c r="A214" s="3">
        <f t="shared" si="11"/>
        <v>1</v>
      </c>
      <c r="B214" s="88"/>
      <c r="C214" s="196"/>
      <c r="D214" s="195"/>
      <c r="F214" s="193">
        <f t="shared" si="10"/>
        <v>0</v>
      </c>
      <c r="G214" s="193" t="str">
        <f>IF(IFERROR(IF(Str_TypeDonneesCpt8=Cpt_Index,Tab_Compteur_8[[#This Row],[Index]]-E213,Tab_Compteur_8[[#This Row],[Quantité]])/Tab_Compteur_8[[#This Row],[Delta Jour]],"")&lt;0,"",IFERROR(IF(Str_TypeDonneesCpt8=Cpt_Index,Tab_Compteur_8[[#This Row],[Index]]-E213,Tab_Compteur_8[[#This Row],[Quantité]])/Tab_Compteur_8[[#This Row],[Delta Jour]],""))</f>
        <v/>
      </c>
      <c r="H214" s="193" t="str">
        <f>IFERROR(Tab_Compteur_8[[#This Row],[Montant]]/Tab_Compteur_8[[#This Row],[Delta Jour]],"")</f>
        <v/>
      </c>
      <c r="I214" s="215" t="str">
        <f t="shared" si="9"/>
        <v/>
      </c>
      <c r="J214" s="216"/>
      <c r="K214" s="38"/>
      <c r="L214" s="38"/>
      <c r="M214" s="38"/>
    </row>
    <row r="215" spans="1:13">
      <c r="A215" s="3">
        <f t="shared" si="11"/>
        <v>1</v>
      </c>
      <c r="B215" s="88"/>
      <c r="C215" s="196"/>
      <c r="D215" s="195"/>
      <c r="F215" s="193">
        <f t="shared" si="10"/>
        <v>0</v>
      </c>
      <c r="G215" s="193" t="str">
        <f>IF(IFERROR(IF(Str_TypeDonneesCpt8=Cpt_Index,Tab_Compteur_8[[#This Row],[Index]]-E214,Tab_Compteur_8[[#This Row],[Quantité]])/Tab_Compteur_8[[#This Row],[Delta Jour]],"")&lt;0,"",IFERROR(IF(Str_TypeDonneesCpt8=Cpt_Index,Tab_Compteur_8[[#This Row],[Index]]-E214,Tab_Compteur_8[[#This Row],[Quantité]])/Tab_Compteur_8[[#This Row],[Delta Jour]],""))</f>
        <v/>
      </c>
      <c r="H215" s="193" t="str">
        <f>IFERROR(Tab_Compteur_8[[#This Row],[Montant]]/Tab_Compteur_8[[#This Row],[Delta Jour]],"")</f>
        <v/>
      </c>
      <c r="I215" s="215" t="str">
        <f t="shared" si="9"/>
        <v/>
      </c>
      <c r="J215" s="216"/>
      <c r="K215" s="38"/>
      <c r="L215" s="38"/>
      <c r="M215" s="38"/>
    </row>
    <row r="216" spans="1:13">
      <c r="A216" s="3">
        <f t="shared" si="11"/>
        <v>1</v>
      </c>
      <c r="B216" s="88"/>
      <c r="C216" s="196"/>
      <c r="D216" s="195"/>
      <c r="F216" s="193">
        <f t="shared" si="10"/>
        <v>0</v>
      </c>
      <c r="G216" s="193" t="str">
        <f>IF(IFERROR(IF(Str_TypeDonneesCpt8=Cpt_Index,Tab_Compteur_8[[#This Row],[Index]]-E215,Tab_Compteur_8[[#This Row],[Quantité]])/Tab_Compteur_8[[#This Row],[Delta Jour]],"")&lt;0,"",IFERROR(IF(Str_TypeDonneesCpt8=Cpt_Index,Tab_Compteur_8[[#This Row],[Index]]-E215,Tab_Compteur_8[[#This Row],[Quantité]])/Tab_Compteur_8[[#This Row],[Delta Jour]],""))</f>
        <v/>
      </c>
      <c r="H216" s="193" t="str">
        <f>IFERROR(Tab_Compteur_8[[#This Row],[Montant]]/Tab_Compteur_8[[#This Row],[Delta Jour]],"")</f>
        <v/>
      </c>
      <c r="I216" s="215" t="str">
        <f t="shared" si="9"/>
        <v/>
      </c>
      <c r="J216" s="216"/>
      <c r="K216" s="38"/>
      <c r="L216" s="38"/>
      <c r="M216" s="38"/>
    </row>
    <row r="217" spans="1:13">
      <c r="A217" s="3">
        <f t="shared" si="11"/>
        <v>1</v>
      </c>
      <c r="B217" s="88"/>
      <c r="C217" s="196"/>
      <c r="D217" s="195"/>
      <c r="F217" s="193">
        <f t="shared" si="10"/>
        <v>0</v>
      </c>
      <c r="G217" s="193" t="str">
        <f>IF(IFERROR(IF(Str_TypeDonneesCpt8=Cpt_Index,Tab_Compteur_8[[#This Row],[Index]]-E216,Tab_Compteur_8[[#This Row],[Quantité]])/Tab_Compteur_8[[#This Row],[Delta Jour]],"")&lt;0,"",IFERROR(IF(Str_TypeDonneesCpt8=Cpt_Index,Tab_Compteur_8[[#This Row],[Index]]-E216,Tab_Compteur_8[[#This Row],[Quantité]])/Tab_Compteur_8[[#This Row],[Delta Jour]],""))</f>
        <v/>
      </c>
      <c r="H217" s="193" t="str">
        <f>IFERROR(Tab_Compteur_8[[#This Row],[Montant]]/Tab_Compteur_8[[#This Row],[Delta Jour]],"")</f>
        <v/>
      </c>
      <c r="I217" s="215" t="str">
        <f t="shared" si="9"/>
        <v/>
      </c>
      <c r="J217" s="216"/>
      <c r="K217" s="38"/>
      <c r="L217" s="38"/>
      <c r="M217" s="38"/>
    </row>
    <row r="218" spans="1:13">
      <c r="A218" s="3">
        <f t="shared" si="11"/>
        <v>1</v>
      </c>
      <c r="B218" s="88"/>
      <c r="C218" s="196"/>
      <c r="D218" s="195"/>
      <c r="F218" s="193">
        <f t="shared" si="10"/>
        <v>0</v>
      </c>
      <c r="G218" s="193" t="str">
        <f>IF(IFERROR(IF(Str_TypeDonneesCpt8=Cpt_Index,Tab_Compteur_8[[#This Row],[Index]]-E217,Tab_Compteur_8[[#This Row],[Quantité]])/Tab_Compteur_8[[#This Row],[Delta Jour]],"")&lt;0,"",IFERROR(IF(Str_TypeDonneesCpt8=Cpt_Index,Tab_Compteur_8[[#This Row],[Index]]-E217,Tab_Compteur_8[[#This Row],[Quantité]])/Tab_Compteur_8[[#This Row],[Delta Jour]],""))</f>
        <v/>
      </c>
      <c r="H218" s="193" t="str">
        <f>IFERROR(Tab_Compteur_8[[#This Row],[Montant]]/Tab_Compteur_8[[#This Row],[Delta Jour]],"")</f>
        <v/>
      </c>
      <c r="I218" s="215" t="str">
        <f t="shared" si="9"/>
        <v/>
      </c>
      <c r="J218" s="216"/>
      <c r="K218" s="38"/>
      <c r="L218" s="38"/>
      <c r="M218" s="38"/>
    </row>
    <row r="219" spans="1:13">
      <c r="A219" s="3">
        <f t="shared" si="11"/>
        <v>1</v>
      </c>
      <c r="B219" s="88"/>
      <c r="C219" s="196"/>
      <c r="D219" s="195"/>
      <c r="F219" s="193">
        <f t="shared" si="10"/>
        <v>0</v>
      </c>
      <c r="G219" s="193" t="str">
        <f>IF(IFERROR(IF(Str_TypeDonneesCpt8=Cpt_Index,Tab_Compteur_8[[#This Row],[Index]]-E218,Tab_Compteur_8[[#This Row],[Quantité]])/Tab_Compteur_8[[#This Row],[Delta Jour]],"")&lt;0,"",IFERROR(IF(Str_TypeDonneesCpt8=Cpt_Index,Tab_Compteur_8[[#This Row],[Index]]-E218,Tab_Compteur_8[[#This Row],[Quantité]])/Tab_Compteur_8[[#This Row],[Delta Jour]],""))</f>
        <v/>
      </c>
      <c r="H219" s="193" t="str">
        <f>IFERROR(Tab_Compteur_8[[#This Row],[Montant]]/Tab_Compteur_8[[#This Row],[Delta Jour]],"")</f>
        <v/>
      </c>
      <c r="I219" s="215" t="str">
        <f t="shared" si="9"/>
        <v/>
      </c>
      <c r="J219" s="216"/>
      <c r="K219" s="38"/>
      <c r="L219" s="38"/>
      <c r="M219" s="38"/>
    </row>
    <row r="220" spans="1:13">
      <c r="A220" s="3">
        <f t="shared" si="11"/>
        <v>1</v>
      </c>
      <c r="B220" s="88"/>
      <c r="C220" s="196"/>
      <c r="D220" s="195"/>
      <c r="F220" s="193">
        <f t="shared" si="10"/>
        <v>0</v>
      </c>
      <c r="G220" s="193" t="str">
        <f>IF(IFERROR(IF(Str_TypeDonneesCpt8=Cpt_Index,Tab_Compteur_8[[#This Row],[Index]]-E219,Tab_Compteur_8[[#This Row],[Quantité]])/Tab_Compteur_8[[#This Row],[Delta Jour]],"")&lt;0,"",IFERROR(IF(Str_TypeDonneesCpt8=Cpt_Index,Tab_Compteur_8[[#This Row],[Index]]-E219,Tab_Compteur_8[[#This Row],[Quantité]])/Tab_Compteur_8[[#This Row],[Delta Jour]],""))</f>
        <v/>
      </c>
      <c r="H220" s="193" t="str">
        <f>IFERROR(Tab_Compteur_8[[#This Row],[Montant]]/Tab_Compteur_8[[#This Row],[Delta Jour]],"")</f>
        <v/>
      </c>
      <c r="I220" s="215" t="str">
        <f t="shared" si="9"/>
        <v/>
      </c>
      <c r="J220" s="216"/>
      <c r="K220" s="38"/>
      <c r="L220" s="38"/>
      <c r="M220" s="38"/>
    </row>
    <row r="221" spans="1:13">
      <c r="A221" s="3">
        <f t="shared" si="11"/>
        <v>1</v>
      </c>
      <c r="B221" s="88"/>
      <c r="C221" s="196"/>
      <c r="D221" s="195"/>
      <c r="F221" s="193">
        <f t="shared" si="10"/>
        <v>0</v>
      </c>
      <c r="G221" s="193" t="str">
        <f>IF(IFERROR(IF(Str_TypeDonneesCpt8=Cpt_Index,Tab_Compteur_8[[#This Row],[Index]]-E220,Tab_Compteur_8[[#This Row],[Quantité]])/Tab_Compteur_8[[#This Row],[Delta Jour]],"")&lt;0,"",IFERROR(IF(Str_TypeDonneesCpt8=Cpt_Index,Tab_Compteur_8[[#This Row],[Index]]-E220,Tab_Compteur_8[[#This Row],[Quantité]])/Tab_Compteur_8[[#This Row],[Delta Jour]],""))</f>
        <v/>
      </c>
      <c r="H221" s="193" t="str">
        <f>IFERROR(Tab_Compteur_8[[#This Row],[Montant]]/Tab_Compteur_8[[#This Row],[Delta Jour]],"")</f>
        <v/>
      </c>
      <c r="I221" s="215" t="str">
        <f t="shared" si="9"/>
        <v/>
      </c>
      <c r="J221" s="216"/>
      <c r="K221" s="38"/>
      <c r="L221" s="38"/>
      <c r="M221" s="38"/>
    </row>
    <row r="222" spans="1:13">
      <c r="A222" s="3">
        <f t="shared" si="11"/>
        <v>1</v>
      </c>
      <c r="B222" s="88"/>
      <c r="C222" s="196"/>
      <c r="D222" s="195"/>
      <c r="F222" s="193">
        <f t="shared" si="10"/>
        <v>0</v>
      </c>
      <c r="G222" s="193" t="str">
        <f>IF(IFERROR(IF(Str_TypeDonneesCpt8=Cpt_Index,Tab_Compteur_8[[#This Row],[Index]]-E221,Tab_Compteur_8[[#This Row],[Quantité]])/Tab_Compteur_8[[#This Row],[Delta Jour]],"")&lt;0,"",IFERROR(IF(Str_TypeDonneesCpt8=Cpt_Index,Tab_Compteur_8[[#This Row],[Index]]-E221,Tab_Compteur_8[[#This Row],[Quantité]])/Tab_Compteur_8[[#This Row],[Delta Jour]],""))</f>
        <v/>
      </c>
      <c r="H222" s="193" t="str">
        <f>IFERROR(Tab_Compteur_8[[#This Row],[Montant]]/Tab_Compteur_8[[#This Row],[Delta Jour]],"")</f>
        <v/>
      </c>
      <c r="I222" s="215" t="str">
        <f t="shared" si="9"/>
        <v/>
      </c>
      <c r="J222" s="216"/>
      <c r="K222" s="38"/>
      <c r="L222" s="38"/>
      <c r="M222" s="38"/>
    </row>
    <row r="223" spans="1:13">
      <c r="A223" s="3">
        <f t="shared" si="11"/>
        <v>1</v>
      </c>
      <c r="B223" s="88"/>
      <c r="C223" s="196"/>
      <c r="D223" s="195"/>
      <c r="F223" s="193">
        <f t="shared" si="10"/>
        <v>0</v>
      </c>
      <c r="G223" s="193" t="str">
        <f>IF(IFERROR(IF(Str_TypeDonneesCpt8=Cpt_Index,Tab_Compteur_8[[#This Row],[Index]]-E222,Tab_Compteur_8[[#This Row],[Quantité]])/Tab_Compteur_8[[#This Row],[Delta Jour]],"")&lt;0,"",IFERROR(IF(Str_TypeDonneesCpt8=Cpt_Index,Tab_Compteur_8[[#This Row],[Index]]-E222,Tab_Compteur_8[[#This Row],[Quantité]])/Tab_Compteur_8[[#This Row],[Delta Jour]],""))</f>
        <v/>
      </c>
      <c r="H223" s="193" t="str">
        <f>IFERROR(Tab_Compteur_8[[#This Row],[Montant]]/Tab_Compteur_8[[#This Row],[Delta Jour]],"")</f>
        <v/>
      </c>
      <c r="I223" s="215" t="str">
        <f t="shared" si="9"/>
        <v/>
      </c>
      <c r="J223" s="216"/>
      <c r="K223" s="38"/>
      <c r="L223" s="38"/>
      <c r="M223" s="38"/>
    </row>
    <row r="224" spans="1:13">
      <c r="A224" s="3">
        <f t="shared" si="11"/>
        <v>1</v>
      </c>
      <c r="B224" s="88"/>
      <c r="C224" s="196"/>
      <c r="D224" s="195"/>
      <c r="F224" s="193">
        <f t="shared" si="10"/>
        <v>0</v>
      </c>
      <c r="G224" s="193" t="str">
        <f>IF(IFERROR(IF(Str_TypeDonneesCpt8=Cpt_Index,Tab_Compteur_8[[#This Row],[Index]]-E223,Tab_Compteur_8[[#This Row],[Quantité]])/Tab_Compteur_8[[#This Row],[Delta Jour]],"")&lt;0,"",IFERROR(IF(Str_TypeDonneesCpt8=Cpt_Index,Tab_Compteur_8[[#This Row],[Index]]-E223,Tab_Compteur_8[[#This Row],[Quantité]])/Tab_Compteur_8[[#This Row],[Delta Jour]],""))</f>
        <v/>
      </c>
      <c r="H224" s="193" t="str">
        <f>IFERROR(Tab_Compteur_8[[#This Row],[Montant]]/Tab_Compteur_8[[#This Row],[Delta Jour]],"")</f>
        <v/>
      </c>
      <c r="I224" s="215" t="str">
        <f t="shared" si="9"/>
        <v/>
      </c>
      <c r="J224" s="216"/>
      <c r="K224" s="38"/>
      <c r="L224" s="38"/>
      <c r="M224" s="38"/>
    </row>
    <row r="225" spans="1:13">
      <c r="A225" s="3">
        <f t="shared" si="11"/>
        <v>1</v>
      </c>
      <c r="B225" s="88"/>
      <c r="C225" s="196"/>
      <c r="D225" s="195"/>
      <c r="F225" s="193">
        <f t="shared" si="10"/>
        <v>0</v>
      </c>
      <c r="G225" s="193" t="str">
        <f>IF(IFERROR(IF(Str_TypeDonneesCpt8=Cpt_Index,Tab_Compteur_8[[#This Row],[Index]]-E224,Tab_Compteur_8[[#This Row],[Quantité]])/Tab_Compteur_8[[#This Row],[Delta Jour]],"")&lt;0,"",IFERROR(IF(Str_TypeDonneesCpt8=Cpt_Index,Tab_Compteur_8[[#This Row],[Index]]-E224,Tab_Compteur_8[[#This Row],[Quantité]])/Tab_Compteur_8[[#This Row],[Delta Jour]],""))</f>
        <v/>
      </c>
      <c r="H225" s="193" t="str">
        <f>IFERROR(Tab_Compteur_8[[#This Row],[Montant]]/Tab_Compteur_8[[#This Row],[Delta Jour]],"")</f>
        <v/>
      </c>
      <c r="I225" s="215" t="str">
        <f t="shared" si="9"/>
        <v/>
      </c>
      <c r="J225" s="216"/>
      <c r="K225" s="38"/>
      <c r="L225" s="38"/>
      <c r="M225" s="38"/>
    </row>
    <row r="226" spans="1:13">
      <c r="A226" s="3">
        <f t="shared" si="11"/>
        <v>1</v>
      </c>
      <c r="B226" s="88"/>
      <c r="C226" s="196"/>
      <c r="D226" s="195"/>
      <c r="F226" s="193">
        <f t="shared" si="10"/>
        <v>0</v>
      </c>
      <c r="G226" s="193" t="str">
        <f>IF(IFERROR(IF(Str_TypeDonneesCpt8=Cpt_Index,Tab_Compteur_8[[#This Row],[Index]]-E225,Tab_Compteur_8[[#This Row],[Quantité]])/Tab_Compteur_8[[#This Row],[Delta Jour]],"")&lt;0,"",IFERROR(IF(Str_TypeDonneesCpt8=Cpt_Index,Tab_Compteur_8[[#This Row],[Index]]-E225,Tab_Compteur_8[[#This Row],[Quantité]])/Tab_Compteur_8[[#This Row],[Delta Jour]],""))</f>
        <v/>
      </c>
      <c r="H226" s="193" t="str">
        <f>IFERROR(Tab_Compteur_8[[#This Row],[Montant]]/Tab_Compteur_8[[#This Row],[Delta Jour]],"")</f>
        <v/>
      </c>
      <c r="I226" s="215" t="str">
        <f t="shared" si="9"/>
        <v/>
      </c>
      <c r="J226" s="216"/>
      <c r="K226" s="38"/>
      <c r="L226" s="38"/>
      <c r="M226" s="38"/>
    </row>
    <row r="227" spans="1:13">
      <c r="A227" s="3">
        <f t="shared" si="11"/>
        <v>1</v>
      </c>
      <c r="B227" s="88"/>
      <c r="C227" s="196"/>
      <c r="D227" s="195"/>
      <c r="F227" s="193">
        <f t="shared" si="10"/>
        <v>0</v>
      </c>
      <c r="G227" s="193" t="str">
        <f>IF(IFERROR(IF(Str_TypeDonneesCpt8=Cpt_Index,Tab_Compteur_8[[#This Row],[Index]]-E226,Tab_Compteur_8[[#This Row],[Quantité]])/Tab_Compteur_8[[#This Row],[Delta Jour]],"")&lt;0,"",IFERROR(IF(Str_TypeDonneesCpt8=Cpt_Index,Tab_Compteur_8[[#This Row],[Index]]-E226,Tab_Compteur_8[[#This Row],[Quantité]])/Tab_Compteur_8[[#This Row],[Delta Jour]],""))</f>
        <v/>
      </c>
      <c r="H227" s="193" t="str">
        <f>IFERROR(Tab_Compteur_8[[#This Row],[Montant]]/Tab_Compteur_8[[#This Row],[Delta Jour]],"")</f>
        <v/>
      </c>
      <c r="I227" s="215" t="str">
        <f t="shared" si="9"/>
        <v/>
      </c>
      <c r="J227" s="216"/>
      <c r="K227" s="38"/>
      <c r="L227" s="38"/>
      <c r="M227" s="38"/>
    </row>
    <row r="228" spans="1:13">
      <c r="A228" s="3">
        <f t="shared" si="11"/>
        <v>1</v>
      </c>
      <c r="B228" s="88"/>
      <c r="C228" s="196"/>
      <c r="D228" s="195"/>
      <c r="F228" s="193">
        <f t="shared" si="10"/>
        <v>0</v>
      </c>
      <c r="G228" s="193" t="str">
        <f>IF(IFERROR(IF(Str_TypeDonneesCpt8=Cpt_Index,Tab_Compteur_8[[#This Row],[Index]]-E227,Tab_Compteur_8[[#This Row],[Quantité]])/Tab_Compteur_8[[#This Row],[Delta Jour]],"")&lt;0,"",IFERROR(IF(Str_TypeDonneesCpt8=Cpt_Index,Tab_Compteur_8[[#This Row],[Index]]-E227,Tab_Compteur_8[[#This Row],[Quantité]])/Tab_Compteur_8[[#This Row],[Delta Jour]],""))</f>
        <v/>
      </c>
      <c r="H228" s="193" t="str">
        <f>IFERROR(Tab_Compteur_8[[#This Row],[Montant]]/Tab_Compteur_8[[#This Row],[Delta Jour]],"")</f>
        <v/>
      </c>
      <c r="I228" s="215" t="str">
        <f t="shared" si="9"/>
        <v/>
      </c>
      <c r="J228" s="216"/>
      <c r="K228" s="38"/>
      <c r="L228" s="38"/>
      <c r="M228" s="38"/>
    </row>
    <row r="229" spans="1:13">
      <c r="A229" s="3">
        <f t="shared" si="11"/>
        <v>1</v>
      </c>
      <c r="B229" s="88"/>
      <c r="C229" s="196"/>
      <c r="D229" s="195"/>
      <c r="F229" s="193">
        <f t="shared" si="10"/>
        <v>0</v>
      </c>
      <c r="G229" s="193" t="str">
        <f>IF(IFERROR(IF(Str_TypeDonneesCpt8=Cpt_Index,Tab_Compteur_8[[#This Row],[Index]]-E228,Tab_Compteur_8[[#This Row],[Quantité]])/Tab_Compteur_8[[#This Row],[Delta Jour]],"")&lt;0,"",IFERROR(IF(Str_TypeDonneesCpt8=Cpt_Index,Tab_Compteur_8[[#This Row],[Index]]-E228,Tab_Compteur_8[[#This Row],[Quantité]])/Tab_Compteur_8[[#This Row],[Delta Jour]],""))</f>
        <v/>
      </c>
      <c r="H229" s="193" t="str">
        <f>IFERROR(Tab_Compteur_8[[#This Row],[Montant]]/Tab_Compteur_8[[#This Row],[Delta Jour]],"")</f>
        <v/>
      </c>
      <c r="I229" s="215" t="str">
        <f t="shared" si="9"/>
        <v/>
      </c>
      <c r="J229" s="216"/>
      <c r="K229" s="38"/>
      <c r="L229" s="38"/>
      <c r="M229" s="38"/>
    </row>
    <row r="230" spans="1:13">
      <c r="A230" s="3">
        <f t="shared" si="11"/>
        <v>1</v>
      </c>
      <c r="B230" s="88"/>
      <c r="C230" s="196"/>
      <c r="D230" s="195"/>
      <c r="F230" s="193">
        <f t="shared" si="10"/>
        <v>0</v>
      </c>
      <c r="G230" s="193" t="str">
        <f>IF(IFERROR(IF(Str_TypeDonneesCpt8=Cpt_Index,Tab_Compteur_8[[#This Row],[Index]]-E229,Tab_Compteur_8[[#This Row],[Quantité]])/Tab_Compteur_8[[#This Row],[Delta Jour]],"")&lt;0,"",IFERROR(IF(Str_TypeDonneesCpt8=Cpt_Index,Tab_Compteur_8[[#This Row],[Index]]-E229,Tab_Compteur_8[[#This Row],[Quantité]])/Tab_Compteur_8[[#This Row],[Delta Jour]],""))</f>
        <v/>
      </c>
      <c r="H230" s="193" t="str">
        <f>IFERROR(Tab_Compteur_8[[#This Row],[Montant]]/Tab_Compteur_8[[#This Row],[Delta Jour]],"")</f>
        <v/>
      </c>
      <c r="I230" s="215" t="str">
        <f t="shared" si="9"/>
        <v/>
      </c>
      <c r="J230" s="216"/>
      <c r="K230" s="38"/>
      <c r="L230" s="38"/>
      <c r="M230" s="38"/>
    </row>
    <row r="231" spans="1:13">
      <c r="A231" s="3">
        <f t="shared" si="11"/>
        <v>1</v>
      </c>
      <c r="B231" s="88"/>
      <c r="C231" s="196"/>
      <c r="D231" s="195"/>
      <c r="F231" s="193">
        <f t="shared" si="10"/>
        <v>0</v>
      </c>
      <c r="G231" s="193" t="str">
        <f>IF(IFERROR(IF(Str_TypeDonneesCpt8=Cpt_Index,Tab_Compteur_8[[#This Row],[Index]]-E230,Tab_Compteur_8[[#This Row],[Quantité]])/Tab_Compteur_8[[#This Row],[Delta Jour]],"")&lt;0,"",IFERROR(IF(Str_TypeDonneesCpt8=Cpt_Index,Tab_Compteur_8[[#This Row],[Index]]-E230,Tab_Compteur_8[[#This Row],[Quantité]])/Tab_Compteur_8[[#This Row],[Delta Jour]],""))</f>
        <v/>
      </c>
      <c r="H231" s="193" t="str">
        <f>IFERROR(Tab_Compteur_8[[#This Row],[Montant]]/Tab_Compteur_8[[#This Row],[Delta Jour]],"")</f>
        <v/>
      </c>
      <c r="I231" s="215" t="str">
        <f t="shared" si="9"/>
        <v/>
      </c>
      <c r="J231" s="216"/>
      <c r="K231" s="38"/>
      <c r="L231" s="38"/>
      <c r="M231" s="38"/>
    </row>
    <row r="232" spans="1:13">
      <c r="A232" s="3">
        <f t="shared" si="11"/>
        <v>1</v>
      </c>
      <c r="B232" s="88"/>
      <c r="C232" s="196"/>
      <c r="D232" s="195"/>
      <c r="F232" s="193">
        <f t="shared" si="10"/>
        <v>0</v>
      </c>
      <c r="G232" s="193" t="str">
        <f>IF(IFERROR(IF(Str_TypeDonneesCpt8=Cpt_Index,Tab_Compteur_8[[#This Row],[Index]]-E231,Tab_Compteur_8[[#This Row],[Quantité]])/Tab_Compteur_8[[#This Row],[Delta Jour]],"")&lt;0,"",IFERROR(IF(Str_TypeDonneesCpt8=Cpt_Index,Tab_Compteur_8[[#This Row],[Index]]-E231,Tab_Compteur_8[[#This Row],[Quantité]])/Tab_Compteur_8[[#This Row],[Delta Jour]],""))</f>
        <v/>
      </c>
      <c r="H232" s="193" t="str">
        <f>IFERROR(Tab_Compteur_8[[#This Row],[Montant]]/Tab_Compteur_8[[#This Row],[Delta Jour]],"")</f>
        <v/>
      </c>
      <c r="I232" s="215" t="str">
        <f t="shared" si="9"/>
        <v/>
      </c>
      <c r="J232" s="216"/>
      <c r="K232" s="38"/>
      <c r="L232" s="38"/>
      <c r="M232" s="38"/>
    </row>
    <row r="233" spans="1:13">
      <c r="A233" s="3">
        <f t="shared" si="11"/>
        <v>1</v>
      </c>
      <c r="B233" s="88"/>
      <c r="C233" s="196"/>
      <c r="D233" s="195"/>
      <c r="F233" s="193">
        <f t="shared" si="10"/>
        <v>0</v>
      </c>
      <c r="G233" s="193" t="str">
        <f>IF(IFERROR(IF(Str_TypeDonneesCpt8=Cpt_Index,Tab_Compteur_8[[#This Row],[Index]]-E232,Tab_Compteur_8[[#This Row],[Quantité]])/Tab_Compteur_8[[#This Row],[Delta Jour]],"")&lt;0,"",IFERROR(IF(Str_TypeDonneesCpt8=Cpt_Index,Tab_Compteur_8[[#This Row],[Index]]-E232,Tab_Compteur_8[[#This Row],[Quantité]])/Tab_Compteur_8[[#This Row],[Delta Jour]],""))</f>
        <v/>
      </c>
      <c r="H233" s="193" t="str">
        <f>IFERROR(Tab_Compteur_8[[#This Row],[Montant]]/Tab_Compteur_8[[#This Row],[Delta Jour]],"")</f>
        <v/>
      </c>
      <c r="I233" s="215" t="str">
        <f t="shared" si="9"/>
        <v/>
      </c>
      <c r="J233" s="216"/>
      <c r="K233" s="38"/>
      <c r="L233" s="38"/>
      <c r="M233" s="38"/>
    </row>
    <row r="234" spans="1:13">
      <c r="A234" s="3">
        <f t="shared" si="11"/>
        <v>1</v>
      </c>
      <c r="B234" s="88"/>
      <c r="C234" s="196"/>
      <c r="D234" s="195"/>
      <c r="F234" s="193">
        <f t="shared" si="10"/>
        <v>0</v>
      </c>
      <c r="G234" s="193" t="str">
        <f>IF(IFERROR(IF(Str_TypeDonneesCpt8=Cpt_Index,Tab_Compteur_8[[#This Row],[Index]]-E233,Tab_Compteur_8[[#This Row],[Quantité]])/Tab_Compteur_8[[#This Row],[Delta Jour]],"")&lt;0,"",IFERROR(IF(Str_TypeDonneesCpt8=Cpt_Index,Tab_Compteur_8[[#This Row],[Index]]-E233,Tab_Compteur_8[[#This Row],[Quantité]])/Tab_Compteur_8[[#This Row],[Delta Jour]],""))</f>
        <v/>
      </c>
      <c r="H234" s="193" t="str">
        <f>IFERROR(Tab_Compteur_8[[#This Row],[Montant]]/Tab_Compteur_8[[#This Row],[Delta Jour]],"")</f>
        <v/>
      </c>
      <c r="I234" s="215" t="str">
        <f t="shared" si="9"/>
        <v/>
      </c>
      <c r="J234" s="216"/>
      <c r="K234" s="38"/>
      <c r="L234" s="38"/>
      <c r="M234" s="38"/>
    </row>
    <row r="235" spans="1:13">
      <c r="A235" s="3">
        <f t="shared" si="11"/>
        <v>1</v>
      </c>
      <c r="B235" s="88"/>
      <c r="C235" s="196"/>
      <c r="D235" s="195"/>
      <c r="F235" s="193">
        <f t="shared" si="10"/>
        <v>0</v>
      </c>
      <c r="G235" s="193" t="str">
        <f>IF(IFERROR(IF(Str_TypeDonneesCpt8=Cpt_Index,Tab_Compteur_8[[#This Row],[Index]]-E234,Tab_Compteur_8[[#This Row],[Quantité]])/Tab_Compteur_8[[#This Row],[Delta Jour]],"")&lt;0,"",IFERROR(IF(Str_TypeDonneesCpt8=Cpt_Index,Tab_Compteur_8[[#This Row],[Index]]-E234,Tab_Compteur_8[[#This Row],[Quantité]])/Tab_Compteur_8[[#This Row],[Delta Jour]],""))</f>
        <v/>
      </c>
      <c r="H235" s="193" t="str">
        <f>IFERROR(Tab_Compteur_8[[#This Row],[Montant]]/Tab_Compteur_8[[#This Row],[Delta Jour]],"")</f>
        <v/>
      </c>
      <c r="I235" s="215" t="str">
        <f t="shared" si="9"/>
        <v/>
      </c>
      <c r="J235" s="216"/>
      <c r="K235" s="38"/>
      <c r="L235" s="38"/>
      <c r="M235" s="38"/>
    </row>
    <row r="236" spans="1:13">
      <c r="A236" s="3">
        <f t="shared" si="11"/>
        <v>1</v>
      </c>
      <c r="B236" s="88"/>
      <c r="C236" s="196"/>
      <c r="D236" s="195"/>
      <c r="F236" s="193">
        <f t="shared" si="10"/>
        <v>0</v>
      </c>
      <c r="G236" s="193" t="str">
        <f>IF(IFERROR(IF(Str_TypeDonneesCpt8=Cpt_Index,Tab_Compteur_8[[#This Row],[Index]]-E235,Tab_Compteur_8[[#This Row],[Quantité]])/Tab_Compteur_8[[#This Row],[Delta Jour]],"")&lt;0,"",IFERROR(IF(Str_TypeDonneesCpt8=Cpt_Index,Tab_Compteur_8[[#This Row],[Index]]-E235,Tab_Compteur_8[[#This Row],[Quantité]])/Tab_Compteur_8[[#This Row],[Delta Jour]],""))</f>
        <v/>
      </c>
      <c r="H236" s="193" t="str">
        <f>IFERROR(Tab_Compteur_8[[#This Row],[Montant]]/Tab_Compteur_8[[#This Row],[Delta Jour]],"")</f>
        <v/>
      </c>
      <c r="I236" s="215" t="str">
        <f t="shared" si="9"/>
        <v/>
      </c>
      <c r="J236" s="216"/>
      <c r="K236" s="38"/>
      <c r="L236" s="38"/>
      <c r="M236" s="38"/>
    </row>
    <row r="237" spans="1:13">
      <c r="A237" s="3">
        <f t="shared" si="11"/>
        <v>1</v>
      </c>
      <c r="B237" s="88"/>
      <c r="C237" s="196"/>
      <c r="D237" s="195"/>
      <c r="F237" s="193">
        <f t="shared" si="10"/>
        <v>0</v>
      </c>
      <c r="G237" s="193" t="str">
        <f>IF(IFERROR(IF(Str_TypeDonneesCpt8=Cpt_Index,Tab_Compteur_8[[#This Row],[Index]]-E236,Tab_Compteur_8[[#This Row],[Quantité]])/Tab_Compteur_8[[#This Row],[Delta Jour]],"")&lt;0,"",IFERROR(IF(Str_TypeDonneesCpt8=Cpt_Index,Tab_Compteur_8[[#This Row],[Index]]-E236,Tab_Compteur_8[[#This Row],[Quantité]])/Tab_Compteur_8[[#This Row],[Delta Jour]],""))</f>
        <v/>
      </c>
      <c r="H237" s="193" t="str">
        <f>IFERROR(Tab_Compteur_8[[#This Row],[Montant]]/Tab_Compteur_8[[#This Row],[Delta Jour]],"")</f>
        <v/>
      </c>
      <c r="I237" s="215" t="str">
        <f t="shared" si="9"/>
        <v/>
      </c>
      <c r="J237" s="216"/>
      <c r="K237" s="38"/>
      <c r="L237" s="38"/>
      <c r="M237" s="38"/>
    </row>
    <row r="238" spans="1:13">
      <c r="A238" s="3">
        <f t="shared" si="11"/>
        <v>1</v>
      </c>
      <c r="B238" s="88"/>
      <c r="C238" s="196"/>
      <c r="D238" s="195"/>
      <c r="F238" s="193">
        <f t="shared" si="10"/>
        <v>0</v>
      </c>
      <c r="G238" s="193" t="str">
        <f>IF(IFERROR(IF(Str_TypeDonneesCpt8=Cpt_Index,Tab_Compteur_8[[#This Row],[Index]]-E237,Tab_Compteur_8[[#This Row],[Quantité]])/Tab_Compteur_8[[#This Row],[Delta Jour]],"")&lt;0,"",IFERROR(IF(Str_TypeDonneesCpt8=Cpt_Index,Tab_Compteur_8[[#This Row],[Index]]-E237,Tab_Compteur_8[[#This Row],[Quantité]])/Tab_Compteur_8[[#This Row],[Delta Jour]],""))</f>
        <v/>
      </c>
      <c r="H238" s="193" t="str">
        <f>IFERROR(Tab_Compteur_8[[#This Row],[Montant]]/Tab_Compteur_8[[#This Row],[Delta Jour]],"")</f>
        <v/>
      </c>
      <c r="I238" s="215" t="str">
        <f t="shared" si="9"/>
        <v/>
      </c>
      <c r="J238" s="216"/>
      <c r="K238" s="38"/>
      <c r="L238" s="38"/>
      <c r="M238" s="38"/>
    </row>
    <row r="239" spans="1:13">
      <c r="A239" s="3">
        <f t="shared" si="11"/>
        <v>1</v>
      </c>
      <c r="B239" s="88"/>
      <c r="C239" s="196"/>
      <c r="D239" s="195"/>
      <c r="F239" s="193">
        <f t="shared" si="10"/>
        <v>0</v>
      </c>
      <c r="G239" s="193" t="str">
        <f>IF(IFERROR(IF(Str_TypeDonneesCpt8=Cpt_Index,Tab_Compteur_8[[#This Row],[Index]]-E238,Tab_Compteur_8[[#This Row],[Quantité]])/Tab_Compteur_8[[#This Row],[Delta Jour]],"")&lt;0,"",IFERROR(IF(Str_TypeDonneesCpt8=Cpt_Index,Tab_Compteur_8[[#This Row],[Index]]-E238,Tab_Compteur_8[[#This Row],[Quantité]])/Tab_Compteur_8[[#This Row],[Delta Jour]],""))</f>
        <v/>
      </c>
      <c r="H239" s="193" t="str">
        <f>IFERROR(Tab_Compteur_8[[#This Row],[Montant]]/Tab_Compteur_8[[#This Row],[Delta Jour]],"")</f>
        <v/>
      </c>
      <c r="I239" s="215" t="str">
        <f t="shared" si="9"/>
        <v/>
      </c>
      <c r="J239" s="216"/>
      <c r="K239" s="38"/>
      <c r="L239" s="38"/>
      <c r="M239" s="38"/>
    </row>
    <row r="240" spans="1:13">
      <c r="A240" s="3">
        <f t="shared" si="11"/>
        <v>1</v>
      </c>
      <c r="B240" s="88"/>
      <c r="C240" s="196"/>
      <c r="D240" s="195"/>
      <c r="F240" s="193">
        <f t="shared" si="10"/>
        <v>0</v>
      </c>
      <c r="G240" s="193" t="str">
        <f>IF(IFERROR(IF(Str_TypeDonneesCpt8=Cpt_Index,Tab_Compteur_8[[#This Row],[Index]]-E239,Tab_Compteur_8[[#This Row],[Quantité]])/Tab_Compteur_8[[#This Row],[Delta Jour]],"")&lt;0,"",IFERROR(IF(Str_TypeDonneesCpt8=Cpt_Index,Tab_Compteur_8[[#This Row],[Index]]-E239,Tab_Compteur_8[[#This Row],[Quantité]])/Tab_Compteur_8[[#This Row],[Delta Jour]],""))</f>
        <v/>
      </c>
      <c r="H240" s="193" t="str">
        <f>IFERROR(Tab_Compteur_8[[#This Row],[Montant]]/Tab_Compteur_8[[#This Row],[Delta Jour]],"")</f>
        <v/>
      </c>
      <c r="I240" s="215" t="str">
        <f t="shared" si="9"/>
        <v/>
      </c>
      <c r="J240" s="216"/>
      <c r="K240" s="38"/>
      <c r="L240" s="38"/>
      <c r="M240" s="38"/>
    </row>
    <row r="241" spans="1:13">
      <c r="A241" s="3">
        <f t="shared" si="11"/>
        <v>1</v>
      </c>
      <c r="B241" s="88"/>
      <c r="C241" s="196"/>
      <c r="D241" s="195"/>
      <c r="F241" s="193">
        <f t="shared" si="10"/>
        <v>0</v>
      </c>
      <c r="G241" s="193" t="str">
        <f>IF(IFERROR(IF(Str_TypeDonneesCpt8=Cpt_Index,Tab_Compteur_8[[#This Row],[Index]]-E240,Tab_Compteur_8[[#This Row],[Quantité]])/Tab_Compteur_8[[#This Row],[Delta Jour]],"")&lt;0,"",IFERROR(IF(Str_TypeDonneesCpt8=Cpt_Index,Tab_Compteur_8[[#This Row],[Index]]-E240,Tab_Compteur_8[[#This Row],[Quantité]])/Tab_Compteur_8[[#This Row],[Delta Jour]],""))</f>
        <v/>
      </c>
      <c r="H241" s="193" t="str">
        <f>IFERROR(Tab_Compteur_8[[#This Row],[Montant]]/Tab_Compteur_8[[#This Row],[Delta Jour]],"")</f>
        <v/>
      </c>
      <c r="I241" s="215" t="str">
        <f t="shared" si="9"/>
        <v/>
      </c>
      <c r="J241" s="216"/>
      <c r="K241" s="38"/>
      <c r="L241" s="38"/>
      <c r="M241" s="38"/>
    </row>
    <row r="242" spans="1:13">
      <c r="A242" s="3">
        <f t="shared" si="11"/>
        <v>1</v>
      </c>
      <c r="B242" s="88"/>
      <c r="C242" s="196"/>
      <c r="D242" s="195"/>
      <c r="F242" s="193">
        <f t="shared" si="10"/>
        <v>0</v>
      </c>
      <c r="G242" s="193" t="str">
        <f>IF(IFERROR(IF(Str_TypeDonneesCpt8=Cpt_Index,Tab_Compteur_8[[#This Row],[Index]]-E241,Tab_Compteur_8[[#This Row],[Quantité]])/Tab_Compteur_8[[#This Row],[Delta Jour]],"")&lt;0,"",IFERROR(IF(Str_TypeDonneesCpt8=Cpt_Index,Tab_Compteur_8[[#This Row],[Index]]-E241,Tab_Compteur_8[[#This Row],[Quantité]])/Tab_Compteur_8[[#This Row],[Delta Jour]],""))</f>
        <v/>
      </c>
      <c r="H242" s="193" t="str">
        <f>IFERROR(Tab_Compteur_8[[#This Row],[Montant]]/Tab_Compteur_8[[#This Row],[Delta Jour]],"")</f>
        <v/>
      </c>
      <c r="I242" s="215" t="str">
        <f t="shared" si="9"/>
        <v/>
      </c>
      <c r="J242" s="216"/>
      <c r="K242" s="38"/>
      <c r="L242" s="38"/>
      <c r="M242" s="38"/>
    </row>
    <row r="243" spans="1:13">
      <c r="A243" s="3">
        <f t="shared" si="11"/>
        <v>1</v>
      </c>
      <c r="B243" s="88"/>
      <c r="C243" s="196"/>
      <c r="D243" s="195"/>
      <c r="F243" s="193">
        <f t="shared" si="10"/>
        <v>0</v>
      </c>
      <c r="G243" s="193" t="str">
        <f>IF(IFERROR(IF(Str_TypeDonneesCpt8=Cpt_Index,Tab_Compteur_8[[#This Row],[Index]]-E242,Tab_Compteur_8[[#This Row],[Quantité]])/Tab_Compteur_8[[#This Row],[Delta Jour]],"")&lt;0,"",IFERROR(IF(Str_TypeDonneesCpt8=Cpt_Index,Tab_Compteur_8[[#This Row],[Index]]-E242,Tab_Compteur_8[[#This Row],[Quantité]])/Tab_Compteur_8[[#This Row],[Delta Jour]],""))</f>
        <v/>
      </c>
      <c r="H243" s="193" t="str">
        <f>IFERROR(Tab_Compteur_8[[#This Row],[Montant]]/Tab_Compteur_8[[#This Row],[Delta Jour]],"")</f>
        <v/>
      </c>
      <c r="I243" s="215" t="str">
        <f t="shared" si="9"/>
        <v/>
      </c>
      <c r="J243" s="216"/>
      <c r="K243" s="38"/>
      <c r="L243" s="38"/>
      <c r="M243" s="38"/>
    </row>
  </sheetData>
  <sheetProtection sheet="1" objects="1" scenarios="1"/>
  <protectedRanges>
    <protectedRange sqref="J2:J10 J34:J243 K244:K1048576" name="Plage3"/>
    <protectedRange sqref="C4:D59" name="Donnée_compteur1"/>
    <protectedRange sqref="C60:D243 A4:B243" name="Données_compteur"/>
    <protectedRange sqref="L2:M2" name="Données_compteur7"/>
    <protectedRange sqref="J11:M33" name="Données_compteur3_3_1"/>
    <protectedRange sqref="E2" name="Compteur_1_1"/>
    <protectedRange sqref="I2" name="Compteur_1_1_1"/>
    <protectedRange sqref="K4:M4" name="Compteur_1"/>
    <protectedRange sqref="L1 E1 I1" name="Compteur_1_2"/>
  </protectedRanges>
  <mergeCells count="2">
    <mergeCell ref="L2:M2"/>
    <mergeCell ref="K11:M33"/>
  </mergeCells>
  <conditionalFormatting sqref="B4:B243">
    <cfRule type="expression" dxfId="28" priority="1">
      <formula>$B4&lt;$A4</formula>
    </cfRule>
  </conditionalFormatting>
  <pageMargins left="0.7" right="0.7" top="0.75" bottom="0.75" header="0.3" footer="0.3"/>
  <pageSetup paperSize="9" orientation="portrait" r:id="rId1"/>
  <drawing r:id="rId2"/>
  <legacyDrawing r:id="rId3"/>
  <tableParts count="1">
    <tablePart r:id="rId4"/>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6"/>
  <dimension ref="A1:Q238"/>
  <sheetViews>
    <sheetView workbookViewId="0">
      <selection activeCell="N10" sqref="N10"/>
    </sheetView>
  </sheetViews>
  <sheetFormatPr baseColWidth="10" defaultRowHeight="14.5"/>
  <cols>
    <col min="1" max="1" width="16.1796875" style="193" customWidth="1"/>
    <col min="2" max="2" width="28.453125" customWidth="1"/>
    <col min="3" max="3" width="17.26953125" customWidth="1"/>
    <col min="4" max="4" width="22.26953125" style="244" customWidth="1"/>
    <col min="5" max="5" width="14.81640625" style="265" customWidth="1"/>
    <col min="6" max="6" width="13.7265625" style="244" customWidth="1"/>
    <col min="7" max="7" width="18.81640625" style="244" customWidth="1"/>
    <col min="8" max="8" width="18.81640625" style="293" customWidth="1"/>
    <col min="9" max="9" width="32.1796875" style="193" customWidth="1"/>
    <col min="10" max="10" width="22.26953125" hidden="1" customWidth="1"/>
    <col min="11" max="11" width="9.26953125" style="193" customWidth="1"/>
    <col min="12" max="12" width="44.54296875" style="193" customWidth="1"/>
    <col min="13" max="13" width="11.453125" customWidth="1"/>
    <col min="16" max="16" width="21" hidden="1" customWidth="1"/>
    <col min="17" max="17" width="21" bestFit="1" customWidth="1"/>
  </cols>
  <sheetData>
    <row r="1" spans="1:17" ht="51" customHeight="1">
      <c r="A1" s="259" t="s">
        <v>471</v>
      </c>
      <c r="B1" s="260" t="s">
        <v>472</v>
      </c>
      <c r="C1" s="260" t="s">
        <v>455</v>
      </c>
      <c r="D1" s="260" t="s">
        <v>454</v>
      </c>
      <c r="E1" s="257" t="s">
        <v>470</v>
      </c>
      <c r="F1" s="257" t="s">
        <v>402</v>
      </c>
      <c r="G1" s="255" t="s">
        <v>403</v>
      </c>
      <c r="H1" s="257" t="s">
        <v>525</v>
      </c>
      <c r="I1" s="261" t="s">
        <v>453</v>
      </c>
      <c r="J1" t="s">
        <v>456</v>
      </c>
      <c r="L1" s="250" t="s">
        <v>459</v>
      </c>
      <c r="M1" s="413"/>
      <c r="N1" s="413"/>
      <c r="O1" s="413"/>
      <c r="P1" s="413"/>
      <c r="Q1" s="413"/>
    </row>
    <row r="2" spans="1:17">
      <c r="A2" s="296"/>
      <c r="B2" s="297"/>
      <c r="C2" s="299"/>
      <c r="D2" s="288" t="str">
        <f>IF(Tableau12[[#This Row],[Quantité restante dans la cuve
(si remplissage, valeur 
avant le plein)]]&lt;=0,"",Tableau12[[#This Row],[Quantité restante dans la cuve
(si remplissage, valeur 
avant le plein)]]+Tableau12[[#This Row],[Remplissage / 
Quantité remise]])</f>
        <v/>
      </c>
      <c r="E2" s="258"/>
      <c r="F2" s="254"/>
      <c r="G2" s="249"/>
      <c r="H2" s="249"/>
      <c r="I2" s="251"/>
      <c r="J2" s="246"/>
      <c r="L2" s="414" t="s">
        <v>457</v>
      </c>
      <c r="M2" s="193"/>
      <c r="N2" s="413"/>
      <c r="O2" s="413"/>
      <c r="P2" s="413" t="s">
        <v>464</v>
      </c>
      <c r="Q2" s="413"/>
    </row>
    <row r="3" spans="1:17">
      <c r="A3" s="298"/>
      <c r="B3" s="299"/>
      <c r="C3" s="299"/>
      <c r="D3" s="288" t="str">
        <f>IF(Tableau12[[#This Row],[Quantité restante dans la cuve
(si remplissage, valeur 
avant le plein)]]&lt;=0,"",Tableau12[[#This Row],[Quantité restante dans la cuve
(si remplissage, valeur 
avant le plein)]]+Tableau12[[#This Row],[Remplissage / 
Quantité remise]])</f>
        <v/>
      </c>
      <c r="E3" s="245" t="str">
        <f>IFERROR(G3/(A3-A2),"")</f>
        <v/>
      </c>
      <c r="F3" s="303" t="str">
        <f>IF(A3="","",A3)</f>
        <v/>
      </c>
      <c r="G3" s="304" t="str">
        <f>IF(B3&lt;=0,"",D2-B3)</f>
        <v/>
      </c>
      <c r="H3" s="304"/>
      <c r="I3" s="252"/>
      <c r="J3" s="247" t="str">
        <f>IF(C2&lt;=0,IF(B3&gt;B2,"Erreur saisie","Saisie ok"),"Saisie ok, plein fait")</f>
        <v>Saisie ok</v>
      </c>
      <c r="L3" s="307" t="s">
        <v>473</v>
      </c>
      <c r="M3" s="193"/>
      <c r="N3" s="413"/>
      <c r="O3" s="413"/>
      <c r="P3" s="413" t="s">
        <v>465</v>
      </c>
      <c r="Q3" s="248"/>
    </row>
    <row r="4" spans="1:17">
      <c r="A4" s="298"/>
      <c r="B4" s="299"/>
      <c r="C4" s="299"/>
      <c r="D4" s="288" t="str">
        <f>IF(Tableau12[[#This Row],[Quantité restante dans la cuve
(si remplissage, valeur 
avant le plein)]]&lt;=0,"",Tableau12[[#This Row],[Quantité restante dans la cuve
(si remplissage, valeur 
avant le plein)]]+Tableau12[[#This Row],[Remplissage / 
Quantité remise]])</f>
        <v/>
      </c>
      <c r="E4" s="245" t="str">
        <f t="shared" ref="E4:E67" si="0">IFERROR(G4/(A4-A3),"")</f>
        <v/>
      </c>
      <c r="F4" s="303" t="str">
        <f t="shared" ref="F4:F67" si="1">IF(A4="","",A4)</f>
        <v/>
      </c>
      <c r="G4" s="304" t="str">
        <f t="shared" ref="G4:G67" si="2">IF(B4&lt;=0,"",D3-B4)</f>
        <v/>
      </c>
      <c r="H4" s="304"/>
      <c r="I4" s="252"/>
      <c r="J4" s="247" t="str">
        <f t="shared" ref="J4:J67" si="3">IF(C3&lt;=0,IF(B4&gt;B3,"Erreur saisie","Saisie ok"),"Saisie ok, plein fait")</f>
        <v>Saisie ok</v>
      </c>
      <c r="L4" s="415" t="s">
        <v>458</v>
      </c>
      <c r="M4" s="193"/>
      <c r="N4" s="413"/>
      <c r="O4" s="413"/>
      <c r="P4" s="413" t="s">
        <v>466</v>
      </c>
      <c r="Q4" s="248"/>
    </row>
    <row r="5" spans="1:17">
      <c r="A5" s="298"/>
      <c r="B5" s="299"/>
      <c r="C5" s="299"/>
      <c r="D5" s="288" t="str">
        <f>IF(Tableau12[[#This Row],[Quantité restante dans la cuve
(si remplissage, valeur 
avant le plein)]]&lt;=0,"",Tableau12[[#This Row],[Quantité restante dans la cuve
(si remplissage, valeur 
avant le plein)]]+Tableau12[[#This Row],[Remplissage / 
Quantité remise]])</f>
        <v/>
      </c>
      <c r="E5" s="245" t="str">
        <f t="shared" si="0"/>
        <v/>
      </c>
      <c r="F5" s="303" t="str">
        <f t="shared" si="1"/>
        <v/>
      </c>
      <c r="G5" s="304" t="str">
        <f t="shared" si="2"/>
        <v/>
      </c>
      <c r="H5" s="304"/>
      <c r="I5" s="252"/>
      <c r="J5" s="247" t="str">
        <f t="shared" si="3"/>
        <v>Saisie ok</v>
      </c>
      <c r="L5" s="308" t="s">
        <v>474</v>
      </c>
      <c r="M5" s="193"/>
      <c r="N5" s="413"/>
      <c r="O5" s="413"/>
      <c r="P5" s="413" t="s">
        <v>469</v>
      </c>
      <c r="Q5" s="248"/>
    </row>
    <row r="6" spans="1:17">
      <c r="A6" s="298"/>
      <c r="B6" s="299"/>
      <c r="C6" s="299"/>
      <c r="D6" s="288" t="str">
        <f>IF(Tableau12[[#This Row],[Quantité restante dans la cuve
(si remplissage, valeur 
avant le plein)]]&lt;=0,"",Tableau12[[#This Row],[Quantité restante dans la cuve
(si remplissage, valeur 
avant le plein)]]+Tableau12[[#This Row],[Remplissage / 
Quantité remise]])</f>
        <v/>
      </c>
      <c r="E6" s="245" t="str">
        <f t="shared" si="0"/>
        <v/>
      </c>
      <c r="F6" s="303" t="str">
        <f t="shared" si="1"/>
        <v/>
      </c>
      <c r="G6" s="304" t="str">
        <f t="shared" si="2"/>
        <v/>
      </c>
      <c r="H6" s="304"/>
      <c r="I6" s="252"/>
      <c r="J6" s="247" t="str">
        <f t="shared" si="3"/>
        <v>Saisie ok</v>
      </c>
      <c r="L6" s="415" t="s">
        <v>462</v>
      </c>
      <c r="M6" s="193"/>
      <c r="N6" s="413"/>
      <c r="O6" s="413"/>
      <c r="P6" s="413"/>
      <c r="Q6" s="248"/>
    </row>
    <row r="7" spans="1:17">
      <c r="A7" s="300"/>
      <c r="B7" s="301"/>
      <c r="C7" s="301"/>
      <c r="D7" s="288" t="str">
        <f>IF(Tableau12[[#This Row],[Quantité restante dans la cuve
(si remplissage, valeur 
avant le plein)]]&lt;=0,"",Tableau12[[#This Row],[Quantité restante dans la cuve
(si remplissage, valeur 
avant le plein)]]+Tableau12[[#This Row],[Remplissage / 
Quantité remise]])</f>
        <v/>
      </c>
      <c r="E7" s="245" t="str">
        <f t="shared" si="0"/>
        <v/>
      </c>
      <c r="F7" s="303" t="str">
        <f t="shared" si="1"/>
        <v/>
      </c>
      <c r="G7" s="304" t="str">
        <f t="shared" si="2"/>
        <v/>
      </c>
      <c r="H7" s="306"/>
      <c r="I7" s="253"/>
      <c r="J7" s="247" t="str">
        <f t="shared" si="3"/>
        <v>Saisie ok</v>
      </c>
      <c r="L7" s="308" t="s">
        <v>465</v>
      </c>
      <c r="M7" s="193"/>
      <c r="N7" s="413"/>
      <c r="O7" s="413"/>
      <c r="P7" s="413"/>
      <c r="Q7" s="248"/>
    </row>
    <row r="8" spans="1:17">
      <c r="A8" s="300"/>
      <c r="B8" s="301"/>
      <c r="C8" s="301"/>
      <c r="D8" s="288" t="str">
        <f>IF(Tableau12[[#This Row],[Quantité restante dans la cuve
(si remplissage, valeur 
avant le plein)]]&lt;=0,"",Tableau12[[#This Row],[Quantité restante dans la cuve
(si remplissage, valeur 
avant le plein)]]+Tableau12[[#This Row],[Remplissage / 
Quantité remise]])</f>
        <v/>
      </c>
      <c r="E8" s="245" t="str">
        <f t="shared" si="0"/>
        <v/>
      </c>
      <c r="F8" s="303" t="str">
        <f t="shared" si="1"/>
        <v/>
      </c>
      <c r="G8" s="304" t="str">
        <f t="shared" si="2"/>
        <v/>
      </c>
      <c r="H8" s="306"/>
      <c r="I8" s="253"/>
      <c r="J8" s="247" t="str">
        <f t="shared" si="3"/>
        <v>Saisie ok</v>
      </c>
      <c r="L8" s="415" t="s">
        <v>468</v>
      </c>
      <c r="M8" s="193"/>
      <c r="N8" s="413"/>
      <c r="O8" s="413"/>
      <c r="P8" s="413"/>
      <c r="Q8" s="248"/>
    </row>
    <row r="9" spans="1:17">
      <c r="A9" s="300"/>
      <c r="B9" s="301"/>
      <c r="C9" s="301"/>
      <c r="D9" s="288" t="str">
        <f>IF(Tableau12[[#This Row],[Quantité restante dans la cuve
(si remplissage, valeur 
avant le plein)]]&lt;=0,"",Tableau12[[#This Row],[Quantité restante dans la cuve
(si remplissage, valeur 
avant le plein)]]+Tableau12[[#This Row],[Remplissage / 
Quantité remise]])</f>
        <v/>
      </c>
      <c r="E9" s="245" t="str">
        <f t="shared" si="0"/>
        <v/>
      </c>
      <c r="F9" s="303" t="str">
        <f t="shared" si="1"/>
        <v/>
      </c>
      <c r="G9" s="304" t="str">
        <f t="shared" si="2"/>
        <v/>
      </c>
      <c r="H9" s="306"/>
      <c r="I9" s="253"/>
      <c r="J9" s="247" t="str">
        <f t="shared" si="3"/>
        <v>Saisie ok</v>
      </c>
      <c r="L9" s="309"/>
      <c r="M9" s="193"/>
      <c r="N9" s="413"/>
      <c r="O9" s="413"/>
      <c r="P9" s="413"/>
      <c r="Q9" s="248"/>
    </row>
    <row r="10" spans="1:17">
      <c r="A10" s="300"/>
      <c r="B10" s="301"/>
      <c r="C10" s="301"/>
      <c r="D10" s="288" t="str">
        <f>IF(Tableau12[[#This Row],[Quantité restante dans la cuve
(si remplissage, valeur 
avant le plein)]]&lt;=0,"",Tableau12[[#This Row],[Quantité restante dans la cuve
(si remplissage, valeur 
avant le plein)]]+Tableau12[[#This Row],[Remplissage / 
Quantité remise]])</f>
        <v/>
      </c>
      <c r="E10" s="245" t="str">
        <f t="shared" si="0"/>
        <v/>
      </c>
      <c r="F10" s="303" t="str">
        <f t="shared" si="1"/>
        <v/>
      </c>
      <c r="G10" s="304" t="str">
        <f t="shared" si="2"/>
        <v/>
      </c>
      <c r="H10" s="306"/>
      <c r="I10" s="253"/>
      <c r="J10" s="247" t="str">
        <f t="shared" si="3"/>
        <v>Saisie ok</v>
      </c>
      <c r="L10" s="415" t="s">
        <v>463</v>
      </c>
      <c r="M10" s="193"/>
      <c r="N10" s="413"/>
      <c r="O10" s="413"/>
      <c r="P10" s="413"/>
      <c r="Q10" s="413"/>
    </row>
    <row r="11" spans="1:17">
      <c r="A11" s="298"/>
      <c r="B11" s="299"/>
      <c r="C11" s="299"/>
      <c r="D11" s="288" t="str">
        <f>IF(Tableau12[[#This Row],[Quantité restante dans la cuve
(si remplissage, valeur 
avant le plein)]]&lt;=0,"",Tableau12[[#This Row],[Quantité restante dans la cuve
(si remplissage, valeur 
avant le plein)]]+Tableau12[[#This Row],[Remplissage / 
Quantité remise]])</f>
        <v/>
      </c>
      <c r="E11" s="245" t="str">
        <f t="shared" si="0"/>
        <v/>
      </c>
      <c r="F11" s="303" t="str">
        <f t="shared" si="1"/>
        <v/>
      </c>
      <c r="G11" s="304" t="str">
        <f t="shared" si="2"/>
        <v/>
      </c>
      <c r="H11" s="304"/>
      <c r="I11" s="252"/>
      <c r="J11" s="247" t="str">
        <f t="shared" si="3"/>
        <v>Saisie ok</v>
      </c>
      <c r="L11" s="310"/>
      <c r="M11" s="193"/>
      <c r="N11" s="413"/>
      <c r="O11" s="413"/>
      <c r="P11" s="413"/>
      <c r="Q11" s="413"/>
    </row>
    <row r="12" spans="1:17">
      <c r="A12" s="298"/>
      <c r="B12" s="299"/>
      <c r="C12" s="299"/>
      <c r="D12" s="288" t="str">
        <f>IF(Tableau12[[#This Row],[Quantité restante dans la cuve
(si remplissage, valeur 
avant le plein)]]&lt;=0,"",Tableau12[[#This Row],[Quantité restante dans la cuve
(si remplissage, valeur 
avant le plein)]]+Tableau12[[#This Row],[Remplissage / 
Quantité remise]])</f>
        <v/>
      </c>
      <c r="E12" s="245" t="str">
        <f t="shared" si="0"/>
        <v/>
      </c>
      <c r="F12" s="303" t="str">
        <f t="shared" si="1"/>
        <v/>
      </c>
      <c r="G12" s="304" t="str">
        <f t="shared" si="2"/>
        <v/>
      </c>
      <c r="H12" s="304"/>
      <c r="I12" s="252"/>
      <c r="J12" s="247" t="str">
        <f t="shared" si="3"/>
        <v>Saisie ok</v>
      </c>
      <c r="L12" s="415" t="s">
        <v>467</v>
      </c>
      <c r="M12" s="193"/>
      <c r="N12" s="413"/>
      <c r="O12" s="413"/>
      <c r="P12" s="413"/>
      <c r="Q12" s="413"/>
    </row>
    <row r="13" spans="1:17">
      <c r="A13" s="298"/>
      <c r="B13" s="299"/>
      <c r="C13" s="299"/>
      <c r="D13" s="288" t="str">
        <f>IF(Tableau12[[#This Row],[Quantité restante dans la cuve
(si remplissage, valeur 
avant le plein)]]&lt;=0,"",Tableau12[[#This Row],[Quantité restante dans la cuve
(si remplissage, valeur 
avant le plein)]]+Tableau12[[#This Row],[Remplissage / 
Quantité remise]])</f>
        <v/>
      </c>
      <c r="E13" s="245" t="str">
        <f t="shared" si="0"/>
        <v/>
      </c>
      <c r="F13" s="303" t="str">
        <f t="shared" si="1"/>
        <v/>
      </c>
      <c r="G13" s="304" t="str">
        <f t="shared" si="2"/>
        <v/>
      </c>
      <c r="H13" s="304"/>
      <c r="I13" s="252"/>
      <c r="J13" s="247" t="str">
        <f t="shared" si="3"/>
        <v>Saisie ok</v>
      </c>
      <c r="L13" s="326">
        <f>IF(L7=P3,L9*L11,)</f>
        <v>0</v>
      </c>
      <c r="M13" s="193"/>
      <c r="N13" s="413"/>
      <c r="O13" s="413"/>
      <c r="P13" s="413"/>
      <c r="Q13" s="413"/>
    </row>
    <row r="14" spans="1:17">
      <c r="A14" s="298"/>
      <c r="B14" s="299"/>
      <c r="C14" s="299"/>
      <c r="D14" s="288" t="str">
        <f>IF(Tableau12[[#This Row],[Quantité restante dans la cuve
(si remplissage, valeur 
avant le plein)]]&lt;=0,"",Tableau12[[#This Row],[Quantité restante dans la cuve
(si remplissage, valeur 
avant le plein)]]+Tableau12[[#This Row],[Remplissage / 
Quantité remise]])</f>
        <v/>
      </c>
      <c r="E14" s="245" t="str">
        <f t="shared" si="0"/>
        <v/>
      </c>
      <c r="F14" s="303" t="str">
        <f t="shared" si="1"/>
        <v/>
      </c>
      <c r="G14" s="304" t="str">
        <f t="shared" si="2"/>
        <v/>
      </c>
      <c r="H14" s="304"/>
      <c r="I14" s="252"/>
      <c r="J14" s="247" t="str">
        <f t="shared" si="3"/>
        <v>Saisie ok</v>
      </c>
      <c r="M14" s="413"/>
      <c r="N14" s="413"/>
      <c r="O14" s="413"/>
      <c r="P14" s="413"/>
      <c r="Q14" s="413"/>
    </row>
    <row r="15" spans="1:17">
      <c r="A15" s="298"/>
      <c r="B15" s="299"/>
      <c r="C15" s="299"/>
      <c r="D15" s="288" t="str">
        <f>IF(Tableau12[[#This Row],[Quantité restante dans la cuve
(si remplissage, valeur 
avant le plein)]]&lt;=0,"",Tableau12[[#This Row],[Quantité restante dans la cuve
(si remplissage, valeur 
avant le plein)]]+Tableau12[[#This Row],[Remplissage / 
Quantité remise]])</f>
        <v/>
      </c>
      <c r="E15" s="245" t="str">
        <f t="shared" si="0"/>
        <v/>
      </c>
      <c r="F15" s="303" t="str">
        <f t="shared" si="1"/>
        <v/>
      </c>
      <c r="G15" s="304" t="str">
        <f t="shared" si="2"/>
        <v/>
      </c>
      <c r="H15" s="304"/>
      <c r="I15" s="252"/>
      <c r="J15" s="247" t="str">
        <f t="shared" si="3"/>
        <v>Saisie ok</v>
      </c>
      <c r="M15" s="413"/>
      <c r="N15" s="413"/>
      <c r="O15" s="413"/>
      <c r="P15" s="413"/>
      <c r="Q15" s="413"/>
    </row>
    <row r="16" spans="1:17">
      <c r="A16" s="298"/>
      <c r="B16" s="299"/>
      <c r="C16" s="299"/>
      <c r="D16" s="288" t="str">
        <f>IF(Tableau12[[#This Row],[Quantité restante dans la cuve
(si remplissage, valeur 
avant le plein)]]&lt;=0,"",Tableau12[[#This Row],[Quantité restante dans la cuve
(si remplissage, valeur 
avant le plein)]]+Tableau12[[#This Row],[Remplissage / 
Quantité remise]])</f>
        <v/>
      </c>
      <c r="E16" s="245" t="str">
        <f t="shared" si="0"/>
        <v/>
      </c>
      <c r="F16" s="303" t="str">
        <f t="shared" si="1"/>
        <v/>
      </c>
      <c r="G16" s="304" t="str">
        <f t="shared" si="2"/>
        <v/>
      </c>
      <c r="H16" s="304"/>
      <c r="I16" s="252"/>
      <c r="J16" s="247" t="str">
        <f t="shared" si="3"/>
        <v>Saisie ok</v>
      </c>
      <c r="M16" s="413"/>
      <c r="N16" s="413"/>
      <c r="O16" s="413"/>
      <c r="P16" s="413"/>
      <c r="Q16" s="413"/>
    </row>
    <row r="17" spans="1:17">
      <c r="A17" s="298"/>
      <c r="B17" s="299"/>
      <c r="C17" s="299"/>
      <c r="D17" s="288" t="str">
        <f>IF(Tableau12[[#This Row],[Quantité restante dans la cuve
(si remplissage, valeur 
avant le plein)]]&lt;=0,"",Tableau12[[#This Row],[Quantité restante dans la cuve
(si remplissage, valeur 
avant le plein)]]+Tableau12[[#This Row],[Remplissage / 
Quantité remise]])</f>
        <v/>
      </c>
      <c r="E17" s="245" t="str">
        <f t="shared" si="0"/>
        <v/>
      </c>
      <c r="F17" s="303" t="str">
        <f t="shared" si="1"/>
        <v/>
      </c>
      <c r="G17" s="304" t="str">
        <f t="shared" si="2"/>
        <v/>
      </c>
      <c r="H17" s="304"/>
      <c r="I17" s="252"/>
      <c r="J17" s="247" t="str">
        <f t="shared" si="3"/>
        <v>Saisie ok</v>
      </c>
      <c r="L17" s="416" t="s">
        <v>520</v>
      </c>
      <c r="M17" s="417"/>
      <c r="N17" s="418"/>
      <c r="O17" s="413"/>
      <c r="P17" s="413"/>
      <c r="Q17" s="413"/>
    </row>
    <row r="18" spans="1:17">
      <c r="A18" s="298"/>
      <c r="B18" s="299"/>
      <c r="C18" s="299"/>
      <c r="D18" s="288" t="str">
        <f>IF(Tableau12[[#This Row],[Quantité restante dans la cuve
(si remplissage, valeur 
avant le plein)]]&lt;=0,"",Tableau12[[#This Row],[Quantité restante dans la cuve
(si remplissage, valeur 
avant le plein)]]+Tableau12[[#This Row],[Remplissage / 
Quantité remise]])</f>
        <v/>
      </c>
      <c r="E18" s="245" t="str">
        <f t="shared" si="0"/>
        <v/>
      </c>
      <c r="F18" s="303" t="str">
        <f t="shared" si="1"/>
        <v/>
      </c>
      <c r="G18" s="304" t="str">
        <f t="shared" si="2"/>
        <v/>
      </c>
      <c r="H18" s="304"/>
      <c r="I18" s="252"/>
      <c r="J18" s="247" t="str">
        <f t="shared" si="3"/>
        <v>Saisie ok</v>
      </c>
      <c r="M18" s="413"/>
      <c r="N18" s="413"/>
      <c r="O18" s="413"/>
      <c r="P18" s="413"/>
      <c r="Q18" s="413"/>
    </row>
    <row r="19" spans="1:17">
      <c r="A19" s="298"/>
      <c r="B19" s="299"/>
      <c r="C19" s="299"/>
      <c r="D19" s="288" t="str">
        <f>IF(Tableau12[[#This Row],[Quantité restante dans la cuve
(si remplissage, valeur 
avant le plein)]]&lt;=0,"",Tableau12[[#This Row],[Quantité restante dans la cuve
(si remplissage, valeur 
avant le plein)]]+Tableau12[[#This Row],[Remplissage / 
Quantité remise]])</f>
        <v/>
      </c>
      <c r="E19" s="245" t="str">
        <f t="shared" si="0"/>
        <v/>
      </c>
      <c r="F19" s="303" t="str">
        <f t="shared" si="1"/>
        <v/>
      </c>
      <c r="G19" s="304" t="str">
        <f t="shared" si="2"/>
        <v/>
      </c>
      <c r="H19" s="304"/>
      <c r="I19" s="252"/>
      <c r="J19" s="247" t="str">
        <f t="shared" si="3"/>
        <v>Saisie ok</v>
      </c>
      <c r="L19" s="305" t="s">
        <v>521</v>
      </c>
      <c r="M19" s="413"/>
      <c r="N19" s="413"/>
      <c r="O19" s="413"/>
      <c r="P19" s="413"/>
      <c r="Q19" s="413"/>
    </row>
    <row r="20" spans="1:17">
      <c r="A20" s="298"/>
      <c r="B20" s="299"/>
      <c r="C20" s="299"/>
      <c r="D20" s="288" t="str">
        <f>IF(Tableau12[[#This Row],[Quantité restante dans la cuve
(si remplissage, valeur 
avant le plein)]]&lt;=0,"",Tableau12[[#This Row],[Quantité restante dans la cuve
(si remplissage, valeur 
avant le plein)]]+Tableau12[[#This Row],[Remplissage / 
Quantité remise]])</f>
        <v/>
      </c>
      <c r="E20" s="245" t="str">
        <f t="shared" si="0"/>
        <v/>
      </c>
      <c r="F20" s="303" t="str">
        <f t="shared" si="1"/>
        <v/>
      </c>
      <c r="G20" s="304" t="str">
        <f t="shared" si="2"/>
        <v/>
      </c>
      <c r="H20" s="304"/>
      <c r="I20" s="252"/>
      <c r="J20" s="247" t="str">
        <f t="shared" si="3"/>
        <v>Saisie ok</v>
      </c>
      <c r="L20" s="302" t="s">
        <v>834</v>
      </c>
      <c r="M20" s="413"/>
      <c r="N20" s="413"/>
      <c r="O20" s="413"/>
      <c r="P20" s="413"/>
      <c r="Q20" s="413"/>
    </row>
    <row r="21" spans="1:17">
      <c r="A21" s="298"/>
      <c r="B21" s="299"/>
      <c r="C21" s="299"/>
      <c r="D21" s="288" t="str">
        <f>IF(Tableau12[[#This Row],[Quantité restante dans la cuve
(si remplissage, valeur 
avant le plein)]]&lt;=0,"",Tableau12[[#This Row],[Quantité restante dans la cuve
(si remplissage, valeur 
avant le plein)]]+Tableau12[[#This Row],[Remplissage / 
Quantité remise]])</f>
        <v/>
      </c>
      <c r="E21" s="245" t="str">
        <f t="shared" si="0"/>
        <v/>
      </c>
      <c r="F21" s="303" t="str">
        <f t="shared" si="1"/>
        <v/>
      </c>
      <c r="G21" s="304" t="str">
        <f t="shared" si="2"/>
        <v/>
      </c>
      <c r="H21" s="304"/>
      <c r="I21" s="252"/>
      <c r="J21" s="247" t="str">
        <f t="shared" si="3"/>
        <v>Saisie ok</v>
      </c>
      <c r="L21" s="302" t="s">
        <v>835</v>
      </c>
      <c r="M21" s="413"/>
      <c r="N21" s="413"/>
      <c r="O21" s="413"/>
      <c r="P21" s="413"/>
      <c r="Q21" s="413"/>
    </row>
    <row r="22" spans="1:17">
      <c r="A22" s="298"/>
      <c r="B22" s="299"/>
      <c r="C22" s="299"/>
      <c r="D22" s="288" t="str">
        <f>IF(Tableau12[[#This Row],[Quantité restante dans la cuve
(si remplissage, valeur 
avant le plein)]]&lt;=0,"",Tableau12[[#This Row],[Quantité restante dans la cuve
(si remplissage, valeur 
avant le plein)]]+Tableau12[[#This Row],[Remplissage / 
Quantité remise]])</f>
        <v/>
      </c>
      <c r="E22" s="245" t="str">
        <f t="shared" si="0"/>
        <v/>
      </c>
      <c r="F22" s="303" t="str">
        <f t="shared" si="1"/>
        <v/>
      </c>
      <c r="G22" s="304" t="str">
        <f t="shared" si="2"/>
        <v/>
      </c>
      <c r="H22" s="304"/>
      <c r="I22" s="252"/>
      <c r="J22" s="247" t="str">
        <f t="shared" si="3"/>
        <v>Saisie ok</v>
      </c>
      <c r="L22" s="302" t="s">
        <v>523</v>
      </c>
      <c r="M22" s="413"/>
      <c r="N22" s="413"/>
      <c r="O22" s="413"/>
      <c r="P22" s="413"/>
      <c r="Q22" s="413"/>
    </row>
    <row r="23" spans="1:17">
      <c r="A23" s="298"/>
      <c r="B23" s="299"/>
      <c r="C23" s="299"/>
      <c r="D23" s="288" t="str">
        <f>IF(Tableau12[[#This Row],[Quantité restante dans la cuve
(si remplissage, valeur 
avant le plein)]]&lt;=0,"",Tableau12[[#This Row],[Quantité restante dans la cuve
(si remplissage, valeur 
avant le plein)]]+Tableau12[[#This Row],[Remplissage / 
Quantité remise]])</f>
        <v/>
      </c>
      <c r="E23" s="245" t="str">
        <f t="shared" si="0"/>
        <v/>
      </c>
      <c r="F23" s="303" t="str">
        <f t="shared" si="1"/>
        <v/>
      </c>
      <c r="G23" s="304" t="str">
        <f t="shared" si="2"/>
        <v/>
      </c>
      <c r="H23" s="304"/>
      <c r="I23" s="252"/>
      <c r="J23" s="247" t="str">
        <f t="shared" si="3"/>
        <v>Saisie ok</v>
      </c>
      <c r="M23" s="413"/>
      <c r="N23" s="413"/>
      <c r="O23" s="413"/>
      <c r="P23" s="413"/>
      <c r="Q23" s="413"/>
    </row>
    <row r="24" spans="1:17">
      <c r="A24" s="298"/>
      <c r="B24" s="299"/>
      <c r="C24" s="299"/>
      <c r="D24" s="288" t="str">
        <f>IF(Tableau12[[#This Row],[Quantité restante dans la cuve
(si remplissage, valeur 
avant le plein)]]&lt;=0,"",Tableau12[[#This Row],[Quantité restante dans la cuve
(si remplissage, valeur 
avant le plein)]]+Tableau12[[#This Row],[Remplissage / 
Quantité remise]])</f>
        <v/>
      </c>
      <c r="E24" s="245" t="str">
        <f t="shared" si="0"/>
        <v/>
      </c>
      <c r="F24" s="303" t="str">
        <f t="shared" si="1"/>
        <v/>
      </c>
      <c r="G24" s="304" t="str">
        <f t="shared" si="2"/>
        <v/>
      </c>
      <c r="H24" s="304"/>
      <c r="I24" s="252"/>
      <c r="J24" s="247" t="str">
        <f t="shared" si="3"/>
        <v>Saisie ok</v>
      </c>
      <c r="L24" s="302" t="s">
        <v>524</v>
      </c>
      <c r="M24" s="413"/>
      <c r="N24" s="413"/>
      <c r="O24" s="413"/>
      <c r="P24" s="413"/>
      <c r="Q24" s="413"/>
    </row>
    <row r="25" spans="1:17">
      <c r="A25" s="298"/>
      <c r="B25" s="299"/>
      <c r="C25" s="299"/>
      <c r="D25" s="288" t="str">
        <f>IF(Tableau12[[#This Row],[Quantité restante dans la cuve
(si remplissage, valeur 
avant le plein)]]&lt;=0,"",Tableau12[[#This Row],[Quantité restante dans la cuve
(si remplissage, valeur 
avant le plein)]]+Tableau12[[#This Row],[Remplissage / 
Quantité remise]])</f>
        <v/>
      </c>
      <c r="E25" s="245" t="str">
        <f t="shared" si="0"/>
        <v/>
      </c>
      <c r="F25" s="303" t="str">
        <f t="shared" si="1"/>
        <v/>
      </c>
      <c r="G25" s="304" t="str">
        <f t="shared" si="2"/>
        <v/>
      </c>
      <c r="H25" s="304"/>
      <c r="I25" s="252"/>
      <c r="J25" s="247" t="str">
        <f t="shared" si="3"/>
        <v>Saisie ok</v>
      </c>
      <c r="L25" s="302" t="s">
        <v>522</v>
      </c>
      <c r="M25" s="413"/>
      <c r="N25" s="413"/>
      <c r="O25" s="413"/>
      <c r="P25" s="413"/>
      <c r="Q25" s="413"/>
    </row>
    <row r="26" spans="1:17">
      <c r="A26" s="298"/>
      <c r="B26" s="299"/>
      <c r="C26" s="299"/>
      <c r="D26" s="288" t="str">
        <f>IF(Tableau12[[#This Row],[Quantité restante dans la cuve
(si remplissage, valeur 
avant le plein)]]&lt;=0,"",Tableau12[[#This Row],[Quantité restante dans la cuve
(si remplissage, valeur 
avant le plein)]]+Tableau12[[#This Row],[Remplissage / 
Quantité remise]])</f>
        <v/>
      </c>
      <c r="E26" s="245" t="str">
        <f t="shared" si="0"/>
        <v/>
      </c>
      <c r="F26" s="303" t="str">
        <f t="shared" si="1"/>
        <v/>
      </c>
      <c r="G26" s="304" t="str">
        <f t="shared" si="2"/>
        <v/>
      </c>
      <c r="H26" s="304"/>
      <c r="I26" s="252"/>
      <c r="J26" s="247" t="str">
        <f t="shared" si="3"/>
        <v>Saisie ok</v>
      </c>
      <c r="L26" s="302" t="s">
        <v>526</v>
      </c>
      <c r="M26" s="413"/>
      <c r="N26" s="413"/>
      <c r="O26" s="413"/>
      <c r="P26" s="413"/>
      <c r="Q26" s="413"/>
    </row>
    <row r="27" spans="1:17">
      <c r="A27" s="298"/>
      <c r="B27" s="299"/>
      <c r="C27" s="299"/>
      <c r="D27" s="288" t="str">
        <f>IF(Tableau12[[#This Row],[Quantité restante dans la cuve
(si remplissage, valeur 
avant le plein)]]&lt;=0,"",Tableau12[[#This Row],[Quantité restante dans la cuve
(si remplissage, valeur 
avant le plein)]]+Tableau12[[#This Row],[Remplissage / 
Quantité remise]])</f>
        <v/>
      </c>
      <c r="E27" s="245" t="str">
        <f t="shared" si="0"/>
        <v/>
      </c>
      <c r="F27" s="303" t="str">
        <f t="shared" si="1"/>
        <v/>
      </c>
      <c r="G27" s="304" t="str">
        <f t="shared" si="2"/>
        <v/>
      </c>
      <c r="H27" s="304"/>
      <c r="I27" s="252"/>
      <c r="J27" s="247" t="str">
        <f t="shared" si="3"/>
        <v>Saisie ok</v>
      </c>
      <c r="L27" s="302" t="s">
        <v>836</v>
      </c>
      <c r="M27" s="413"/>
      <c r="N27" s="413"/>
      <c r="O27" s="413"/>
      <c r="P27" s="413"/>
      <c r="Q27" s="413"/>
    </row>
    <row r="28" spans="1:17">
      <c r="A28" s="298"/>
      <c r="B28" s="299"/>
      <c r="C28" s="299"/>
      <c r="D28" s="288" t="str">
        <f>IF(Tableau12[[#This Row],[Quantité restante dans la cuve
(si remplissage, valeur 
avant le plein)]]&lt;=0,"",Tableau12[[#This Row],[Quantité restante dans la cuve
(si remplissage, valeur 
avant le plein)]]+Tableau12[[#This Row],[Remplissage / 
Quantité remise]])</f>
        <v/>
      </c>
      <c r="E28" s="245" t="str">
        <f t="shared" si="0"/>
        <v/>
      </c>
      <c r="F28" s="303" t="str">
        <f t="shared" si="1"/>
        <v/>
      </c>
      <c r="G28" s="304" t="str">
        <f t="shared" si="2"/>
        <v/>
      </c>
      <c r="H28" s="304"/>
      <c r="I28" s="252"/>
      <c r="J28" s="247" t="str">
        <f t="shared" si="3"/>
        <v>Saisie ok</v>
      </c>
      <c r="M28" s="413"/>
      <c r="N28" s="413"/>
      <c r="O28" s="413"/>
      <c r="P28" s="413"/>
      <c r="Q28" s="413"/>
    </row>
    <row r="29" spans="1:17">
      <c r="A29" s="298"/>
      <c r="B29" s="299"/>
      <c r="C29" s="299"/>
      <c r="D29" s="288" t="str">
        <f>IF(Tableau12[[#This Row],[Quantité restante dans la cuve
(si remplissage, valeur 
avant le plein)]]&lt;=0,"",Tableau12[[#This Row],[Quantité restante dans la cuve
(si remplissage, valeur 
avant le plein)]]+Tableau12[[#This Row],[Remplissage / 
Quantité remise]])</f>
        <v/>
      </c>
      <c r="E29" s="245" t="str">
        <f t="shared" si="0"/>
        <v/>
      </c>
      <c r="F29" s="303" t="str">
        <f t="shared" si="1"/>
        <v/>
      </c>
      <c r="G29" s="304" t="str">
        <f t="shared" si="2"/>
        <v/>
      </c>
      <c r="H29" s="304"/>
      <c r="I29" s="252"/>
      <c r="J29" s="247" t="str">
        <f t="shared" si="3"/>
        <v>Saisie ok</v>
      </c>
    </row>
    <row r="30" spans="1:17">
      <c r="A30" s="298"/>
      <c r="B30" s="299"/>
      <c r="C30" s="299"/>
      <c r="D30" s="288" t="str">
        <f>IF(Tableau12[[#This Row],[Quantité restante dans la cuve
(si remplissage, valeur 
avant le plein)]]&lt;=0,"",Tableau12[[#This Row],[Quantité restante dans la cuve
(si remplissage, valeur 
avant le plein)]]+Tableau12[[#This Row],[Remplissage / 
Quantité remise]])</f>
        <v/>
      </c>
      <c r="E30" s="245" t="str">
        <f t="shared" si="0"/>
        <v/>
      </c>
      <c r="F30" s="303" t="str">
        <f t="shared" si="1"/>
        <v/>
      </c>
      <c r="G30" s="304" t="str">
        <f t="shared" si="2"/>
        <v/>
      </c>
      <c r="H30" s="304"/>
      <c r="I30" s="252"/>
      <c r="J30" s="247" t="str">
        <f t="shared" si="3"/>
        <v>Saisie ok</v>
      </c>
    </row>
    <row r="31" spans="1:17">
      <c r="A31" s="298"/>
      <c r="B31" s="299"/>
      <c r="C31" s="299"/>
      <c r="D31" s="288" t="str">
        <f>IF(Tableau12[[#This Row],[Quantité restante dans la cuve
(si remplissage, valeur 
avant le plein)]]&lt;=0,"",Tableau12[[#This Row],[Quantité restante dans la cuve
(si remplissage, valeur 
avant le plein)]]+Tableau12[[#This Row],[Remplissage / 
Quantité remise]])</f>
        <v/>
      </c>
      <c r="E31" s="245" t="str">
        <f t="shared" si="0"/>
        <v/>
      </c>
      <c r="F31" s="303" t="str">
        <f t="shared" si="1"/>
        <v/>
      </c>
      <c r="G31" s="304" t="str">
        <f t="shared" si="2"/>
        <v/>
      </c>
      <c r="H31" s="304"/>
      <c r="I31" s="252"/>
      <c r="J31" s="247" t="str">
        <f t="shared" si="3"/>
        <v>Saisie ok</v>
      </c>
    </row>
    <row r="32" spans="1:17">
      <c r="A32" s="298"/>
      <c r="B32" s="299"/>
      <c r="C32" s="299"/>
      <c r="D32" s="288" t="str">
        <f>IF(Tableau12[[#This Row],[Quantité restante dans la cuve
(si remplissage, valeur 
avant le plein)]]&lt;=0,"",Tableau12[[#This Row],[Quantité restante dans la cuve
(si remplissage, valeur 
avant le plein)]]+Tableau12[[#This Row],[Remplissage / 
Quantité remise]])</f>
        <v/>
      </c>
      <c r="E32" s="245" t="str">
        <f t="shared" si="0"/>
        <v/>
      </c>
      <c r="F32" s="303" t="str">
        <f t="shared" si="1"/>
        <v/>
      </c>
      <c r="G32" s="304" t="str">
        <f t="shared" si="2"/>
        <v/>
      </c>
      <c r="H32" s="304"/>
      <c r="I32" s="252"/>
      <c r="J32" s="247" t="str">
        <f t="shared" si="3"/>
        <v>Saisie ok</v>
      </c>
    </row>
    <row r="33" spans="1:10">
      <c r="A33" s="298"/>
      <c r="B33" s="299"/>
      <c r="C33" s="299"/>
      <c r="D33" s="288" t="str">
        <f>IF(Tableau12[[#This Row],[Quantité restante dans la cuve
(si remplissage, valeur 
avant le plein)]]&lt;=0,"",Tableau12[[#This Row],[Quantité restante dans la cuve
(si remplissage, valeur 
avant le plein)]]+Tableau12[[#This Row],[Remplissage / 
Quantité remise]])</f>
        <v/>
      </c>
      <c r="E33" s="245" t="str">
        <f t="shared" si="0"/>
        <v/>
      </c>
      <c r="F33" s="303" t="str">
        <f t="shared" si="1"/>
        <v/>
      </c>
      <c r="G33" s="304" t="str">
        <f t="shared" si="2"/>
        <v/>
      </c>
      <c r="H33" s="304"/>
      <c r="I33" s="252"/>
      <c r="J33" s="247" t="str">
        <f t="shared" si="3"/>
        <v>Saisie ok</v>
      </c>
    </row>
    <row r="34" spans="1:10">
      <c r="A34" s="298"/>
      <c r="B34" s="299"/>
      <c r="C34" s="299"/>
      <c r="D34" s="288" t="str">
        <f>IF(Tableau12[[#This Row],[Quantité restante dans la cuve
(si remplissage, valeur 
avant le plein)]]&lt;=0,"",Tableau12[[#This Row],[Quantité restante dans la cuve
(si remplissage, valeur 
avant le plein)]]+Tableau12[[#This Row],[Remplissage / 
Quantité remise]])</f>
        <v/>
      </c>
      <c r="E34" s="245" t="str">
        <f t="shared" si="0"/>
        <v/>
      </c>
      <c r="F34" s="303" t="str">
        <f t="shared" si="1"/>
        <v/>
      </c>
      <c r="G34" s="304" t="str">
        <f t="shared" si="2"/>
        <v/>
      </c>
      <c r="H34" s="304"/>
      <c r="I34" s="252"/>
      <c r="J34" s="247" t="str">
        <f t="shared" si="3"/>
        <v>Saisie ok</v>
      </c>
    </row>
    <row r="35" spans="1:10">
      <c r="A35" s="298"/>
      <c r="B35" s="299"/>
      <c r="C35" s="299"/>
      <c r="D35" s="288" t="str">
        <f>IF(Tableau12[[#This Row],[Quantité restante dans la cuve
(si remplissage, valeur 
avant le plein)]]&lt;=0,"",Tableau12[[#This Row],[Quantité restante dans la cuve
(si remplissage, valeur 
avant le plein)]]+Tableau12[[#This Row],[Remplissage / 
Quantité remise]])</f>
        <v/>
      </c>
      <c r="E35" s="245" t="str">
        <f t="shared" si="0"/>
        <v/>
      </c>
      <c r="F35" s="303" t="str">
        <f t="shared" si="1"/>
        <v/>
      </c>
      <c r="G35" s="304" t="str">
        <f t="shared" si="2"/>
        <v/>
      </c>
      <c r="H35" s="304"/>
      <c r="I35" s="252"/>
      <c r="J35" s="247" t="str">
        <f t="shared" si="3"/>
        <v>Saisie ok</v>
      </c>
    </row>
    <row r="36" spans="1:10">
      <c r="A36" s="298"/>
      <c r="B36" s="299"/>
      <c r="C36" s="299"/>
      <c r="D36" s="288" t="str">
        <f>IF(Tableau12[[#This Row],[Quantité restante dans la cuve
(si remplissage, valeur 
avant le plein)]]&lt;=0,"",Tableau12[[#This Row],[Quantité restante dans la cuve
(si remplissage, valeur 
avant le plein)]]+Tableau12[[#This Row],[Remplissage / 
Quantité remise]])</f>
        <v/>
      </c>
      <c r="E36" s="245" t="str">
        <f t="shared" si="0"/>
        <v/>
      </c>
      <c r="F36" s="303" t="str">
        <f t="shared" si="1"/>
        <v/>
      </c>
      <c r="G36" s="304" t="str">
        <f t="shared" si="2"/>
        <v/>
      </c>
      <c r="H36" s="304"/>
      <c r="I36" s="252"/>
      <c r="J36" s="247" t="str">
        <f t="shared" si="3"/>
        <v>Saisie ok</v>
      </c>
    </row>
    <row r="37" spans="1:10">
      <c r="A37" s="298"/>
      <c r="B37" s="299"/>
      <c r="C37" s="299"/>
      <c r="D37" s="288" t="str">
        <f>IF(Tableau12[[#This Row],[Quantité restante dans la cuve
(si remplissage, valeur 
avant le plein)]]&lt;=0,"",Tableau12[[#This Row],[Quantité restante dans la cuve
(si remplissage, valeur 
avant le plein)]]+Tableau12[[#This Row],[Remplissage / 
Quantité remise]])</f>
        <v/>
      </c>
      <c r="E37" s="245" t="str">
        <f t="shared" si="0"/>
        <v/>
      </c>
      <c r="F37" s="303" t="str">
        <f t="shared" si="1"/>
        <v/>
      </c>
      <c r="G37" s="304" t="str">
        <f t="shared" si="2"/>
        <v/>
      </c>
      <c r="H37" s="304"/>
      <c r="I37" s="252"/>
      <c r="J37" s="247" t="str">
        <f t="shared" si="3"/>
        <v>Saisie ok</v>
      </c>
    </row>
    <row r="38" spans="1:10">
      <c r="A38" s="298"/>
      <c r="B38" s="299"/>
      <c r="C38" s="299"/>
      <c r="D38" s="288" t="str">
        <f>IF(Tableau12[[#This Row],[Quantité restante dans la cuve
(si remplissage, valeur 
avant le plein)]]&lt;=0,"",Tableau12[[#This Row],[Quantité restante dans la cuve
(si remplissage, valeur 
avant le plein)]]+Tableau12[[#This Row],[Remplissage / 
Quantité remise]])</f>
        <v/>
      </c>
      <c r="E38" s="245" t="str">
        <f t="shared" si="0"/>
        <v/>
      </c>
      <c r="F38" s="303" t="str">
        <f t="shared" si="1"/>
        <v/>
      </c>
      <c r="G38" s="304" t="str">
        <f t="shared" si="2"/>
        <v/>
      </c>
      <c r="H38" s="304"/>
      <c r="I38" s="252"/>
      <c r="J38" s="247" t="str">
        <f t="shared" si="3"/>
        <v>Saisie ok</v>
      </c>
    </row>
    <row r="39" spans="1:10">
      <c r="A39" s="298"/>
      <c r="B39" s="299"/>
      <c r="C39" s="299"/>
      <c r="D39" s="288" t="str">
        <f>IF(Tableau12[[#This Row],[Quantité restante dans la cuve
(si remplissage, valeur 
avant le plein)]]&lt;=0,"",Tableau12[[#This Row],[Quantité restante dans la cuve
(si remplissage, valeur 
avant le plein)]]+Tableau12[[#This Row],[Remplissage / 
Quantité remise]])</f>
        <v/>
      </c>
      <c r="E39" s="245" t="str">
        <f t="shared" si="0"/>
        <v/>
      </c>
      <c r="F39" s="303" t="str">
        <f t="shared" si="1"/>
        <v/>
      </c>
      <c r="G39" s="304" t="str">
        <f t="shared" si="2"/>
        <v/>
      </c>
      <c r="H39" s="304"/>
      <c r="I39" s="252"/>
      <c r="J39" s="247" t="str">
        <f t="shared" si="3"/>
        <v>Saisie ok</v>
      </c>
    </row>
    <row r="40" spans="1:10">
      <c r="A40" s="298"/>
      <c r="B40" s="299"/>
      <c r="C40" s="299"/>
      <c r="D40" s="288" t="str">
        <f>IF(Tableau12[[#This Row],[Quantité restante dans la cuve
(si remplissage, valeur 
avant le plein)]]&lt;=0,"",Tableau12[[#This Row],[Quantité restante dans la cuve
(si remplissage, valeur 
avant le plein)]]+Tableau12[[#This Row],[Remplissage / 
Quantité remise]])</f>
        <v/>
      </c>
      <c r="E40" s="245" t="str">
        <f t="shared" si="0"/>
        <v/>
      </c>
      <c r="F40" s="303" t="str">
        <f t="shared" si="1"/>
        <v/>
      </c>
      <c r="G40" s="304" t="str">
        <f t="shared" si="2"/>
        <v/>
      </c>
      <c r="H40" s="304"/>
      <c r="I40" s="252"/>
      <c r="J40" s="247" t="str">
        <f t="shared" si="3"/>
        <v>Saisie ok</v>
      </c>
    </row>
    <row r="41" spans="1:10">
      <c r="A41" s="298"/>
      <c r="B41" s="299"/>
      <c r="C41" s="299"/>
      <c r="D41" s="288" t="str">
        <f>IF(Tableau12[[#This Row],[Quantité restante dans la cuve
(si remplissage, valeur 
avant le plein)]]&lt;=0,"",Tableau12[[#This Row],[Quantité restante dans la cuve
(si remplissage, valeur 
avant le plein)]]+Tableau12[[#This Row],[Remplissage / 
Quantité remise]])</f>
        <v/>
      </c>
      <c r="E41" s="245" t="str">
        <f t="shared" si="0"/>
        <v/>
      </c>
      <c r="F41" s="303" t="str">
        <f t="shared" si="1"/>
        <v/>
      </c>
      <c r="G41" s="304" t="str">
        <f t="shared" si="2"/>
        <v/>
      </c>
      <c r="H41" s="304"/>
      <c r="I41" s="252"/>
      <c r="J41" s="247" t="str">
        <f t="shared" si="3"/>
        <v>Saisie ok</v>
      </c>
    </row>
    <row r="42" spans="1:10">
      <c r="A42" s="298"/>
      <c r="B42" s="299"/>
      <c r="C42" s="299"/>
      <c r="D42" s="288" t="str">
        <f>IF(Tableau12[[#This Row],[Quantité restante dans la cuve
(si remplissage, valeur 
avant le plein)]]&lt;=0,"",Tableau12[[#This Row],[Quantité restante dans la cuve
(si remplissage, valeur 
avant le plein)]]+Tableau12[[#This Row],[Remplissage / 
Quantité remise]])</f>
        <v/>
      </c>
      <c r="E42" s="245" t="str">
        <f t="shared" si="0"/>
        <v/>
      </c>
      <c r="F42" s="303" t="str">
        <f t="shared" si="1"/>
        <v/>
      </c>
      <c r="G42" s="304" t="str">
        <f t="shared" si="2"/>
        <v/>
      </c>
      <c r="H42" s="304"/>
      <c r="I42" s="252"/>
      <c r="J42" s="247" t="str">
        <f t="shared" si="3"/>
        <v>Saisie ok</v>
      </c>
    </row>
    <row r="43" spans="1:10">
      <c r="A43" s="298"/>
      <c r="B43" s="299"/>
      <c r="C43" s="299"/>
      <c r="D43" s="288" t="str">
        <f>IF(Tableau12[[#This Row],[Quantité restante dans la cuve
(si remplissage, valeur 
avant le plein)]]&lt;=0,"",Tableau12[[#This Row],[Quantité restante dans la cuve
(si remplissage, valeur 
avant le plein)]]+Tableau12[[#This Row],[Remplissage / 
Quantité remise]])</f>
        <v/>
      </c>
      <c r="E43" s="245" t="str">
        <f t="shared" si="0"/>
        <v/>
      </c>
      <c r="F43" s="303" t="str">
        <f t="shared" si="1"/>
        <v/>
      </c>
      <c r="G43" s="304" t="str">
        <f t="shared" si="2"/>
        <v/>
      </c>
      <c r="H43" s="304"/>
      <c r="I43" s="252"/>
      <c r="J43" s="247" t="str">
        <f t="shared" si="3"/>
        <v>Saisie ok</v>
      </c>
    </row>
    <row r="44" spans="1:10">
      <c r="A44" s="298"/>
      <c r="B44" s="299"/>
      <c r="C44" s="299"/>
      <c r="D44" s="288" t="str">
        <f>IF(Tableau12[[#This Row],[Quantité restante dans la cuve
(si remplissage, valeur 
avant le plein)]]&lt;=0,"",Tableau12[[#This Row],[Quantité restante dans la cuve
(si remplissage, valeur 
avant le plein)]]+Tableau12[[#This Row],[Remplissage / 
Quantité remise]])</f>
        <v/>
      </c>
      <c r="E44" s="245" t="str">
        <f t="shared" si="0"/>
        <v/>
      </c>
      <c r="F44" s="303" t="str">
        <f t="shared" si="1"/>
        <v/>
      </c>
      <c r="G44" s="304" t="str">
        <f t="shared" si="2"/>
        <v/>
      </c>
      <c r="H44" s="304"/>
      <c r="I44" s="252"/>
      <c r="J44" s="247" t="str">
        <f t="shared" si="3"/>
        <v>Saisie ok</v>
      </c>
    </row>
    <row r="45" spans="1:10">
      <c r="A45" s="298"/>
      <c r="B45" s="299"/>
      <c r="C45" s="299"/>
      <c r="D45" s="288" t="str">
        <f>IF(Tableau12[[#This Row],[Quantité restante dans la cuve
(si remplissage, valeur 
avant le plein)]]&lt;=0,"",Tableau12[[#This Row],[Quantité restante dans la cuve
(si remplissage, valeur 
avant le plein)]]+Tableau12[[#This Row],[Remplissage / 
Quantité remise]])</f>
        <v/>
      </c>
      <c r="E45" s="245" t="str">
        <f t="shared" si="0"/>
        <v/>
      </c>
      <c r="F45" s="303" t="str">
        <f t="shared" si="1"/>
        <v/>
      </c>
      <c r="G45" s="304" t="str">
        <f t="shared" si="2"/>
        <v/>
      </c>
      <c r="H45" s="304"/>
      <c r="I45" s="252"/>
      <c r="J45" s="247" t="str">
        <f t="shared" si="3"/>
        <v>Saisie ok</v>
      </c>
    </row>
    <row r="46" spans="1:10">
      <c r="A46" s="298"/>
      <c r="B46" s="299"/>
      <c r="C46" s="299"/>
      <c r="D46" s="288" t="str">
        <f>IF(Tableau12[[#This Row],[Quantité restante dans la cuve
(si remplissage, valeur 
avant le plein)]]&lt;=0,"",Tableau12[[#This Row],[Quantité restante dans la cuve
(si remplissage, valeur 
avant le plein)]]+Tableau12[[#This Row],[Remplissage / 
Quantité remise]])</f>
        <v/>
      </c>
      <c r="E46" s="245" t="str">
        <f t="shared" si="0"/>
        <v/>
      </c>
      <c r="F46" s="303" t="str">
        <f t="shared" si="1"/>
        <v/>
      </c>
      <c r="G46" s="304" t="str">
        <f t="shared" si="2"/>
        <v/>
      </c>
      <c r="H46" s="304"/>
      <c r="I46" s="252"/>
      <c r="J46" s="247" t="str">
        <f t="shared" si="3"/>
        <v>Saisie ok</v>
      </c>
    </row>
    <row r="47" spans="1:10">
      <c r="A47" s="298"/>
      <c r="B47" s="299"/>
      <c r="C47" s="299"/>
      <c r="D47" s="288" t="str">
        <f>IF(Tableau12[[#This Row],[Quantité restante dans la cuve
(si remplissage, valeur 
avant le plein)]]&lt;=0,"",Tableau12[[#This Row],[Quantité restante dans la cuve
(si remplissage, valeur 
avant le plein)]]+Tableau12[[#This Row],[Remplissage / 
Quantité remise]])</f>
        <v/>
      </c>
      <c r="E47" s="245" t="str">
        <f t="shared" si="0"/>
        <v/>
      </c>
      <c r="F47" s="303" t="str">
        <f t="shared" si="1"/>
        <v/>
      </c>
      <c r="G47" s="304" t="str">
        <f t="shared" si="2"/>
        <v/>
      </c>
      <c r="H47" s="304"/>
      <c r="I47" s="252"/>
      <c r="J47" s="247" t="str">
        <f t="shared" si="3"/>
        <v>Saisie ok</v>
      </c>
    </row>
    <row r="48" spans="1:10">
      <c r="A48" s="298"/>
      <c r="B48" s="299"/>
      <c r="C48" s="299"/>
      <c r="D48" s="288" t="str">
        <f>IF(Tableau12[[#This Row],[Quantité restante dans la cuve
(si remplissage, valeur 
avant le plein)]]&lt;=0,"",Tableau12[[#This Row],[Quantité restante dans la cuve
(si remplissage, valeur 
avant le plein)]]+Tableau12[[#This Row],[Remplissage / 
Quantité remise]])</f>
        <v/>
      </c>
      <c r="E48" s="245" t="str">
        <f t="shared" si="0"/>
        <v/>
      </c>
      <c r="F48" s="303" t="str">
        <f t="shared" si="1"/>
        <v/>
      </c>
      <c r="G48" s="304" t="str">
        <f t="shared" si="2"/>
        <v/>
      </c>
      <c r="H48" s="304"/>
      <c r="I48" s="252"/>
      <c r="J48" s="247" t="str">
        <f t="shared" si="3"/>
        <v>Saisie ok</v>
      </c>
    </row>
    <row r="49" spans="1:10">
      <c r="A49" s="298"/>
      <c r="B49" s="299"/>
      <c r="C49" s="299"/>
      <c r="D49" s="288" t="str">
        <f>IF(Tableau12[[#This Row],[Quantité restante dans la cuve
(si remplissage, valeur 
avant le plein)]]&lt;=0,"",Tableau12[[#This Row],[Quantité restante dans la cuve
(si remplissage, valeur 
avant le plein)]]+Tableau12[[#This Row],[Remplissage / 
Quantité remise]])</f>
        <v/>
      </c>
      <c r="E49" s="245" t="str">
        <f t="shared" si="0"/>
        <v/>
      </c>
      <c r="F49" s="303" t="str">
        <f t="shared" si="1"/>
        <v/>
      </c>
      <c r="G49" s="304" t="str">
        <f t="shared" si="2"/>
        <v/>
      </c>
      <c r="H49" s="304"/>
      <c r="I49" s="252"/>
      <c r="J49" s="247" t="str">
        <f t="shared" si="3"/>
        <v>Saisie ok</v>
      </c>
    </row>
    <row r="50" spans="1:10">
      <c r="A50" s="298"/>
      <c r="B50" s="299"/>
      <c r="C50" s="299"/>
      <c r="D50" s="288" t="str">
        <f>IF(Tableau12[[#This Row],[Quantité restante dans la cuve
(si remplissage, valeur 
avant le plein)]]&lt;=0,"",Tableau12[[#This Row],[Quantité restante dans la cuve
(si remplissage, valeur 
avant le plein)]]+Tableau12[[#This Row],[Remplissage / 
Quantité remise]])</f>
        <v/>
      </c>
      <c r="E50" s="245" t="str">
        <f t="shared" si="0"/>
        <v/>
      </c>
      <c r="F50" s="303" t="str">
        <f t="shared" si="1"/>
        <v/>
      </c>
      <c r="G50" s="304" t="str">
        <f t="shared" si="2"/>
        <v/>
      </c>
      <c r="H50" s="304"/>
      <c r="I50" s="252"/>
      <c r="J50" s="247" t="str">
        <f t="shared" si="3"/>
        <v>Saisie ok</v>
      </c>
    </row>
    <row r="51" spans="1:10">
      <c r="A51" s="298"/>
      <c r="B51" s="299"/>
      <c r="C51" s="299"/>
      <c r="D51" s="288" t="str">
        <f>IF(Tableau12[[#This Row],[Quantité restante dans la cuve
(si remplissage, valeur 
avant le plein)]]&lt;=0,"",Tableau12[[#This Row],[Quantité restante dans la cuve
(si remplissage, valeur 
avant le plein)]]+Tableau12[[#This Row],[Remplissage / 
Quantité remise]])</f>
        <v/>
      </c>
      <c r="E51" s="245" t="str">
        <f t="shared" si="0"/>
        <v/>
      </c>
      <c r="F51" s="303" t="str">
        <f t="shared" si="1"/>
        <v/>
      </c>
      <c r="G51" s="304" t="str">
        <f t="shared" si="2"/>
        <v/>
      </c>
      <c r="H51" s="304"/>
      <c r="I51" s="252"/>
      <c r="J51" s="247" t="str">
        <f t="shared" si="3"/>
        <v>Saisie ok</v>
      </c>
    </row>
    <row r="52" spans="1:10">
      <c r="A52" s="298"/>
      <c r="B52" s="299"/>
      <c r="C52" s="299"/>
      <c r="D52" s="288" t="str">
        <f>IF(Tableau12[[#This Row],[Quantité restante dans la cuve
(si remplissage, valeur 
avant le plein)]]&lt;=0,"",Tableau12[[#This Row],[Quantité restante dans la cuve
(si remplissage, valeur 
avant le plein)]]+Tableau12[[#This Row],[Remplissage / 
Quantité remise]])</f>
        <v/>
      </c>
      <c r="E52" s="245" t="str">
        <f t="shared" si="0"/>
        <v/>
      </c>
      <c r="F52" s="303" t="str">
        <f t="shared" si="1"/>
        <v/>
      </c>
      <c r="G52" s="304" t="str">
        <f t="shared" si="2"/>
        <v/>
      </c>
      <c r="H52" s="304"/>
      <c r="I52" s="252"/>
      <c r="J52" s="247" t="str">
        <f t="shared" si="3"/>
        <v>Saisie ok</v>
      </c>
    </row>
    <row r="53" spans="1:10">
      <c r="A53" s="298"/>
      <c r="B53" s="299"/>
      <c r="C53" s="299"/>
      <c r="D53" s="288" t="str">
        <f>IF(Tableau12[[#This Row],[Quantité restante dans la cuve
(si remplissage, valeur 
avant le plein)]]&lt;=0,"",Tableau12[[#This Row],[Quantité restante dans la cuve
(si remplissage, valeur 
avant le plein)]]+Tableau12[[#This Row],[Remplissage / 
Quantité remise]])</f>
        <v/>
      </c>
      <c r="E53" s="245" t="str">
        <f t="shared" si="0"/>
        <v/>
      </c>
      <c r="F53" s="303" t="str">
        <f t="shared" si="1"/>
        <v/>
      </c>
      <c r="G53" s="304" t="str">
        <f t="shared" si="2"/>
        <v/>
      </c>
      <c r="H53" s="304"/>
      <c r="I53" s="252"/>
      <c r="J53" s="247" t="str">
        <f t="shared" si="3"/>
        <v>Saisie ok</v>
      </c>
    </row>
    <row r="54" spans="1:10">
      <c r="A54" s="298"/>
      <c r="B54" s="299"/>
      <c r="C54" s="299"/>
      <c r="D54" s="288" t="str">
        <f>IF(Tableau12[[#This Row],[Quantité restante dans la cuve
(si remplissage, valeur 
avant le plein)]]&lt;=0,"",Tableau12[[#This Row],[Quantité restante dans la cuve
(si remplissage, valeur 
avant le plein)]]+Tableau12[[#This Row],[Remplissage / 
Quantité remise]])</f>
        <v/>
      </c>
      <c r="E54" s="245" t="str">
        <f t="shared" si="0"/>
        <v/>
      </c>
      <c r="F54" s="303" t="str">
        <f t="shared" si="1"/>
        <v/>
      </c>
      <c r="G54" s="304" t="str">
        <f t="shared" si="2"/>
        <v/>
      </c>
      <c r="H54" s="304"/>
      <c r="I54" s="252"/>
      <c r="J54" s="247" t="str">
        <f t="shared" si="3"/>
        <v>Saisie ok</v>
      </c>
    </row>
    <row r="55" spans="1:10">
      <c r="A55" s="298"/>
      <c r="B55" s="299"/>
      <c r="C55" s="299"/>
      <c r="D55" s="288" t="str">
        <f>IF(Tableau12[[#This Row],[Quantité restante dans la cuve
(si remplissage, valeur 
avant le plein)]]&lt;=0,"",Tableau12[[#This Row],[Quantité restante dans la cuve
(si remplissage, valeur 
avant le plein)]]+Tableau12[[#This Row],[Remplissage / 
Quantité remise]])</f>
        <v/>
      </c>
      <c r="E55" s="245" t="str">
        <f t="shared" si="0"/>
        <v/>
      </c>
      <c r="F55" s="303" t="str">
        <f t="shared" si="1"/>
        <v/>
      </c>
      <c r="G55" s="304" t="str">
        <f t="shared" si="2"/>
        <v/>
      </c>
      <c r="H55" s="304"/>
      <c r="I55" s="252"/>
      <c r="J55" s="247" t="str">
        <f t="shared" si="3"/>
        <v>Saisie ok</v>
      </c>
    </row>
    <row r="56" spans="1:10">
      <c r="A56" s="298"/>
      <c r="B56" s="299"/>
      <c r="C56" s="299"/>
      <c r="D56" s="288" t="str">
        <f>IF(Tableau12[[#This Row],[Quantité restante dans la cuve
(si remplissage, valeur 
avant le plein)]]&lt;=0,"",Tableau12[[#This Row],[Quantité restante dans la cuve
(si remplissage, valeur 
avant le plein)]]+Tableau12[[#This Row],[Remplissage / 
Quantité remise]])</f>
        <v/>
      </c>
      <c r="E56" s="245" t="str">
        <f t="shared" si="0"/>
        <v/>
      </c>
      <c r="F56" s="303" t="str">
        <f t="shared" si="1"/>
        <v/>
      </c>
      <c r="G56" s="304" t="str">
        <f t="shared" si="2"/>
        <v/>
      </c>
      <c r="H56" s="304"/>
      <c r="I56" s="252"/>
      <c r="J56" s="247" t="str">
        <f t="shared" si="3"/>
        <v>Saisie ok</v>
      </c>
    </row>
    <row r="57" spans="1:10">
      <c r="A57" s="298"/>
      <c r="B57" s="299"/>
      <c r="C57" s="299"/>
      <c r="D57" s="288" t="str">
        <f>IF(Tableau12[[#This Row],[Quantité restante dans la cuve
(si remplissage, valeur 
avant le plein)]]&lt;=0,"",Tableau12[[#This Row],[Quantité restante dans la cuve
(si remplissage, valeur 
avant le plein)]]+Tableau12[[#This Row],[Remplissage / 
Quantité remise]])</f>
        <v/>
      </c>
      <c r="E57" s="245" t="str">
        <f t="shared" si="0"/>
        <v/>
      </c>
      <c r="F57" s="303" t="str">
        <f t="shared" si="1"/>
        <v/>
      </c>
      <c r="G57" s="304" t="str">
        <f t="shared" si="2"/>
        <v/>
      </c>
      <c r="H57" s="304"/>
      <c r="I57" s="252"/>
      <c r="J57" s="247" t="str">
        <f t="shared" si="3"/>
        <v>Saisie ok</v>
      </c>
    </row>
    <row r="58" spans="1:10">
      <c r="A58" s="298"/>
      <c r="B58" s="299"/>
      <c r="C58" s="299"/>
      <c r="D58" s="288" t="str">
        <f>IF(Tableau12[[#This Row],[Quantité restante dans la cuve
(si remplissage, valeur 
avant le plein)]]&lt;=0,"",Tableau12[[#This Row],[Quantité restante dans la cuve
(si remplissage, valeur 
avant le plein)]]+Tableau12[[#This Row],[Remplissage / 
Quantité remise]])</f>
        <v/>
      </c>
      <c r="E58" s="245" t="str">
        <f t="shared" si="0"/>
        <v/>
      </c>
      <c r="F58" s="303" t="str">
        <f t="shared" si="1"/>
        <v/>
      </c>
      <c r="G58" s="304" t="str">
        <f t="shared" si="2"/>
        <v/>
      </c>
      <c r="H58" s="304"/>
      <c r="I58" s="252"/>
      <c r="J58" s="247" t="str">
        <f t="shared" si="3"/>
        <v>Saisie ok</v>
      </c>
    </row>
    <row r="59" spans="1:10">
      <c r="A59" s="298"/>
      <c r="B59" s="299"/>
      <c r="C59" s="299"/>
      <c r="D59" s="288" t="str">
        <f>IF(Tableau12[[#This Row],[Quantité restante dans la cuve
(si remplissage, valeur 
avant le plein)]]&lt;=0,"",Tableau12[[#This Row],[Quantité restante dans la cuve
(si remplissage, valeur 
avant le plein)]]+Tableau12[[#This Row],[Remplissage / 
Quantité remise]])</f>
        <v/>
      </c>
      <c r="E59" s="245" t="str">
        <f t="shared" si="0"/>
        <v/>
      </c>
      <c r="F59" s="303" t="str">
        <f t="shared" si="1"/>
        <v/>
      </c>
      <c r="G59" s="304" t="str">
        <f t="shared" si="2"/>
        <v/>
      </c>
      <c r="H59" s="304"/>
      <c r="I59" s="252"/>
      <c r="J59" s="247" t="str">
        <f t="shared" si="3"/>
        <v>Saisie ok</v>
      </c>
    </row>
    <row r="60" spans="1:10">
      <c r="A60" s="298"/>
      <c r="B60" s="299"/>
      <c r="C60" s="299"/>
      <c r="D60" s="288" t="str">
        <f>IF(Tableau12[[#This Row],[Quantité restante dans la cuve
(si remplissage, valeur 
avant le plein)]]&lt;=0,"",Tableau12[[#This Row],[Quantité restante dans la cuve
(si remplissage, valeur 
avant le plein)]]+Tableau12[[#This Row],[Remplissage / 
Quantité remise]])</f>
        <v/>
      </c>
      <c r="E60" s="245" t="str">
        <f t="shared" si="0"/>
        <v/>
      </c>
      <c r="F60" s="303" t="str">
        <f t="shared" si="1"/>
        <v/>
      </c>
      <c r="G60" s="304" t="str">
        <f t="shared" si="2"/>
        <v/>
      </c>
      <c r="H60" s="304"/>
      <c r="I60" s="252"/>
      <c r="J60" s="247" t="str">
        <f t="shared" si="3"/>
        <v>Saisie ok</v>
      </c>
    </row>
    <row r="61" spans="1:10">
      <c r="A61" s="298"/>
      <c r="B61" s="299"/>
      <c r="C61" s="299"/>
      <c r="D61" s="288" t="str">
        <f>IF(Tableau12[[#This Row],[Quantité restante dans la cuve
(si remplissage, valeur 
avant le plein)]]&lt;=0,"",Tableau12[[#This Row],[Quantité restante dans la cuve
(si remplissage, valeur 
avant le plein)]]+Tableau12[[#This Row],[Remplissage / 
Quantité remise]])</f>
        <v/>
      </c>
      <c r="E61" s="245" t="str">
        <f t="shared" si="0"/>
        <v/>
      </c>
      <c r="F61" s="303" t="str">
        <f t="shared" si="1"/>
        <v/>
      </c>
      <c r="G61" s="304" t="str">
        <f t="shared" si="2"/>
        <v/>
      </c>
      <c r="H61" s="304"/>
      <c r="I61" s="252"/>
      <c r="J61" s="247" t="str">
        <f t="shared" si="3"/>
        <v>Saisie ok</v>
      </c>
    </row>
    <row r="62" spans="1:10">
      <c r="A62" s="298"/>
      <c r="B62" s="299"/>
      <c r="C62" s="299"/>
      <c r="D62" s="288" t="str">
        <f>IF(Tableau12[[#This Row],[Quantité restante dans la cuve
(si remplissage, valeur 
avant le plein)]]&lt;=0,"",Tableau12[[#This Row],[Quantité restante dans la cuve
(si remplissage, valeur 
avant le plein)]]+Tableau12[[#This Row],[Remplissage / 
Quantité remise]])</f>
        <v/>
      </c>
      <c r="E62" s="245" t="str">
        <f t="shared" si="0"/>
        <v/>
      </c>
      <c r="F62" s="303" t="str">
        <f t="shared" si="1"/>
        <v/>
      </c>
      <c r="G62" s="304" t="str">
        <f t="shared" si="2"/>
        <v/>
      </c>
      <c r="H62" s="304"/>
      <c r="I62" s="252"/>
      <c r="J62" s="247" t="str">
        <f t="shared" si="3"/>
        <v>Saisie ok</v>
      </c>
    </row>
    <row r="63" spans="1:10">
      <c r="A63" s="298"/>
      <c r="B63" s="299"/>
      <c r="C63" s="299"/>
      <c r="D63" s="288" t="str">
        <f>IF(Tableau12[[#This Row],[Quantité restante dans la cuve
(si remplissage, valeur 
avant le plein)]]&lt;=0,"",Tableau12[[#This Row],[Quantité restante dans la cuve
(si remplissage, valeur 
avant le plein)]]+Tableau12[[#This Row],[Remplissage / 
Quantité remise]])</f>
        <v/>
      </c>
      <c r="E63" s="245" t="str">
        <f t="shared" si="0"/>
        <v/>
      </c>
      <c r="F63" s="303" t="str">
        <f t="shared" si="1"/>
        <v/>
      </c>
      <c r="G63" s="304" t="str">
        <f t="shared" si="2"/>
        <v/>
      </c>
      <c r="H63" s="304"/>
      <c r="I63" s="252"/>
      <c r="J63" s="247" t="str">
        <f t="shared" si="3"/>
        <v>Saisie ok</v>
      </c>
    </row>
    <row r="64" spans="1:10">
      <c r="A64" s="298"/>
      <c r="B64" s="299"/>
      <c r="C64" s="299"/>
      <c r="D64" s="288" t="str">
        <f>IF(Tableau12[[#This Row],[Quantité restante dans la cuve
(si remplissage, valeur 
avant le plein)]]&lt;=0,"",Tableau12[[#This Row],[Quantité restante dans la cuve
(si remplissage, valeur 
avant le plein)]]+Tableau12[[#This Row],[Remplissage / 
Quantité remise]])</f>
        <v/>
      </c>
      <c r="E64" s="245" t="str">
        <f t="shared" si="0"/>
        <v/>
      </c>
      <c r="F64" s="303" t="str">
        <f t="shared" si="1"/>
        <v/>
      </c>
      <c r="G64" s="304" t="str">
        <f t="shared" si="2"/>
        <v/>
      </c>
      <c r="H64" s="304"/>
      <c r="I64" s="252"/>
      <c r="J64" s="247" t="str">
        <f t="shared" si="3"/>
        <v>Saisie ok</v>
      </c>
    </row>
    <row r="65" spans="1:10">
      <c r="A65" s="298"/>
      <c r="B65" s="299"/>
      <c r="C65" s="299"/>
      <c r="D65" s="288" t="str">
        <f>IF(Tableau12[[#This Row],[Quantité restante dans la cuve
(si remplissage, valeur 
avant le plein)]]&lt;=0,"",Tableau12[[#This Row],[Quantité restante dans la cuve
(si remplissage, valeur 
avant le plein)]]+Tableau12[[#This Row],[Remplissage / 
Quantité remise]])</f>
        <v/>
      </c>
      <c r="E65" s="245" t="str">
        <f t="shared" si="0"/>
        <v/>
      </c>
      <c r="F65" s="303" t="str">
        <f t="shared" si="1"/>
        <v/>
      </c>
      <c r="G65" s="304" t="str">
        <f t="shared" si="2"/>
        <v/>
      </c>
      <c r="H65" s="304"/>
      <c r="I65" s="252"/>
      <c r="J65" s="247" t="str">
        <f t="shared" si="3"/>
        <v>Saisie ok</v>
      </c>
    </row>
    <row r="66" spans="1:10">
      <c r="A66" s="298"/>
      <c r="B66" s="299"/>
      <c r="C66" s="299"/>
      <c r="D66" s="288" t="str">
        <f>IF(Tableau12[[#This Row],[Quantité restante dans la cuve
(si remplissage, valeur 
avant le plein)]]&lt;=0,"",Tableau12[[#This Row],[Quantité restante dans la cuve
(si remplissage, valeur 
avant le plein)]]+Tableau12[[#This Row],[Remplissage / 
Quantité remise]])</f>
        <v/>
      </c>
      <c r="E66" s="245" t="str">
        <f t="shared" si="0"/>
        <v/>
      </c>
      <c r="F66" s="303" t="str">
        <f t="shared" si="1"/>
        <v/>
      </c>
      <c r="G66" s="304" t="str">
        <f t="shared" si="2"/>
        <v/>
      </c>
      <c r="H66" s="304"/>
      <c r="I66" s="252"/>
      <c r="J66" s="247" t="str">
        <f t="shared" si="3"/>
        <v>Saisie ok</v>
      </c>
    </row>
    <row r="67" spans="1:10">
      <c r="A67" s="298"/>
      <c r="B67" s="299"/>
      <c r="C67" s="299"/>
      <c r="D67" s="288" t="str">
        <f>IF(Tableau12[[#This Row],[Quantité restante dans la cuve
(si remplissage, valeur 
avant le plein)]]&lt;=0,"",Tableau12[[#This Row],[Quantité restante dans la cuve
(si remplissage, valeur 
avant le plein)]]+Tableau12[[#This Row],[Remplissage / 
Quantité remise]])</f>
        <v/>
      </c>
      <c r="E67" s="245" t="str">
        <f t="shared" si="0"/>
        <v/>
      </c>
      <c r="F67" s="303" t="str">
        <f t="shared" si="1"/>
        <v/>
      </c>
      <c r="G67" s="304" t="str">
        <f t="shared" si="2"/>
        <v/>
      </c>
      <c r="H67" s="304"/>
      <c r="I67" s="252"/>
      <c r="J67" s="247" t="str">
        <f t="shared" si="3"/>
        <v>Saisie ok</v>
      </c>
    </row>
    <row r="68" spans="1:10">
      <c r="A68" s="298"/>
      <c r="B68" s="299"/>
      <c r="C68" s="299"/>
      <c r="D68" s="288" t="str">
        <f>IF(Tableau12[[#This Row],[Quantité restante dans la cuve
(si remplissage, valeur 
avant le plein)]]&lt;=0,"",Tableau12[[#This Row],[Quantité restante dans la cuve
(si remplissage, valeur 
avant le plein)]]+Tableau12[[#This Row],[Remplissage / 
Quantité remise]])</f>
        <v/>
      </c>
      <c r="E68" s="245" t="str">
        <f t="shared" ref="E68:E131" si="4">IFERROR(G68/(A68-A67),"")</f>
        <v/>
      </c>
      <c r="F68" s="303" t="str">
        <f t="shared" ref="F68:F131" si="5">IF(A68="","",A68)</f>
        <v/>
      </c>
      <c r="G68" s="304" t="str">
        <f t="shared" ref="G68:G131" si="6">IF(B68&lt;=0,"",D67-B68)</f>
        <v/>
      </c>
      <c r="H68" s="304"/>
      <c r="I68" s="252"/>
      <c r="J68" s="247" t="str">
        <f t="shared" ref="J68:J131" si="7">IF(C67&lt;=0,IF(B68&gt;B67,"Erreur saisie","Saisie ok"),"Saisie ok, plein fait")</f>
        <v>Saisie ok</v>
      </c>
    </row>
    <row r="69" spans="1:10">
      <c r="A69" s="298"/>
      <c r="B69" s="299"/>
      <c r="C69" s="299"/>
      <c r="D69" s="288" t="str">
        <f>IF(Tableau12[[#This Row],[Quantité restante dans la cuve
(si remplissage, valeur 
avant le plein)]]&lt;=0,"",Tableau12[[#This Row],[Quantité restante dans la cuve
(si remplissage, valeur 
avant le plein)]]+Tableau12[[#This Row],[Remplissage / 
Quantité remise]])</f>
        <v/>
      </c>
      <c r="E69" s="245" t="str">
        <f t="shared" si="4"/>
        <v/>
      </c>
      <c r="F69" s="303" t="str">
        <f t="shared" si="5"/>
        <v/>
      </c>
      <c r="G69" s="304" t="str">
        <f t="shared" si="6"/>
        <v/>
      </c>
      <c r="H69" s="304"/>
      <c r="I69" s="252"/>
      <c r="J69" s="247" t="str">
        <f t="shared" si="7"/>
        <v>Saisie ok</v>
      </c>
    </row>
    <row r="70" spans="1:10">
      <c r="A70" s="298"/>
      <c r="B70" s="299"/>
      <c r="C70" s="299"/>
      <c r="D70" s="288" t="str">
        <f>IF(Tableau12[[#This Row],[Quantité restante dans la cuve
(si remplissage, valeur 
avant le plein)]]&lt;=0,"",Tableau12[[#This Row],[Quantité restante dans la cuve
(si remplissage, valeur 
avant le plein)]]+Tableau12[[#This Row],[Remplissage / 
Quantité remise]])</f>
        <v/>
      </c>
      <c r="E70" s="245" t="str">
        <f t="shared" si="4"/>
        <v/>
      </c>
      <c r="F70" s="303" t="str">
        <f t="shared" si="5"/>
        <v/>
      </c>
      <c r="G70" s="304" t="str">
        <f t="shared" si="6"/>
        <v/>
      </c>
      <c r="H70" s="304"/>
      <c r="I70" s="252"/>
      <c r="J70" s="247" t="str">
        <f t="shared" si="7"/>
        <v>Saisie ok</v>
      </c>
    </row>
    <row r="71" spans="1:10">
      <c r="A71" s="298"/>
      <c r="B71" s="299"/>
      <c r="C71" s="299"/>
      <c r="D71" s="288" t="str">
        <f>IF(Tableau12[[#This Row],[Quantité restante dans la cuve
(si remplissage, valeur 
avant le plein)]]&lt;=0,"",Tableau12[[#This Row],[Quantité restante dans la cuve
(si remplissage, valeur 
avant le plein)]]+Tableau12[[#This Row],[Remplissage / 
Quantité remise]])</f>
        <v/>
      </c>
      <c r="E71" s="245" t="str">
        <f t="shared" si="4"/>
        <v/>
      </c>
      <c r="F71" s="303" t="str">
        <f t="shared" si="5"/>
        <v/>
      </c>
      <c r="G71" s="304" t="str">
        <f t="shared" si="6"/>
        <v/>
      </c>
      <c r="H71" s="304"/>
      <c r="I71" s="252"/>
      <c r="J71" s="247" t="str">
        <f t="shared" si="7"/>
        <v>Saisie ok</v>
      </c>
    </row>
    <row r="72" spans="1:10">
      <c r="A72" s="298"/>
      <c r="B72" s="299"/>
      <c r="C72" s="299"/>
      <c r="D72" s="288" t="str">
        <f>IF(Tableau12[[#This Row],[Quantité restante dans la cuve
(si remplissage, valeur 
avant le plein)]]&lt;=0,"",Tableau12[[#This Row],[Quantité restante dans la cuve
(si remplissage, valeur 
avant le plein)]]+Tableau12[[#This Row],[Remplissage / 
Quantité remise]])</f>
        <v/>
      </c>
      <c r="E72" s="245" t="str">
        <f t="shared" si="4"/>
        <v/>
      </c>
      <c r="F72" s="303" t="str">
        <f t="shared" si="5"/>
        <v/>
      </c>
      <c r="G72" s="304" t="str">
        <f t="shared" si="6"/>
        <v/>
      </c>
      <c r="H72" s="304"/>
      <c r="I72" s="252"/>
      <c r="J72" s="247" t="str">
        <f t="shared" si="7"/>
        <v>Saisie ok</v>
      </c>
    </row>
    <row r="73" spans="1:10">
      <c r="A73" s="298"/>
      <c r="B73" s="299"/>
      <c r="C73" s="299"/>
      <c r="D73" s="288" t="str">
        <f>IF(Tableau12[[#This Row],[Quantité restante dans la cuve
(si remplissage, valeur 
avant le plein)]]&lt;=0,"",Tableau12[[#This Row],[Quantité restante dans la cuve
(si remplissage, valeur 
avant le plein)]]+Tableau12[[#This Row],[Remplissage / 
Quantité remise]])</f>
        <v/>
      </c>
      <c r="E73" s="245" t="str">
        <f t="shared" si="4"/>
        <v/>
      </c>
      <c r="F73" s="303" t="str">
        <f t="shared" si="5"/>
        <v/>
      </c>
      <c r="G73" s="304" t="str">
        <f t="shared" si="6"/>
        <v/>
      </c>
      <c r="H73" s="304"/>
      <c r="I73" s="252"/>
      <c r="J73" s="247" t="str">
        <f t="shared" si="7"/>
        <v>Saisie ok</v>
      </c>
    </row>
    <row r="74" spans="1:10">
      <c r="A74" s="298"/>
      <c r="B74" s="299"/>
      <c r="C74" s="299"/>
      <c r="D74" s="288" t="str">
        <f>IF(Tableau12[[#This Row],[Quantité restante dans la cuve
(si remplissage, valeur 
avant le plein)]]&lt;=0,"",Tableau12[[#This Row],[Quantité restante dans la cuve
(si remplissage, valeur 
avant le plein)]]+Tableau12[[#This Row],[Remplissage / 
Quantité remise]])</f>
        <v/>
      </c>
      <c r="E74" s="245" t="str">
        <f t="shared" si="4"/>
        <v/>
      </c>
      <c r="F74" s="303" t="str">
        <f t="shared" si="5"/>
        <v/>
      </c>
      <c r="G74" s="304" t="str">
        <f t="shared" si="6"/>
        <v/>
      </c>
      <c r="H74" s="304"/>
      <c r="I74" s="252"/>
      <c r="J74" s="247" t="str">
        <f t="shared" si="7"/>
        <v>Saisie ok</v>
      </c>
    </row>
    <row r="75" spans="1:10">
      <c r="A75" s="298"/>
      <c r="B75" s="299"/>
      <c r="C75" s="299"/>
      <c r="D75" s="288" t="str">
        <f>IF(Tableau12[[#This Row],[Quantité restante dans la cuve
(si remplissage, valeur 
avant le plein)]]&lt;=0,"",Tableau12[[#This Row],[Quantité restante dans la cuve
(si remplissage, valeur 
avant le plein)]]+Tableau12[[#This Row],[Remplissage / 
Quantité remise]])</f>
        <v/>
      </c>
      <c r="E75" s="245" t="str">
        <f t="shared" si="4"/>
        <v/>
      </c>
      <c r="F75" s="303" t="str">
        <f t="shared" si="5"/>
        <v/>
      </c>
      <c r="G75" s="304" t="str">
        <f t="shared" si="6"/>
        <v/>
      </c>
      <c r="H75" s="304"/>
      <c r="I75" s="252"/>
      <c r="J75" s="247" t="str">
        <f t="shared" si="7"/>
        <v>Saisie ok</v>
      </c>
    </row>
    <row r="76" spans="1:10">
      <c r="A76" s="298"/>
      <c r="B76" s="299"/>
      <c r="C76" s="299"/>
      <c r="D76" s="288" t="str">
        <f>IF(Tableau12[[#This Row],[Quantité restante dans la cuve
(si remplissage, valeur 
avant le plein)]]&lt;=0,"",Tableau12[[#This Row],[Quantité restante dans la cuve
(si remplissage, valeur 
avant le plein)]]+Tableau12[[#This Row],[Remplissage / 
Quantité remise]])</f>
        <v/>
      </c>
      <c r="E76" s="245" t="str">
        <f t="shared" si="4"/>
        <v/>
      </c>
      <c r="F76" s="303" t="str">
        <f t="shared" si="5"/>
        <v/>
      </c>
      <c r="G76" s="304" t="str">
        <f t="shared" si="6"/>
        <v/>
      </c>
      <c r="H76" s="304"/>
      <c r="I76" s="252"/>
      <c r="J76" s="247" t="str">
        <f t="shared" si="7"/>
        <v>Saisie ok</v>
      </c>
    </row>
    <row r="77" spans="1:10">
      <c r="A77" s="298"/>
      <c r="B77" s="299"/>
      <c r="C77" s="299"/>
      <c r="D77" s="288" t="str">
        <f>IF(Tableau12[[#This Row],[Quantité restante dans la cuve
(si remplissage, valeur 
avant le plein)]]&lt;=0,"",Tableau12[[#This Row],[Quantité restante dans la cuve
(si remplissage, valeur 
avant le plein)]]+Tableau12[[#This Row],[Remplissage / 
Quantité remise]])</f>
        <v/>
      </c>
      <c r="E77" s="245" t="str">
        <f t="shared" si="4"/>
        <v/>
      </c>
      <c r="F77" s="303" t="str">
        <f t="shared" si="5"/>
        <v/>
      </c>
      <c r="G77" s="304" t="str">
        <f t="shared" si="6"/>
        <v/>
      </c>
      <c r="H77" s="304"/>
      <c r="I77" s="252"/>
      <c r="J77" s="247" t="str">
        <f t="shared" si="7"/>
        <v>Saisie ok</v>
      </c>
    </row>
    <row r="78" spans="1:10">
      <c r="A78" s="298"/>
      <c r="B78" s="299"/>
      <c r="C78" s="299"/>
      <c r="D78" s="288" t="str">
        <f>IF(Tableau12[[#This Row],[Quantité restante dans la cuve
(si remplissage, valeur 
avant le plein)]]&lt;=0,"",Tableau12[[#This Row],[Quantité restante dans la cuve
(si remplissage, valeur 
avant le plein)]]+Tableau12[[#This Row],[Remplissage / 
Quantité remise]])</f>
        <v/>
      </c>
      <c r="E78" s="245" t="str">
        <f t="shared" si="4"/>
        <v/>
      </c>
      <c r="F78" s="303" t="str">
        <f t="shared" si="5"/>
        <v/>
      </c>
      <c r="G78" s="304" t="str">
        <f t="shared" si="6"/>
        <v/>
      </c>
      <c r="H78" s="304"/>
      <c r="I78" s="252"/>
      <c r="J78" s="247" t="str">
        <f t="shared" si="7"/>
        <v>Saisie ok</v>
      </c>
    </row>
    <row r="79" spans="1:10">
      <c r="A79" s="298"/>
      <c r="B79" s="299"/>
      <c r="C79" s="299"/>
      <c r="D79" s="288" t="str">
        <f>IF(Tableau12[[#This Row],[Quantité restante dans la cuve
(si remplissage, valeur 
avant le plein)]]&lt;=0,"",Tableau12[[#This Row],[Quantité restante dans la cuve
(si remplissage, valeur 
avant le plein)]]+Tableau12[[#This Row],[Remplissage / 
Quantité remise]])</f>
        <v/>
      </c>
      <c r="E79" s="245" t="str">
        <f t="shared" si="4"/>
        <v/>
      </c>
      <c r="F79" s="303" t="str">
        <f t="shared" si="5"/>
        <v/>
      </c>
      <c r="G79" s="304" t="str">
        <f t="shared" si="6"/>
        <v/>
      </c>
      <c r="H79" s="304"/>
      <c r="I79" s="252"/>
      <c r="J79" s="247" t="str">
        <f t="shared" si="7"/>
        <v>Saisie ok</v>
      </c>
    </row>
    <row r="80" spans="1:10">
      <c r="A80" s="298"/>
      <c r="B80" s="299"/>
      <c r="C80" s="299"/>
      <c r="D80" s="288" t="str">
        <f>IF(Tableau12[[#This Row],[Quantité restante dans la cuve
(si remplissage, valeur 
avant le plein)]]&lt;=0,"",Tableau12[[#This Row],[Quantité restante dans la cuve
(si remplissage, valeur 
avant le plein)]]+Tableau12[[#This Row],[Remplissage / 
Quantité remise]])</f>
        <v/>
      </c>
      <c r="E80" s="245" t="str">
        <f t="shared" si="4"/>
        <v/>
      </c>
      <c r="F80" s="303" t="str">
        <f t="shared" si="5"/>
        <v/>
      </c>
      <c r="G80" s="304" t="str">
        <f t="shared" si="6"/>
        <v/>
      </c>
      <c r="H80" s="304"/>
      <c r="I80" s="252"/>
      <c r="J80" s="247" t="str">
        <f t="shared" si="7"/>
        <v>Saisie ok</v>
      </c>
    </row>
    <row r="81" spans="1:10">
      <c r="A81" s="298"/>
      <c r="B81" s="299"/>
      <c r="C81" s="299"/>
      <c r="D81" s="288" t="str">
        <f>IF(Tableau12[[#This Row],[Quantité restante dans la cuve
(si remplissage, valeur 
avant le plein)]]&lt;=0,"",Tableau12[[#This Row],[Quantité restante dans la cuve
(si remplissage, valeur 
avant le plein)]]+Tableau12[[#This Row],[Remplissage / 
Quantité remise]])</f>
        <v/>
      </c>
      <c r="E81" s="245" t="str">
        <f t="shared" si="4"/>
        <v/>
      </c>
      <c r="F81" s="303" t="str">
        <f t="shared" si="5"/>
        <v/>
      </c>
      <c r="G81" s="304" t="str">
        <f t="shared" si="6"/>
        <v/>
      </c>
      <c r="H81" s="304"/>
      <c r="I81" s="252"/>
      <c r="J81" s="247" t="str">
        <f t="shared" si="7"/>
        <v>Saisie ok</v>
      </c>
    </row>
    <row r="82" spans="1:10">
      <c r="A82" s="298"/>
      <c r="B82" s="299"/>
      <c r="C82" s="299"/>
      <c r="D82" s="288" t="str">
        <f>IF(Tableau12[[#This Row],[Quantité restante dans la cuve
(si remplissage, valeur 
avant le plein)]]&lt;=0,"",Tableau12[[#This Row],[Quantité restante dans la cuve
(si remplissage, valeur 
avant le plein)]]+Tableau12[[#This Row],[Remplissage / 
Quantité remise]])</f>
        <v/>
      </c>
      <c r="E82" s="245" t="str">
        <f t="shared" si="4"/>
        <v/>
      </c>
      <c r="F82" s="303" t="str">
        <f t="shared" si="5"/>
        <v/>
      </c>
      <c r="G82" s="304" t="str">
        <f t="shared" si="6"/>
        <v/>
      </c>
      <c r="H82" s="304"/>
      <c r="I82" s="252"/>
      <c r="J82" s="247" t="str">
        <f t="shared" si="7"/>
        <v>Saisie ok</v>
      </c>
    </row>
    <row r="83" spans="1:10">
      <c r="A83" s="298"/>
      <c r="B83" s="299"/>
      <c r="C83" s="299"/>
      <c r="D83" s="288" t="str">
        <f>IF(Tableau12[[#This Row],[Quantité restante dans la cuve
(si remplissage, valeur 
avant le plein)]]&lt;=0,"",Tableau12[[#This Row],[Quantité restante dans la cuve
(si remplissage, valeur 
avant le plein)]]+Tableau12[[#This Row],[Remplissage / 
Quantité remise]])</f>
        <v/>
      </c>
      <c r="E83" s="245" t="str">
        <f t="shared" si="4"/>
        <v/>
      </c>
      <c r="F83" s="303" t="str">
        <f t="shared" si="5"/>
        <v/>
      </c>
      <c r="G83" s="304" t="str">
        <f t="shared" si="6"/>
        <v/>
      </c>
      <c r="H83" s="304"/>
      <c r="I83" s="252"/>
      <c r="J83" s="247" t="str">
        <f t="shared" si="7"/>
        <v>Saisie ok</v>
      </c>
    </row>
    <row r="84" spans="1:10">
      <c r="A84" s="298"/>
      <c r="B84" s="299"/>
      <c r="C84" s="299"/>
      <c r="D84" s="288" t="str">
        <f>IF(Tableau12[[#This Row],[Quantité restante dans la cuve
(si remplissage, valeur 
avant le plein)]]&lt;=0,"",Tableau12[[#This Row],[Quantité restante dans la cuve
(si remplissage, valeur 
avant le plein)]]+Tableau12[[#This Row],[Remplissage / 
Quantité remise]])</f>
        <v/>
      </c>
      <c r="E84" s="245" t="str">
        <f t="shared" si="4"/>
        <v/>
      </c>
      <c r="F84" s="303" t="str">
        <f t="shared" si="5"/>
        <v/>
      </c>
      <c r="G84" s="304" t="str">
        <f t="shared" si="6"/>
        <v/>
      </c>
      <c r="H84" s="304"/>
      <c r="I84" s="252"/>
      <c r="J84" s="247" t="str">
        <f t="shared" si="7"/>
        <v>Saisie ok</v>
      </c>
    </row>
    <row r="85" spans="1:10">
      <c r="A85" s="298"/>
      <c r="B85" s="299"/>
      <c r="C85" s="299"/>
      <c r="D85" s="288" t="str">
        <f>IF(Tableau12[[#This Row],[Quantité restante dans la cuve
(si remplissage, valeur 
avant le plein)]]&lt;=0,"",Tableau12[[#This Row],[Quantité restante dans la cuve
(si remplissage, valeur 
avant le plein)]]+Tableau12[[#This Row],[Remplissage / 
Quantité remise]])</f>
        <v/>
      </c>
      <c r="E85" s="245" t="str">
        <f t="shared" si="4"/>
        <v/>
      </c>
      <c r="F85" s="303" t="str">
        <f t="shared" si="5"/>
        <v/>
      </c>
      <c r="G85" s="304" t="str">
        <f t="shared" si="6"/>
        <v/>
      </c>
      <c r="H85" s="304"/>
      <c r="I85" s="252"/>
      <c r="J85" s="247" t="str">
        <f t="shared" si="7"/>
        <v>Saisie ok</v>
      </c>
    </row>
    <row r="86" spans="1:10">
      <c r="A86" s="298"/>
      <c r="B86" s="299"/>
      <c r="C86" s="299"/>
      <c r="D86" s="288" t="str">
        <f>IF(Tableau12[[#This Row],[Quantité restante dans la cuve
(si remplissage, valeur 
avant le plein)]]&lt;=0,"",Tableau12[[#This Row],[Quantité restante dans la cuve
(si remplissage, valeur 
avant le plein)]]+Tableau12[[#This Row],[Remplissage / 
Quantité remise]])</f>
        <v/>
      </c>
      <c r="E86" s="245" t="str">
        <f t="shared" si="4"/>
        <v/>
      </c>
      <c r="F86" s="303" t="str">
        <f t="shared" si="5"/>
        <v/>
      </c>
      <c r="G86" s="304" t="str">
        <f t="shared" si="6"/>
        <v/>
      </c>
      <c r="H86" s="304"/>
      <c r="I86" s="252"/>
      <c r="J86" s="247" t="str">
        <f t="shared" si="7"/>
        <v>Saisie ok</v>
      </c>
    </row>
    <row r="87" spans="1:10">
      <c r="A87" s="298"/>
      <c r="B87" s="299"/>
      <c r="C87" s="299"/>
      <c r="D87" s="288" t="str">
        <f>IF(Tableau12[[#This Row],[Quantité restante dans la cuve
(si remplissage, valeur 
avant le plein)]]&lt;=0,"",Tableau12[[#This Row],[Quantité restante dans la cuve
(si remplissage, valeur 
avant le plein)]]+Tableau12[[#This Row],[Remplissage / 
Quantité remise]])</f>
        <v/>
      </c>
      <c r="E87" s="245" t="str">
        <f t="shared" si="4"/>
        <v/>
      </c>
      <c r="F87" s="303" t="str">
        <f t="shared" si="5"/>
        <v/>
      </c>
      <c r="G87" s="304" t="str">
        <f t="shared" si="6"/>
        <v/>
      </c>
      <c r="H87" s="304"/>
      <c r="I87" s="252"/>
      <c r="J87" s="247" t="str">
        <f t="shared" si="7"/>
        <v>Saisie ok</v>
      </c>
    </row>
    <row r="88" spans="1:10">
      <c r="A88" s="298"/>
      <c r="B88" s="299"/>
      <c r="C88" s="299"/>
      <c r="D88" s="288" t="str">
        <f>IF(Tableau12[[#This Row],[Quantité restante dans la cuve
(si remplissage, valeur 
avant le plein)]]&lt;=0,"",Tableau12[[#This Row],[Quantité restante dans la cuve
(si remplissage, valeur 
avant le plein)]]+Tableau12[[#This Row],[Remplissage / 
Quantité remise]])</f>
        <v/>
      </c>
      <c r="E88" s="245" t="str">
        <f t="shared" si="4"/>
        <v/>
      </c>
      <c r="F88" s="303" t="str">
        <f t="shared" si="5"/>
        <v/>
      </c>
      <c r="G88" s="304" t="str">
        <f t="shared" si="6"/>
        <v/>
      </c>
      <c r="H88" s="304"/>
      <c r="I88" s="252"/>
      <c r="J88" s="247" t="str">
        <f t="shared" si="7"/>
        <v>Saisie ok</v>
      </c>
    </row>
    <row r="89" spans="1:10">
      <c r="A89" s="298"/>
      <c r="B89" s="299"/>
      <c r="C89" s="299"/>
      <c r="D89" s="288" t="str">
        <f>IF(Tableau12[[#This Row],[Quantité restante dans la cuve
(si remplissage, valeur 
avant le plein)]]&lt;=0,"",Tableau12[[#This Row],[Quantité restante dans la cuve
(si remplissage, valeur 
avant le plein)]]+Tableau12[[#This Row],[Remplissage / 
Quantité remise]])</f>
        <v/>
      </c>
      <c r="E89" s="245" t="str">
        <f t="shared" si="4"/>
        <v/>
      </c>
      <c r="F89" s="303" t="str">
        <f t="shared" si="5"/>
        <v/>
      </c>
      <c r="G89" s="304" t="str">
        <f t="shared" si="6"/>
        <v/>
      </c>
      <c r="H89" s="304"/>
      <c r="I89" s="252"/>
      <c r="J89" s="247" t="str">
        <f t="shared" si="7"/>
        <v>Saisie ok</v>
      </c>
    </row>
    <row r="90" spans="1:10">
      <c r="A90" s="298"/>
      <c r="B90" s="299"/>
      <c r="C90" s="299"/>
      <c r="D90" s="288" t="str">
        <f>IF(Tableau12[[#This Row],[Quantité restante dans la cuve
(si remplissage, valeur 
avant le plein)]]&lt;=0,"",Tableau12[[#This Row],[Quantité restante dans la cuve
(si remplissage, valeur 
avant le plein)]]+Tableau12[[#This Row],[Remplissage / 
Quantité remise]])</f>
        <v/>
      </c>
      <c r="E90" s="245" t="str">
        <f t="shared" si="4"/>
        <v/>
      </c>
      <c r="F90" s="303" t="str">
        <f t="shared" si="5"/>
        <v/>
      </c>
      <c r="G90" s="304" t="str">
        <f t="shared" si="6"/>
        <v/>
      </c>
      <c r="H90" s="304"/>
      <c r="I90" s="252"/>
      <c r="J90" s="247" t="str">
        <f t="shared" si="7"/>
        <v>Saisie ok</v>
      </c>
    </row>
    <row r="91" spans="1:10">
      <c r="A91" s="298"/>
      <c r="B91" s="299"/>
      <c r="C91" s="299"/>
      <c r="D91" s="288" t="str">
        <f>IF(Tableau12[[#This Row],[Quantité restante dans la cuve
(si remplissage, valeur 
avant le plein)]]&lt;=0,"",Tableau12[[#This Row],[Quantité restante dans la cuve
(si remplissage, valeur 
avant le plein)]]+Tableau12[[#This Row],[Remplissage / 
Quantité remise]])</f>
        <v/>
      </c>
      <c r="E91" s="245" t="str">
        <f t="shared" si="4"/>
        <v/>
      </c>
      <c r="F91" s="303" t="str">
        <f t="shared" si="5"/>
        <v/>
      </c>
      <c r="G91" s="304" t="str">
        <f t="shared" si="6"/>
        <v/>
      </c>
      <c r="H91" s="304"/>
      <c r="I91" s="252"/>
      <c r="J91" s="247" t="str">
        <f t="shared" si="7"/>
        <v>Saisie ok</v>
      </c>
    </row>
    <row r="92" spans="1:10">
      <c r="A92" s="298"/>
      <c r="B92" s="299"/>
      <c r="C92" s="299"/>
      <c r="D92" s="288" t="str">
        <f>IF(Tableau12[[#This Row],[Quantité restante dans la cuve
(si remplissage, valeur 
avant le plein)]]&lt;=0,"",Tableau12[[#This Row],[Quantité restante dans la cuve
(si remplissage, valeur 
avant le plein)]]+Tableau12[[#This Row],[Remplissage / 
Quantité remise]])</f>
        <v/>
      </c>
      <c r="E92" s="245" t="str">
        <f t="shared" si="4"/>
        <v/>
      </c>
      <c r="F92" s="303" t="str">
        <f t="shared" si="5"/>
        <v/>
      </c>
      <c r="G92" s="304" t="str">
        <f t="shared" si="6"/>
        <v/>
      </c>
      <c r="H92" s="304"/>
      <c r="I92" s="252"/>
      <c r="J92" s="247" t="str">
        <f t="shared" si="7"/>
        <v>Saisie ok</v>
      </c>
    </row>
    <row r="93" spans="1:10">
      <c r="A93" s="298"/>
      <c r="B93" s="299"/>
      <c r="C93" s="299"/>
      <c r="D93" s="288" t="str">
        <f>IF(Tableau12[[#This Row],[Quantité restante dans la cuve
(si remplissage, valeur 
avant le plein)]]&lt;=0,"",Tableau12[[#This Row],[Quantité restante dans la cuve
(si remplissage, valeur 
avant le plein)]]+Tableau12[[#This Row],[Remplissage / 
Quantité remise]])</f>
        <v/>
      </c>
      <c r="E93" s="245" t="str">
        <f t="shared" si="4"/>
        <v/>
      </c>
      <c r="F93" s="303" t="str">
        <f t="shared" si="5"/>
        <v/>
      </c>
      <c r="G93" s="304" t="str">
        <f t="shared" si="6"/>
        <v/>
      </c>
      <c r="H93" s="304"/>
      <c r="I93" s="252"/>
      <c r="J93" s="247" t="str">
        <f t="shared" si="7"/>
        <v>Saisie ok</v>
      </c>
    </row>
    <row r="94" spans="1:10">
      <c r="A94" s="298"/>
      <c r="B94" s="299"/>
      <c r="C94" s="299"/>
      <c r="D94" s="288" t="str">
        <f>IF(Tableau12[[#This Row],[Quantité restante dans la cuve
(si remplissage, valeur 
avant le plein)]]&lt;=0,"",Tableau12[[#This Row],[Quantité restante dans la cuve
(si remplissage, valeur 
avant le plein)]]+Tableau12[[#This Row],[Remplissage / 
Quantité remise]])</f>
        <v/>
      </c>
      <c r="E94" s="245" t="str">
        <f t="shared" si="4"/>
        <v/>
      </c>
      <c r="F94" s="303" t="str">
        <f t="shared" si="5"/>
        <v/>
      </c>
      <c r="G94" s="304" t="str">
        <f t="shared" si="6"/>
        <v/>
      </c>
      <c r="H94" s="304"/>
      <c r="I94" s="252"/>
      <c r="J94" s="247" t="str">
        <f t="shared" si="7"/>
        <v>Saisie ok</v>
      </c>
    </row>
    <row r="95" spans="1:10">
      <c r="A95" s="298"/>
      <c r="B95" s="299"/>
      <c r="C95" s="299"/>
      <c r="D95" s="288" t="str">
        <f>IF(Tableau12[[#This Row],[Quantité restante dans la cuve
(si remplissage, valeur 
avant le plein)]]&lt;=0,"",Tableau12[[#This Row],[Quantité restante dans la cuve
(si remplissage, valeur 
avant le plein)]]+Tableau12[[#This Row],[Remplissage / 
Quantité remise]])</f>
        <v/>
      </c>
      <c r="E95" s="245" t="str">
        <f t="shared" si="4"/>
        <v/>
      </c>
      <c r="F95" s="303" t="str">
        <f t="shared" si="5"/>
        <v/>
      </c>
      <c r="G95" s="304" t="str">
        <f t="shared" si="6"/>
        <v/>
      </c>
      <c r="H95" s="304"/>
      <c r="I95" s="252"/>
      <c r="J95" s="247" t="str">
        <f t="shared" si="7"/>
        <v>Saisie ok</v>
      </c>
    </row>
    <row r="96" spans="1:10">
      <c r="A96" s="298"/>
      <c r="B96" s="299"/>
      <c r="C96" s="299"/>
      <c r="D96" s="288" t="str">
        <f>IF(Tableau12[[#This Row],[Quantité restante dans la cuve
(si remplissage, valeur 
avant le plein)]]&lt;=0,"",Tableau12[[#This Row],[Quantité restante dans la cuve
(si remplissage, valeur 
avant le plein)]]+Tableau12[[#This Row],[Remplissage / 
Quantité remise]])</f>
        <v/>
      </c>
      <c r="E96" s="245" t="str">
        <f t="shared" si="4"/>
        <v/>
      </c>
      <c r="F96" s="303" t="str">
        <f t="shared" si="5"/>
        <v/>
      </c>
      <c r="G96" s="304" t="str">
        <f t="shared" si="6"/>
        <v/>
      </c>
      <c r="H96" s="304"/>
      <c r="I96" s="252"/>
      <c r="J96" s="247" t="str">
        <f t="shared" si="7"/>
        <v>Saisie ok</v>
      </c>
    </row>
    <row r="97" spans="1:10">
      <c r="A97" s="298"/>
      <c r="B97" s="299"/>
      <c r="C97" s="299"/>
      <c r="D97" s="288" t="str">
        <f>IF(Tableau12[[#This Row],[Quantité restante dans la cuve
(si remplissage, valeur 
avant le plein)]]&lt;=0,"",Tableau12[[#This Row],[Quantité restante dans la cuve
(si remplissage, valeur 
avant le plein)]]+Tableau12[[#This Row],[Remplissage / 
Quantité remise]])</f>
        <v/>
      </c>
      <c r="E97" s="245" t="str">
        <f t="shared" si="4"/>
        <v/>
      </c>
      <c r="F97" s="303" t="str">
        <f t="shared" si="5"/>
        <v/>
      </c>
      <c r="G97" s="304" t="str">
        <f t="shared" si="6"/>
        <v/>
      </c>
      <c r="H97" s="304"/>
      <c r="I97" s="252"/>
      <c r="J97" s="247" t="str">
        <f t="shared" si="7"/>
        <v>Saisie ok</v>
      </c>
    </row>
    <row r="98" spans="1:10">
      <c r="A98" s="298"/>
      <c r="B98" s="299"/>
      <c r="C98" s="299"/>
      <c r="D98" s="288" t="str">
        <f>IF(Tableau12[[#This Row],[Quantité restante dans la cuve
(si remplissage, valeur 
avant le plein)]]&lt;=0,"",Tableau12[[#This Row],[Quantité restante dans la cuve
(si remplissage, valeur 
avant le plein)]]+Tableau12[[#This Row],[Remplissage / 
Quantité remise]])</f>
        <v/>
      </c>
      <c r="E98" s="245" t="str">
        <f t="shared" si="4"/>
        <v/>
      </c>
      <c r="F98" s="303" t="str">
        <f t="shared" si="5"/>
        <v/>
      </c>
      <c r="G98" s="304" t="str">
        <f t="shared" si="6"/>
        <v/>
      </c>
      <c r="H98" s="304"/>
      <c r="I98" s="252"/>
      <c r="J98" s="247" t="str">
        <f t="shared" si="7"/>
        <v>Saisie ok</v>
      </c>
    </row>
    <row r="99" spans="1:10">
      <c r="A99" s="298"/>
      <c r="B99" s="299"/>
      <c r="C99" s="299"/>
      <c r="D99" s="288" t="str">
        <f>IF(Tableau12[[#This Row],[Quantité restante dans la cuve
(si remplissage, valeur 
avant le plein)]]&lt;=0,"",Tableau12[[#This Row],[Quantité restante dans la cuve
(si remplissage, valeur 
avant le plein)]]+Tableau12[[#This Row],[Remplissage / 
Quantité remise]])</f>
        <v/>
      </c>
      <c r="E99" s="245" t="str">
        <f t="shared" si="4"/>
        <v/>
      </c>
      <c r="F99" s="303" t="str">
        <f t="shared" si="5"/>
        <v/>
      </c>
      <c r="G99" s="304" t="str">
        <f t="shared" si="6"/>
        <v/>
      </c>
      <c r="H99" s="304"/>
      <c r="I99" s="252"/>
      <c r="J99" s="247" t="str">
        <f t="shared" si="7"/>
        <v>Saisie ok</v>
      </c>
    </row>
    <row r="100" spans="1:10">
      <c r="A100" s="298"/>
      <c r="B100" s="299"/>
      <c r="C100" s="299"/>
      <c r="D100" s="288" t="str">
        <f>IF(Tableau12[[#This Row],[Quantité restante dans la cuve
(si remplissage, valeur 
avant le plein)]]&lt;=0,"",Tableau12[[#This Row],[Quantité restante dans la cuve
(si remplissage, valeur 
avant le plein)]]+Tableau12[[#This Row],[Remplissage / 
Quantité remise]])</f>
        <v/>
      </c>
      <c r="E100" s="245" t="str">
        <f t="shared" si="4"/>
        <v/>
      </c>
      <c r="F100" s="303" t="str">
        <f t="shared" si="5"/>
        <v/>
      </c>
      <c r="G100" s="304" t="str">
        <f t="shared" si="6"/>
        <v/>
      </c>
      <c r="H100" s="304"/>
      <c r="I100" s="252"/>
      <c r="J100" s="247" t="str">
        <f t="shared" si="7"/>
        <v>Saisie ok</v>
      </c>
    </row>
    <row r="101" spans="1:10">
      <c r="A101" s="298"/>
      <c r="B101" s="299"/>
      <c r="C101" s="299"/>
      <c r="D101" s="288" t="str">
        <f>IF(Tableau12[[#This Row],[Quantité restante dans la cuve
(si remplissage, valeur 
avant le plein)]]&lt;=0,"",Tableau12[[#This Row],[Quantité restante dans la cuve
(si remplissage, valeur 
avant le plein)]]+Tableau12[[#This Row],[Remplissage / 
Quantité remise]])</f>
        <v/>
      </c>
      <c r="E101" s="245" t="str">
        <f t="shared" si="4"/>
        <v/>
      </c>
      <c r="F101" s="303" t="str">
        <f t="shared" si="5"/>
        <v/>
      </c>
      <c r="G101" s="304" t="str">
        <f t="shared" si="6"/>
        <v/>
      </c>
      <c r="H101" s="304"/>
      <c r="I101" s="252"/>
      <c r="J101" s="247" t="str">
        <f t="shared" si="7"/>
        <v>Saisie ok</v>
      </c>
    </row>
    <row r="102" spans="1:10">
      <c r="A102" s="298"/>
      <c r="B102" s="299"/>
      <c r="C102" s="299"/>
      <c r="D102" s="288" t="str">
        <f>IF(Tableau12[[#This Row],[Quantité restante dans la cuve
(si remplissage, valeur 
avant le plein)]]&lt;=0,"",Tableau12[[#This Row],[Quantité restante dans la cuve
(si remplissage, valeur 
avant le plein)]]+Tableau12[[#This Row],[Remplissage / 
Quantité remise]])</f>
        <v/>
      </c>
      <c r="E102" s="245" t="str">
        <f t="shared" si="4"/>
        <v/>
      </c>
      <c r="F102" s="303" t="str">
        <f t="shared" si="5"/>
        <v/>
      </c>
      <c r="G102" s="304" t="str">
        <f t="shared" si="6"/>
        <v/>
      </c>
      <c r="H102" s="304"/>
      <c r="I102" s="252"/>
      <c r="J102" s="247" t="str">
        <f t="shared" si="7"/>
        <v>Saisie ok</v>
      </c>
    </row>
    <row r="103" spans="1:10">
      <c r="A103" s="298"/>
      <c r="B103" s="299"/>
      <c r="C103" s="299"/>
      <c r="D103" s="288" t="str">
        <f>IF(Tableau12[[#This Row],[Quantité restante dans la cuve
(si remplissage, valeur 
avant le plein)]]&lt;=0,"",Tableau12[[#This Row],[Quantité restante dans la cuve
(si remplissage, valeur 
avant le plein)]]+Tableau12[[#This Row],[Remplissage / 
Quantité remise]])</f>
        <v/>
      </c>
      <c r="E103" s="245" t="str">
        <f t="shared" si="4"/>
        <v/>
      </c>
      <c r="F103" s="303" t="str">
        <f t="shared" si="5"/>
        <v/>
      </c>
      <c r="G103" s="304" t="str">
        <f t="shared" si="6"/>
        <v/>
      </c>
      <c r="H103" s="304"/>
      <c r="I103" s="252"/>
      <c r="J103" s="247" t="str">
        <f t="shared" si="7"/>
        <v>Saisie ok</v>
      </c>
    </row>
    <row r="104" spans="1:10">
      <c r="A104" s="298"/>
      <c r="B104" s="299"/>
      <c r="C104" s="299"/>
      <c r="D104" s="288" t="str">
        <f>IF(Tableau12[[#This Row],[Quantité restante dans la cuve
(si remplissage, valeur 
avant le plein)]]&lt;=0,"",Tableau12[[#This Row],[Quantité restante dans la cuve
(si remplissage, valeur 
avant le plein)]]+Tableau12[[#This Row],[Remplissage / 
Quantité remise]])</f>
        <v/>
      </c>
      <c r="E104" s="245" t="str">
        <f t="shared" si="4"/>
        <v/>
      </c>
      <c r="F104" s="303" t="str">
        <f t="shared" si="5"/>
        <v/>
      </c>
      <c r="G104" s="304" t="str">
        <f t="shared" si="6"/>
        <v/>
      </c>
      <c r="H104" s="304"/>
      <c r="I104" s="252"/>
      <c r="J104" s="247" t="str">
        <f t="shared" si="7"/>
        <v>Saisie ok</v>
      </c>
    </row>
    <row r="105" spans="1:10">
      <c r="A105" s="298"/>
      <c r="B105" s="299"/>
      <c r="C105" s="299"/>
      <c r="D105" s="288" t="str">
        <f>IF(Tableau12[[#This Row],[Quantité restante dans la cuve
(si remplissage, valeur 
avant le plein)]]&lt;=0,"",Tableau12[[#This Row],[Quantité restante dans la cuve
(si remplissage, valeur 
avant le plein)]]+Tableau12[[#This Row],[Remplissage / 
Quantité remise]])</f>
        <v/>
      </c>
      <c r="E105" s="245" t="str">
        <f t="shared" si="4"/>
        <v/>
      </c>
      <c r="F105" s="303" t="str">
        <f t="shared" si="5"/>
        <v/>
      </c>
      <c r="G105" s="304" t="str">
        <f t="shared" si="6"/>
        <v/>
      </c>
      <c r="H105" s="304"/>
      <c r="I105" s="252"/>
      <c r="J105" s="247" t="str">
        <f t="shared" si="7"/>
        <v>Saisie ok</v>
      </c>
    </row>
    <row r="106" spans="1:10">
      <c r="A106" s="298"/>
      <c r="B106" s="299"/>
      <c r="C106" s="299"/>
      <c r="D106" s="288" t="str">
        <f>IF(Tableau12[[#This Row],[Quantité restante dans la cuve
(si remplissage, valeur 
avant le plein)]]&lt;=0,"",Tableau12[[#This Row],[Quantité restante dans la cuve
(si remplissage, valeur 
avant le plein)]]+Tableau12[[#This Row],[Remplissage / 
Quantité remise]])</f>
        <v/>
      </c>
      <c r="E106" s="245" t="str">
        <f t="shared" si="4"/>
        <v/>
      </c>
      <c r="F106" s="303" t="str">
        <f t="shared" si="5"/>
        <v/>
      </c>
      <c r="G106" s="304" t="str">
        <f t="shared" si="6"/>
        <v/>
      </c>
      <c r="H106" s="304"/>
      <c r="I106" s="252"/>
      <c r="J106" s="247" t="str">
        <f t="shared" si="7"/>
        <v>Saisie ok</v>
      </c>
    </row>
    <row r="107" spans="1:10">
      <c r="A107" s="298"/>
      <c r="B107" s="299"/>
      <c r="C107" s="299"/>
      <c r="D107" s="288" t="str">
        <f>IF(Tableau12[[#This Row],[Quantité restante dans la cuve
(si remplissage, valeur 
avant le plein)]]&lt;=0,"",Tableau12[[#This Row],[Quantité restante dans la cuve
(si remplissage, valeur 
avant le plein)]]+Tableau12[[#This Row],[Remplissage / 
Quantité remise]])</f>
        <v/>
      </c>
      <c r="E107" s="245" t="str">
        <f t="shared" si="4"/>
        <v/>
      </c>
      <c r="F107" s="303" t="str">
        <f t="shared" si="5"/>
        <v/>
      </c>
      <c r="G107" s="304" t="str">
        <f t="shared" si="6"/>
        <v/>
      </c>
      <c r="H107" s="304"/>
      <c r="I107" s="252"/>
      <c r="J107" s="247" t="str">
        <f t="shared" si="7"/>
        <v>Saisie ok</v>
      </c>
    </row>
    <row r="108" spans="1:10">
      <c r="A108" s="298"/>
      <c r="B108" s="299"/>
      <c r="C108" s="299"/>
      <c r="D108" s="288" t="str">
        <f>IF(Tableau12[[#This Row],[Quantité restante dans la cuve
(si remplissage, valeur 
avant le plein)]]&lt;=0,"",Tableau12[[#This Row],[Quantité restante dans la cuve
(si remplissage, valeur 
avant le plein)]]+Tableau12[[#This Row],[Remplissage / 
Quantité remise]])</f>
        <v/>
      </c>
      <c r="E108" s="245" t="str">
        <f t="shared" si="4"/>
        <v/>
      </c>
      <c r="F108" s="303" t="str">
        <f t="shared" si="5"/>
        <v/>
      </c>
      <c r="G108" s="304" t="str">
        <f t="shared" si="6"/>
        <v/>
      </c>
      <c r="H108" s="304"/>
      <c r="I108" s="252"/>
      <c r="J108" s="247" t="str">
        <f t="shared" si="7"/>
        <v>Saisie ok</v>
      </c>
    </row>
    <row r="109" spans="1:10">
      <c r="A109" s="298"/>
      <c r="B109" s="299"/>
      <c r="C109" s="299"/>
      <c r="D109" s="288" t="str">
        <f>IF(Tableau12[[#This Row],[Quantité restante dans la cuve
(si remplissage, valeur 
avant le plein)]]&lt;=0,"",Tableau12[[#This Row],[Quantité restante dans la cuve
(si remplissage, valeur 
avant le plein)]]+Tableau12[[#This Row],[Remplissage / 
Quantité remise]])</f>
        <v/>
      </c>
      <c r="E109" s="245" t="str">
        <f t="shared" si="4"/>
        <v/>
      </c>
      <c r="F109" s="303" t="str">
        <f t="shared" si="5"/>
        <v/>
      </c>
      <c r="G109" s="304" t="str">
        <f t="shared" si="6"/>
        <v/>
      </c>
      <c r="H109" s="304"/>
      <c r="I109" s="252"/>
      <c r="J109" s="247" t="str">
        <f t="shared" si="7"/>
        <v>Saisie ok</v>
      </c>
    </row>
    <row r="110" spans="1:10">
      <c r="A110" s="298"/>
      <c r="B110" s="299"/>
      <c r="C110" s="299"/>
      <c r="D110" s="288" t="str">
        <f>IF(Tableau12[[#This Row],[Quantité restante dans la cuve
(si remplissage, valeur 
avant le plein)]]&lt;=0,"",Tableau12[[#This Row],[Quantité restante dans la cuve
(si remplissage, valeur 
avant le plein)]]+Tableau12[[#This Row],[Remplissage / 
Quantité remise]])</f>
        <v/>
      </c>
      <c r="E110" s="245" t="str">
        <f t="shared" si="4"/>
        <v/>
      </c>
      <c r="F110" s="303" t="str">
        <f t="shared" si="5"/>
        <v/>
      </c>
      <c r="G110" s="304" t="str">
        <f t="shared" si="6"/>
        <v/>
      </c>
      <c r="H110" s="304"/>
      <c r="I110" s="252"/>
      <c r="J110" s="247" t="str">
        <f t="shared" si="7"/>
        <v>Saisie ok</v>
      </c>
    </row>
    <row r="111" spans="1:10">
      <c r="A111" s="298"/>
      <c r="B111" s="299"/>
      <c r="C111" s="299"/>
      <c r="D111" s="288" t="str">
        <f>IF(Tableau12[[#This Row],[Quantité restante dans la cuve
(si remplissage, valeur 
avant le plein)]]&lt;=0,"",Tableau12[[#This Row],[Quantité restante dans la cuve
(si remplissage, valeur 
avant le plein)]]+Tableau12[[#This Row],[Remplissage / 
Quantité remise]])</f>
        <v/>
      </c>
      <c r="E111" s="245" t="str">
        <f t="shared" si="4"/>
        <v/>
      </c>
      <c r="F111" s="303" t="str">
        <f t="shared" si="5"/>
        <v/>
      </c>
      <c r="G111" s="304" t="str">
        <f t="shared" si="6"/>
        <v/>
      </c>
      <c r="H111" s="304"/>
      <c r="I111" s="252"/>
      <c r="J111" s="247" t="str">
        <f t="shared" si="7"/>
        <v>Saisie ok</v>
      </c>
    </row>
    <row r="112" spans="1:10">
      <c r="A112" s="298"/>
      <c r="B112" s="299"/>
      <c r="C112" s="299"/>
      <c r="D112" s="288" t="str">
        <f>IF(Tableau12[[#This Row],[Quantité restante dans la cuve
(si remplissage, valeur 
avant le plein)]]&lt;=0,"",Tableau12[[#This Row],[Quantité restante dans la cuve
(si remplissage, valeur 
avant le plein)]]+Tableau12[[#This Row],[Remplissage / 
Quantité remise]])</f>
        <v/>
      </c>
      <c r="E112" s="245" t="str">
        <f t="shared" si="4"/>
        <v/>
      </c>
      <c r="F112" s="303" t="str">
        <f t="shared" si="5"/>
        <v/>
      </c>
      <c r="G112" s="304" t="str">
        <f t="shared" si="6"/>
        <v/>
      </c>
      <c r="H112" s="304"/>
      <c r="I112" s="252"/>
      <c r="J112" s="247" t="str">
        <f t="shared" si="7"/>
        <v>Saisie ok</v>
      </c>
    </row>
    <row r="113" spans="1:10">
      <c r="A113" s="298"/>
      <c r="B113" s="299"/>
      <c r="C113" s="299"/>
      <c r="D113" s="288" t="str">
        <f>IF(Tableau12[[#This Row],[Quantité restante dans la cuve
(si remplissage, valeur 
avant le plein)]]&lt;=0,"",Tableau12[[#This Row],[Quantité restante dans la cuve
(si remplissage, valeur 
avant le plein)]]+Tableau12[[#This Row],[Remplissage / 
Quantité remise]])</f>
        <v/>
      </c>
      <c r="E113" s="245" t="str">
        <f t="shared" si="4"/>
        <v/>
      </c>
      <c r="F113" s="303" t="str">
        <f t="shared" si="5"/>
        <v/>
      </c>
      <c r="G113" s="304" t="str">
        <f t="shared" si="6"/>
        <v/>
      </c>
      <c r="H113" s="304"/>
      <c r="I113" s="252"/>
      <c r="J113" s="247" t="str">
        <f t="shared" si="7"/>
        <v>Saisie ok</v>
      </c>
    </row>
    <row r="114" spans="1:10">
      <c r="A114" s="298"/>
      <c r="B114" s="299"/>
      <c r="C114" s="299"/>
      <c r="D114" s="288" t="str">
        <f>IF(Tableau12[[#This Row],[Quantité restante dans la cuve
(si remplissage, valeur 
avant le plein)]]&lt;=0,"",Tableau12[[#This Row],[Quantité restante dans la cuve
(si remplissage, valeur 
avant le plein)]]+Tableau12[[#This Row],[Remplissage / 
Quantité remise]])</f>
        <v/>
      </c>
      <c r="E114" s="245" t="str">
        <f t="shared" si="4"/>
        <v/>
      </c>
      <c r="F114" s="303" t="str">
        <f t="shared" si="5"/>
        <v/>
      </c>
      <c r="G114" s="304" t="str">
        <f t="shared" si="6"/>
        <v/>
      </c>
      <c r="H114" s="304"/>
      <c r="I114" s="252"/>
      <c r="J114" s="247" t="str">
        <f t="shared" si="7"/>
        <v>Saisie ok</v>
      </c>
    </row>
    <row r="115" spans="1:10">
      <c r="A115" s="298"/>
      <c r="B115" s="299"/>
      <c r="C115" s="299"/>
      <c r="D115" s="288" t="str">
        <f>IF(Tableau12[[#This Row],[Quantité restante dans la cuve
(si remplissage, valeur 
avant le plein)]]&lt;=0,"",Tableau12[[#This Row],[Quantité restante dans la cuve
(si remplissage, valeur 
avant le plein)]]+Tableau12[[#This Row],[Remplissage / 
Quantité remise]])</f>
        <v/>
      </c>
      <c r="E115" s="245" t="str">
        <f t="shared" si="4"/>
        <v/>
      </c>
      <c r="F115" s="303" t="str">
        <f t="shared" si="5"/>
        <v/>
      </c>
      <c r="G115" s="304" t="str">
        <f t="shared" si="6"/>
        <v/>
      </c>
      <c r="H115" s="304"/>
      <c r="I115" s="252"/>
      <c r="J115" s="247" t="str">
        <f t="shared" si="7"/>
        <v>Saisie ok</v>
      </c>
    </row>
    <row r="116" spans="1:10">
      <c r="A116" s="298"/>
      <c r="B116" s="299"/>
      <c r="C116" s="299"/>
      <c r="D116" s="288" t="str">
        <f>IF(Tableau12[[#This Row],[Quantité restante dans la cuve
(si remplissage, valeur 
avant le plein)]]&lt;=0,"",Tableau12[[#This Row],[Quantité restante dans la cuve
(si remplissage, valeur 
avant le plein)]]+Tableau12[[#This Row],[Remplissage / 
Quantité remise]])</f>
        <v/>
      </c>
      <c r="E116" s="245" t="str">
        <f t="shared" si="4"/>
        <v/>
      </c>
      <c r="F116" s="303" t="str">
        <f t="shared" si="5"/>
        <v/>
      </c>
      <c r="G116" s="304" t="str">
        <f t="shared" si="6"/>
        <v/>
      </c>
      <c r="H116" s="304"/>
      <c r="I116" s="252"/>
      <c r="J116" s="247" t="str">
        <f t="shared" si="7"/>
        <v>Saisie ok</v>
      </c>
    </row>
    <row r="117" spans="1:10">
      <c r="A117" s="298"/>
      <c r="B117" s="299"/>
      <c r="C117" s="299"/>
      <c r="D117" s="288" t="str">
        <f>IF(Tableau12[[#This Row],[Quantité restante dans la cuve
(si remplissage, valeur 
avant le plein)]]&lt;=0,"",Tableau12[[#This Row],[Quantité restante dans la cuve
(si remplissage, valeur 
avant le plein)]]+Tableau12[[#This Row],[Remplissage / 
Quantité remise]])</f>
        <v/>
      </c>
      <c r="E117" s="245" t="str">
        <f t="shared" si="4"/>
        <v/>
      </c>
      <c r="F117" s="303" t="str">
        <f t="shared" si="5"/>
        <v/>
      </c>
      <c r="G117" s="304" t="str">
        <f t="shared" si="6"/>
        <v/>
      </c>
      <c r="H117" s="304"/>
      <c r="I117" s="252"/>
      <c r="J117" s="247" t="str">
        <f t="shared" si="7"/>
        <v>Saisie ok</v>
      </c>
    </row>
    <row r="118" spans="1:10">
      <c r="A118" s="298"/>
      <c r="B118" s="299"/>
      <c r="C118" s="299"/>
      <c r="D118" s="288" t="str">
        <f>IF(Tableau12[[#This Row],[Quantité restante dans la cuve
(si remplissage, valeur 
avant le plein)]]&lt;=0,"",Tableau12[[#This Row],[Quantité restante dans la cuve
(si remplissage, valeur 
avant le plein)]]+Tableau12[[#This Row],[Remplissage / 
Quantité remise]])</f>
        <v/>
      </c>
      <c r="E118" s="245" t="str">
        <f t="shared" si="4"/>
        <v/>
      </c>
      <c r="F118" s="303" t="str">
        <f t="shared" si="5"/>
        <v/>
      </c>
      <c r="G118" s="304" t="str">
        <f t="shared" si="6"/>
        <v/>
      </c>
      <c r="H118" s="304"/>
      <c r="I118" s="252"/>
      <c r="J118" s="247" t="str">
        <f t="shared" si="7"/>
        <v>Saisie ok</v>
      </c>
    </row>
    <row r="119" spans="1:10">
      <c r="A119" s="298"/>
      <c r="B119" s="299"/>
      <c r="C119" s="299"/>
      <c r="D119" s="288" t="str">
        <f>IF(Tableau12[[#This Row],[Quantité restante dans la cuve
(si remplissage, valeur 
avant le plein)]]&lt;=0,"",Tableau12[[#This Row],[Quantité restante dans la cuve
(si remplissage, valeur 
avant le plein)]]+Tableau12[[#This Row],[Remplissage / 
Quantité remise]])</f>
        <v/>
      </c>
      <c r="E119" s="245" t="str">
        <f t="shared" si="4"/>
        <v/>
      </c>
      <c r="F119" s="303" t="str">
        <f t="shared" si="5"/>
        <v/>
      </c>
      <c r="G119" s="304" t="str">
        <f t="shared" si="6"/>
        <v/>
      </c>
      <c r="H119" s="304"/>
      <c r="I119" s="252"/>
      <c r="J119" s="247" t="str">
        <f t="shared" si="7"/>
        <v>Saisie ok</v>
      </c>
    </row>
    <row r="120" spans="1:10">
      <c r="A120" s="298"/>
      <c r="B120" s="299"/>
      <c r="C120" s="299"/>
      <c r="D120" s="288" t="str">
        <f>IF(Tableau12[[#This Row],[Quantité restante dans la cuve
(si remplissage, valeur 
avant le plein)]]&lt;=0,"",Tableau12[[#This Row],[Quantité restante dans la cuve
(si remplissage, valeur 
avant le plein)]]+Tableau12[[#This Row],[Remplissage / 
Quantité remise]])</f>
        <v/>
      </c>
      <c r="E120" s="245" t="str">
        <f t="shared" si="4"/>
        <v/>
      </c>
      <c r="F120" s="303" t="str">
        <f t="shared" si="5"/>
        <v/>
      </c>
      <c r="G120" s="304" t="str">
        <f t="shared" si="6"/>
        <v/>
      </c>
      <c r="H120" s="304"/>
      <c r="I120" s="252"/>
      <c r="J120" s="247" t="str">
        <f t="shared" si="7"/>
        <v>Saisie ok</v>
      </c>
    </row>
    <row r="121" spans="1:10">
      <c r="A121" s="298"/>
      <c r="B121" s="299"/>
      <c r="C121" s="299"/>
      <c r="D121" s="288" t="str">
        <f>IF(Tableau12[[#This Row],[Quantité restante dans la cuve
(si remplissage, valeur 
avant le plein)]]&lt;=0,"",Tableau12[[#This Row],[Quantité restante dans la cuve
(si remplissage, valeur 
avant le plein)]]+Tableau12[[#This Row],[Remplissage / 
Quantité remise]])</f>
        <v/>
      </c>
      <c r="E121" s="245" t="str">
        <f t="shared" si="4"/>
        <v/>
      </c>
      <c r="F121" s="303" t="str">
        <f t="shared" si="5"/>
        <v/>
      </c>
      <c r="G121" s="304" t="str">
        <f t="shared" si="6"/>
        <v/>
      </c>
      <c r="H121" s="304"/>
      <c r="I121" s="252"/>
      <c r="J121" s="247" t="str">
        <f t="shared" si="7"/>
        <v>Saisie ok</v>
      </c>
    </row>
    <row r="122" spans="1:10">
      <c r="A122" s="298"/>
      <c r="B122" s="299"/>
      <c r="C122" s="299"/>
      <c r="D122" s="288" t="str">
        <f>IF(Tableau12[[#This Row],[Quantité restante dans la cuve
(si remplissage, valeur 
avant le plein)]]&lt;=0,"",Tableau12[[#This Row],[Quantité restante dans la cuve
(si remplissage, valeur 
avant le plein)]]+Tableau12[[#This Row],[Remplissage / 
Quantité remise]])</f>
        <v/>
      </c>
      <c r="E122" s="245" t="str">
        <f t="shared" si="4"/>
        <v/>
      </c>
      <c r="F122" s="303" t="str">
        <f t="shared" si="5"/>
        <v/>
      </c>
      <c r="G122" s="304" t="str">
        <f t="shared" si="6"/>
        <v/>
      </c>
      <c r="H122" s="304"/>
      <c r="I122" s="252"/>
      <c r="J122" s="247" t="str">
        <f t="shared" si="7"/>
        <v>Saisie ok</v>
      </c>
    </row>
    <row r="123" spans="1:10">
      <c r="A123" s="298"/>
      <c r="B123" s="299"/>
      <c r="C123" s="299"/>
      <c r="D123" s="288" t="str">
        <f>IF(Tableau12[[#This Row],[Quantité restante dans la cuve
(si remplissage, valeur 
avant le plein)]]&lt;=0,"",Tableau12[[#This Row],[Quantité restante dans la cuve
(si remplissage, valeur 
avant le plein)]]+Tableau12[[#This Row],[Remplissage / 
Quantité remise]])</f>
        <v/>
      </c>
      <c r="E123" s="245" t="str">
        <f t="shared" si="4"/>
        <v/>
      </c>
      <c r="F123" s="303" t="str">
        <f t="shared" si="5"/>
        <v/>
      </c>
      <c r="G123" s="304" t="str">
        <f t="shared" si="6"/>
        <v/>
      </c>
      <c r="H123" s="304"/>
      <c r="I123" s="252"/>
      <c r="J123" s="247" t="str">
        <f t="shared" si="7"/>
        <v>Saisie ok</v>
      </c>
    </row>
    <row r="124" spans="1:10">
      <c r="A124" s="298"/>
      <c r="B124" s="299"/>
      <c r="C124" s="299"/>
      <c r="D124" s="288" t="str">
        <f>IF(Tableau12[[#This Row],[Quantité restante dans la cuve
(si remplissage, valeur 
avant le plein)]]&lt;=0,"",Tableau12[[#This Row],[Quantité restante dans la cuve
(si remplissage, valeur 
avant le plein)]]+Tableau12[[#This Row],[Remplissage / 
Quantité remise]])</f>
        <v/>
      </c>
      <c r="E124" s="245" t="str">
        <f t="shared" si="4"/>
        <v/>
      </c>
      <c r="F124" s="303" t="str">
        <f t="shared" si="5"/>
        <v/>
      </c>
      <c r="G124" s="304" t="str">
        <f t="shared" si="6"/>
        <v/>
      </c>
      <c r="H124" s="304"/>
      <c r="I124" s="252"/>
      <c r="J124" s="247" t="str">
        <f t="shared" si="7"/>
        <v>Saisie ok</v>
      </c>
    </row>
    <row r="125" spans="1:10">
      <c r="A125" s="298"/>
      <c r="B125" s="299"/>
      <c r="C125" s="299"/>
      <c r="D125" s="288" t="str">
        <f>IF(Tableau12[[#This Row],[Quantité restante dans la cuve
(si remplissage, valeur 
avant le plein)]]&lt;=0,"",Tableau12[[#This Row],[Quantité restante dans la cuve
(si remplissage, valeur 
avant le plein)]]+Tableau12[[#This Row],[Remplissage / 
Quantité remise]])</f>
        <v/>
      </c>
      <c r="E125" s="245" t="str">
        <f t="shared" si="4"/>
        <v/>
      </c>
      <c r="F125" s="303" t="str">
        <f t="shared" si="5"/>
        <v/>
      </c>
      <c r="G125" s="304" t="str">
        <f t="shared" si="6"/>
        <v/>
      </c>
      <c r="H125" s="304"/>
      <c r="I125" s="252"/>
      <c r="J125" s="247" t="str">
        <f t="shared" si="7"/>
        <v>Saisie ok</v>
      </c>
    </row>
    <row r="126" spans="1:10">
      <c r="A126" s="298"/>
      <c r="B126" s="299"/>
      <c r="C126" s="299"/>
      <c r="D126" s="288" t="str">
        <f>IF(Tableau12[[#This Row],[Quantité restante dans la cuve
(si remplissage, valeur 
avant le plein)]]&lt;=0,"",Tableau12[[#This Row],[Quantité restante dans la cuve
(si remplissage, valeur 
avant le plein)]]+Tableau12[[#This Row],[Remplissage / 
Quantité remise]])</f>
        <v/>
      </c>
      <c r="E126" s="245" t="str">
        <f t="shared" si="4"/>
        <v/>
      </c>
      <c r="F126" s="303" t="str">
        <f t="shared" si="5"/>
        <v/>
      </c>
      <c r="G126" s="304" t="str">
        <f t="shared" si="6"/>
        <v/>
      </c>
      <c r="H126" s="304"/>
      <c r="I126" s="252"/>
      <c r="J126" s="247" t="str">
        <f t="shared" si="7"/>
        <v>Saisie ok</v>
      </c>
    </row>
    <row r="127" spans="1:10">
      <c r="A127" s="298"/>
      <c r="B127" s="299"/>
      <c r="C127" s="299"/>
      <c r="D127" s="288" t="str">
        <f>IF(Tableau12[[#This Row],[Quantité restante dans la cuve
(si remplissage, valeur 
avant le plein)]]&lt;=0,"",Tableau12[[#This Row],[Quantité restante dans la cuve
(si remplissage, valeur 
avant le plein)]]+Tableau12[[#This Row],[Remplissage / 
Quantité remise]])</f>
        <v/>
      </c>
      <c r="E127" s="245" t="str">
        <f t="shared" si="4"/>
        <v/>
      </c>
      <c r="F127" s="303" t="str">
        <f t="shared" si="5"/>
        <v/>
      </c>
      <c r="G127" s="304" t="str">
        <f t="shared" si="6"/>
        <v/>
      </c>
      <c r="H127" s="304"/>
      <c r="I127" s="252"/>
      <c r="J127" s="247" t="str">
        <f t="shared" si="7"/>
        <v>Saisie ok</v>
      </c>
    </row>
    <row r="128" spans="1:10">
      <c r="A128" s="298"/>
      <c r="B128" s="299"/>
      <c r="C128" s="299"/>
      <c r="D128" s="288" t="str">
        <f>IF(Tableau12[[#This Row],[Quantité restante dans la cuve
(si remplissage, valeur 
avant le plein)]]&lt;=0,"",Tableau12[[#This Row],[Quantité restante dans la cuve
(si remplissage, valeur 
avant le plein)]]+Tableau12[[#This Row],[Remplissage / 
Quantité remise]])</f>
        <v/>
      </c>
      <c r="E128" s="245" t="str">
        <f t="shared" si="4"/>
        <v/>
      </c>
      <c r="F128" s="303" t="str">
        <f t="shared" si="5"/>
        <v/>
      </c>
      <c r="G128" s="304" t="str">
        <f t="shared" si="6"/>
        <v/>
      </c>
      <c r="H128" s="304"/>
      <c r="I128" s="252"/>
      <c r="J128" s="247" t="str">
        <f t="shared" si="7"/>
        <v>Saisie ok</v>
      </c>
    </row>
    <row r="129" spans="1:10">
      <c r="A129" s="298"/>
      <c r="B129" s="299"/>
      <c r="C129" s="299"/>
      <c r="D129" s="288" t="str">
        <f>IF(Tableau12[[#This Row],[Quantité restante dans la cuve
(si remplissage, valeur 
avant le plein)]]&lt;=0,"",Tableau12[[#This Row],[Quantité restante dans la cuve
(si remplissage, valeur 
avant le plein)]]+Tableau12[[#This Row],[Remplissage / 
Quantité remise]])</f>
        <v/>
      </c>
      <c r="E129" s="245" t="str">
        <f t="shared" si="4"/>
        <v/>
      </c>
      <c r="F129" s="303" t="str">
        <f t="shared" si="5"/>
        <v/>
      </c>
      <c r="G129" s="304" t="str">
        <f t="shared" si="6"/>
        <v/>
      </c>
      <c r="H129" s="304"/>
      <c r="I129" s="252"/>
      <c r="J129" s="247" t="str">
        <f t="shared" si="7"/>
        <v>Saisie ok</v>
      </c>
    </row>
    <row r="130" spans="1:10">
      <c r="A130" s="298"/>
      <c r="B130" s="299"/>
      <c r="C130" s="299"/>
      <c r="D130" s="288" t="str">
        <f>IF(Tableau12[[#This Row],[Quantité restante dans la cuve
(si remplissage, valeur 
avant le plein)]]&lt;=0,"",Tableau12[[#This Row],[Quantité restante dans la cuve
(si remplissage, valeur 
avant le plein)]]+Tableau12[[#This Row],[Remplissage / 
Quantité remise]])</f>
        <v/>
      </c>
      <c r="E130" s="245" t="str">
        <f t="shared" si="4"/>
        <v/>
      </c>
      <c r="F130" s="303" t="str">
        <f t="shared" si="5"/>
        <v/>
      </c>
      <c r="G130" s="304" t="str">
        <f t="shared" si="6"/>
        <v/>
      </c>
      <c r="H130" s="304"/>
      <c r="I130" s="252"/>
      <c r="J130" s="247" t="str">
        <f t="shared" si="7"/>
        <v>Saisie ok</v>
      </c>
    </row>
    <row r="131" spans="1:10">
      <c r="A131" s="298"/>
      <c r="B131" s="299"/>
      <c r="C131" s="299"/>
      <c r="D131" s="288" t="str">
        <f>IF(Tableau12[[#This Row],[Quantité restante dans la cuve
(si remplissage, valeur 
avant le plein)]]&lt;=0,"",Tableau12[[#This Row],[Quantité restante dans la cuve
(si remplissage, valeur 
avant le plein)]]+Tableau12[[#This Row],[Remplissage / 
Quantité remise]])</f>
        <v/>
      </c>
      <c r="E131" s="245" t="str">
        <f t="shared" si="4"/>
        <v/>
      </c>
      <c r="F131" s="303" t="str">
        <f t="shared" si="5"/>
        <v/>
      </c>
      <c r="G131" s="304" t="str">
        <f t="shared" si="6"/>
        <v/>
      </c>
      <c r="H131" s="304"/>
      <c r="I131" s="252"/>
      <c r="J131" s="247" t="str">
        <f t="shared" si="7"/>
        <v>Saisie ok</v>
      </c>
    </row>
    <row r="132" spans="1:10">
      <c r="A132" s="298"/>
      <c r="B132" s="299"/>
      <c r="C132" s="299"/>
      <c r="D132" s="288" t="str">
        <f>IF(Tableau12[[#This Row],[Quantité restante dans la cuve
(si remplissage, valeur 
avant le plein)]]&lt;=0,"",Tableau12[[#This Row],[Quantité restante dans la cuve
(si remplissage, valeur 
avant le plein)]]+Tableau12[[#This Row],[Remplissage / 
Quantité remise]])</f>
        <v/>
      </c>
      <c r="E132" s="245" t="str">
        <f t="shared" ref="E132:E195" si="8">IFERROR(G132/(A132-A131),"")</f>
        <v/>
      </c>
      <c r="F132" s="303" t="str">
        <f t="shared" ref="F132:F195" si="9">IF(A132="","",A132)</f>
        <v/>
      </c>
      <c r="G132" s="304" t="str">
        <f t="shared" ref="G132:G195" si="10">IF(B132&lt;=0,"",D131-B132)</f>
        <v/>
      </c>
      <c r="H132" s="304"/>
      <c r="I132" s="252"/>
      <c r="J132" s="247" t="str">
        <f t="shared" ref="J132:J195" si="11">IF(C131&lt;=0,IF(B132&gt;B131,"Erreur saisie","Saisie ok"),"Saisie ok, plein fait")</f>
        <v>Saisie ok</v>
      </c>
    </row>
    <row r="133" spans="1:10">
      <c r="A133" s="298"/>
      <c r="B133" s="299"/>
      <c r="C133" s="299"/>
      <c r="D133" s="288" t="str">
        <f>IF(Tableau12[[#This Row],[Quantité restante dans la cuve
(si remplissage, valeur 
avant le plein)]]&lt;=0,"",Tableau12[[#This Row],[Quantité restante dans la cuve
(si remplissage, valeur 
avant le plein)]]+Tableau12[[#This Row],[Remplissage / 
Quantité remise]])</f>
        <v/>
      </c>
      <c r="E133" s="245" t="str">
        <f t="shared" si="8"/>
        <v/>
      </c>
      <c r="F133" s="303" t="str">
        <f t="shared" si="9"/>
        <v/>
      </c>
      <c r="G133" s="304" t="str">
        <f t="shared" si="10"/>
        <v/>
      </c>
      <c r="H133" s="304"/>
      <c r="I133" s="252"/>
      <c r="J133" s="247" t="str">
        <f t="shared" si="11"/>
        <v>Saisie ok</v>
      </c>
    </row>
    <row r="134" spans="1:10">
      <c r="A134" s="298"/>
      <c r="B134" s="299"/>
      <c r="C134" s="299"/>
      <c r="D134" s="288" t="str">
        <f>IF(Tableau12[[#This Row],[Quantité restante dans la cuve
(si remplissage, valeur 
avant le plein)]]&lt;=0,"",Tableau12[[#This Row],[Quantité restante dans la cuve
(si remplissage, valeur 
avant le plein)]]+Tableau12[[#This Row],[Remplissage / 
Quantité remise]])</f>
        <v/>
      </c>
      <c r="E134" s="245" t="str">
        <f t="shared" si="8"/>
        <v/>
      </c>
      <c r="F134" s="303" t="str">
        <f t="shared" si="9"/>
        <v/>
      </c>
      <c r="G134" s="304" t="str">
        <f t="shared" si="10"/>
        <v/>
      </c>
      <c r="H134" s="304"/>
      <c r="I134" s="252"/>
      <c r="J134" s="247" t="str">
        <f t="shared" si="11"/>
        <v>Saisie ok</v>
      </c>
    </row>
    <row r="135" spans="1:10">
      <c r="A135" s="298"/>
      <c r="B135" s="299"/>
      <c r="C135" s="299"/>
      <c r="D135" s="288" t="str">
        <f>IF(Tableau12[[#This Row],[Quantité restante dans la cuve
(si remplissage, valeur 
avant le plein)]]&lt;=0,"",Tableau12[[#This Row],[Quantité restante dans la cuve
(si remplissage, valeur 
avant le plein)]]+Tableau12[[#This Row],[Remplissage / 
Quantité remise]])</f>
        <v/>
      </c>
      <c r="E135" s="245" t="str">
        <f t="shared" si="8"/>
        <v/>
      </c>
      <c r="F135" s="303" t="str">
        <f t="shared" si="9"/>
        <v/>
      </c>
      <c r="G135" s="304" t="str">
        <f t="shared" si="10"/>
        <v/>
      </c>
      <c r="H135" s="304"/>
      <c r="I135" s="252"/>
      <c r="J135" s="247" t="str">
        <f t="shared" si="11"/>
        <v>Saisie ok</v>
      </c>
    </row>
    <row r="136" spans="1:10">
      <c r="A136" s="298"/>
      <c r="B136" s="299"/>
      <c r="C136" s="299"/>
      <c r="D136" s="288" t="str">
        <f>IF(Tableau12[[#This Row],[Quantité restante dans la cuve
(si remplissage, valeur 
avant le plein)]]&lt;=0,"",Tableau12[[#This Row],[Quantité restante dans la cuve
(si remplissage, valeur 
avant le plein)]]+Tableau12[[#This Row],[Remplissage / 
Quantité remise]])</f>
        <v/>
      </c>
      <c r="E136" s="245" t="str">
        <f t="shared" si="8"/>
        <v/>
      </c>
      <c r="F136" s="303" t="str">
        <f t="shared" si="9"/>
        <v/>
      </c>
      <c r="G136" s="304" t="str">
        <f t="shared" si="10"/>
        <v/>
      </c>
      <c r="H136" s="304"/>
      <c r="I136" s="252"/>
      <c r="J136" s="247" t="str">
        <f t="shared" si="11"/>
        <v>Saisie ok</v>
      </c>
    </row>
    <row r="137" spans="1:10">
      <c r="A137" s="298"/>
      <c r="B137" s="299"/>
      <c r="C137" s="299"/>
      <c r="D137" s="288" t="str">
        <f>IF(Tableau12[[#This Row],[Quantité restante dans la cuve
(si remplissage, valeur 
avant le plein)]]&lt;=0,"",Tableau12[[#This Row],[Quantité restante dans la cuve
(si remplissage, valeur 
avant le plein)]]+Tableau12[[#This Row],[Remplissage / 
Quantité remise]])</f>
        <v/>
      </c>
      <c r="E137" s="245" t="str">
        <f t="shared" si="8"/>
        <v/>
      </c>
      <c r="F137" s="303" t="str">
        <f t="shared" si="9"/>
        <v/>
      </c>
      <c r="G137" s="304" t="str">
        <f t="shared" si="10"/>
        <v/>
      </c>
      <c r="H137" s="304"/>
      <c r="I137" s="252"/>
      <c r="J137" s="247" t="str">
        <f t="shared" si="11"/>
        <v>Saisie ok</v>
      </c>
    </row>
    <row r="138" spans="1:10">
      <c r="A138" s="298"/>
      <c r="B138" s="299"/>
      <c r="C138" s="299"/>
      <c r="D138" s="288" t="str">
        <f>IF(Tableau12[[#This Row],[Quantité restante dans la cuve
(si remplissage, valeur 
avant le plein)]]&lt;=0,"",Tableau12[[#This Row],[Quantité restante dans la cuve
(si remplissage, valeur 
avant le plein)]]+Tableau12[[#This Row],[Remplissage / 
Quantité remise]])</f>
        <v/>
      </c>
      <c r="E138" s="245" t="str">
        <f t="shared" si="8"/>
        <v/>
      </c>
      <c r="F138" s="303" t="str">
        <f t="shared" si="9"/>
        <v/>
      </c>
      <c r="G138" s="304" t="str">
        <f t="shared" si="10"/>
        <v/>
      </c>
      <c r="H138" s="304"/>
      <c r="I138" s="457" t="s">
        <v>846</v>
      </c>
      <c r="J138" s="247" t="str">
        <f t="shared" si="11"/>
        <v>Saisie ok</v>
      </c>
    </row>
    <row r="139" spans="1:10">
      <c r="A139" s="298"/>
      <c r="B139" s="299"/>
      <c r="C139" s="299"/>
      <c r="D139" s="288" t="str">
        <f>IF(Tableau12[[#This Row],[Quantité restante dans la cuve
(si remplissage, valeur 
avant le plein)]]&lt;=0,"",Tableau12[[#This Row],[Quantité restante dans la cuve
(si remplissage, valeur 
avant le plein)]]+Tableau12[[#This Row],[Remplissage / 
Quantité remise]])</f>
        <v/>
      </c>
      <c r="E139" s="245" t="str">
        <f t="shared" si="8"/>
        <v/>
      </c>
      <c r="F139" s="303" t="str">
        <f t="shared" si="9"/>
        <v/>
      </c>
      <c r="G139" s="304" t="str">
        <f t="shared" si="10"/>
        <v/>
      </c>
      <c r="H139" s="304"/>
      <c r="I139" s="457" t="s">
        <v>846</v>
      </c>
      <c r="J139" s="247" t="str">
        <f t="shared" si="11"/>
        <v>Saisie ok</v>
      </c>
    </row>
    <row r="140" spans="1:10">
      <c r="A140" s="298"/>
      <c r="B140" s="299"/>
      <c r="C140" s="299"/>
      <c r="D140" s="288" t="str">
        <f>IF(Tableau12[[#This Row],[Quantité restante dans la cuve
(si remplissage, valeur 
avant le plein)]]&lt;=0,"",Tableau12[[#This Row],[Quantité restante dans la cuve
(si remplissage, valeur 
avant le plein)]]+Tableau12[[#This Row],[Remplissage / 
Quantité remise]])</f>
        <v/>
      </c>
      <c r="E140" s="245" t="str">
        <f t="shared" si="8"/>
        <v/>
      </c>
      <c r="F140" s="303" t="str">
        <f t="shared" si="9"/>
        <v/>
      </c>
      <c r="G140" s="304" t="str">
        <f t="shared" si="10"/>
        <v/>
      </c>
      <c r="H140" s="304"/>
      <c r="I140" s="457" t="s">
        <v>846</v>
      </c>
      <c r="J140" s="247" t="str">
        <f t="shared" si="11"/>
        <v>Saisie ok</v>
      </c>
    </row>
    <row r="141" spans="1:10">
      <c r="A141" s="298"/>
      <c r="B141" s="299"/>
      <c r="C141" s="299"/>
      <c r="D141" s="288" t="str">
        <f>IF(Tableau12[[#This Row],[Quantité restante dans la cuve
(si remplissage, valeur 
avant le plein)]]&lt;=0,"",Tableau12[[#This Row],[Quantité restante dans la cuve
(si remplissage, valeur 
avant le plein)]]+Tableau12[[#This Row],[Remplissage / 
Quantité remise]])</f>
        <v/>
      </c>
      <c r="E141" s="245" t="str">
        <f t="shared" si="8"/>
        <v/>
      </c>
      <c r="F141" s="303" t="str">
        <f t="shared" si="9"/>
        <v/>
      </c>
      <c r="G141" s="304" t="str">
        <f t="shared" si="10"/>
        <v/>
      </c>
      <c r="H141" s="304"/>
      <c r="I141" s="252"/>
      <c r="J141" s="247" t="str">
        <f t="shared" si="11"/>
        <v>Saisie ok</v>
      </c>
    </row>
    <row r="142" spans="1:10">
      <c r="A142" s="298"/>
      <c r="B142" s="299"/>
      <c r="C142" s="299"/>
      <c r="D142" s="288" t="str">
        <f>IF(Tableau12[[#This Row],[Quantité restante dans la cuve
(si remplissage, valeur 
avant le plein)]]&lt;=0,"",Tableau12[[#This Row],[Quantité restante dans la cuve
(si remplissage, valeur 
avant le plein)]]+Tableau12[[#This Row],[Remplissage / 
Quantité remise]])</f>
        <v/>
      </c>
      <c r="E142" s="245" t="str">
        <f t="shared" si="8"/>
        <v/>
      </c>
      <c r="F142" s="303" t="str">
        <f t="shared" si="9"/>
        <v/>
      </c>
      <c r="G142" s="304" t="str">
        <f t="shared" si="10"/>
        <v/>
      </c>
      <c r="H142" s="304"/>
      <c r="I142" s="252"/>
      <c r="J142" s="247" t="str">
        <f t="shared" si="11"/>
        <v>Saisie ok</v>
      </c>
    </row>
    <row r="143" spans="1:10">
      <c r="A143" s="298"/>
      <c r="B143" s="299"/>
      <c r="C143" s="299"/>
      <c r="D143" s="288" t="str">
        <f>IF(Tableau12[[#This Row],[Quantité restante dans la cuve
(si remplissage, valeur 
avant le plein)]]&lt;=0,"",Tableau12[[#This Row],[Quantité restante dans la cuve
(si remplissage, valeur 
avant le plein)]]+Tableau12[[#This Row],[Remplissage / 
Quantité remise]])</f>
        <v/>
      </c>
      <c r="E143" s="245" t="str">
        <f t="shared" si="8"/>
        <v/>
      </c>
      <c r="F143" s="303" t="str">
        <f t="shared" si="9"/>
        <v/>
      </c>
      <c r="G143" s="304" t="str">
        <f t="shared" si="10"/>
        <v/>
      </c>
      <c r="H143" s="304"/>
      <c r="I143" s="252"/>
      <c r="J143" s="247" t="str">
        <f t="shared" si="11"/>
        <v>Saisie ok</v>
      </c>
    </row>
    <row r="144" spans="1:10">
      <c r="A144" s="298"/>
      <c r="B144" s="299"/>
      <c r="C144" s="299"/>
      <c r="D144" s="288" t="str">
        <f>IF(Tableau12[[#This Row],[Quantité restante dans la cuve
(si remplissage, valeur 
avant le plein)]]&lt;=0,"",Tableau12[[#This Row],[Quantité restante dans la cuve
(si remplissage, valeur 
avant le plein)]]+Tableau12[[#This Row],[Remplissage / 
Quantité remise]])</f>
        <v/>
      </c>
      <c r="E144" s="245" t="str">
        <f t="shared" si="8"/>
        <v/>
      </c>
      <c r="F144" s="303" t="str">
        <f t="shared" si="9"/>
        <v/>
      </c>
      <c r="G144" s="304" t="str">
        <f t="shared" si="10"/>
        <v/>
      </c>
      <c r="H144" s="304"/>
      <c r="I144" s="252"/>
      <c r="J144" s="247" t="str">
        <f t="shared" si="11"/>
        <v>Saisie ok</v>
      </c>
    </row>
    <row r="145" spans="1:10">
      <c r="A145" s="298"/>
      <c r="B145" s="299"/>
      <c r="C145" s="299"/>
      <c r="D145" s="288" t="str">
        <f>IF(Tableau12[[#This Row],[Quantité restante dans la cuve
(si remplissage, valeur 
avant le plein)]]&lt;=0,"",Tableau12[[#This Row],[Quantité restante dans la cuve
(si remplissage, valeur 
avant le plein)]]+Tableau12[[#This Row],[Remplissage / 
Quantité remise]])</f>
        <v/>
      </c>
      <c r="E145" s="245" t="str">
        <f t="shared" si="8"/>
        <v/>
      </c>
      <c r="F145" s="303" t="str">
        <f t="shared" si="9"/>
        <v/>
      </c>
      <c r="G145" s="304" t="str">
        <f t="shared" si="10"/>
        <v/>
      </c>
      <c r="H145" s="304"/>
      <c r="I145" s="252"/>
      <c r="J145" s="247" t="str">
        <f t="shared" si="11"/>
        <v>Saisie ok</v>
      </c>
    </row>
    <row r="146" spans="1:10">
      <c r="A146" s="298"/>
      <c r="B146" s="299"/>
      <c r="C146" s="299"/>
      <c r="D146" s="288" t="str">
        <f>IF(Tableau12[[#This Row],[Quantité restante dans la cuve
(si remplissage, valeur 
avant le plein)]]&lt;=0,"",Tableau12[[#This Row],[Quantité restante dans la cuve
(si remplissage, valeur 
avant le plein)]]+Tableau12[[#This Row],[Remplissage / 
Quantité remise]])</f>
        <v/>
      </c>
      <c r="E146" s="245" t="str">
        <f t="shared" si="8"/>
        <v/>
      </c>
      <c r="F146" s="303" t="str">
        <f t="shared" si="9"/>
        <v/>
      </c>
      <c r="G146" s="304" t="str">
        <f t="shared" si="10"/>
        <v/>
      </c>
      <c r="H146" s="304"/>
      <c r="I146" s="252"/>
      <c r="J146" s="247" t="str">
        <f t="shared" si="11"/>
        <v>Saisie ok</v>
      </c>
    </row>
    <row r="147" spans="1:10">
      <c r="A147" s="298"/>
      <c r="B147" s="299"/>
      <c r="C147" s="299"/>
      <c r="D147" s="288" t="str">
        <f>IF(Tableau12[[#This Row],[Quantité restante dans la cuve
(si remplissage, valeur 
avant le plein)]]&lt;=0,"",Tableau12[[#This Row],[Quantité restante dans la cuve
(si remplissage, valeur 
avant le plein)]]+Tableau12[[#This Row],[Remplissage / 
Quantité remise]])</f>
        <v/>
      </c>
      <c r="E147" s="245" t="str">
        <f t="shared" si="8"/>
        <v/>
      </c>
      <c r="F147" s="303" t="str">
        <f t="shared" si="9"/>
        <v/>
      </c>
      <c r="G147" s="304" t="str">
        <f t="shared" si="10"/>
        <v/>
      </c>
      <c r="H147" s="304"/>
      <c r="I147" s="252"/>
      <c r="J147" s="247" t="str">
        <f t="shared" si="11"/>
        <v>Saisie ok</v>
      </c>
    </row>
    <row r="148" spans="1:10">
      <c r="A148" s="298"/>
      <c r="B148" s="299"/>
      <c r="C148" s="299"/>
      <c r="D148" s="288" t="str">
        <f>IF(Tableau12[[#This Row],[Quantité restante dans la cuve
(si remplissage, valeur 
avant le plein)]]&lt;=0,"",Tableau12[[#This Row],[Quantité restante dans la cuve
(si remplissage, valeur 
avant le plein)]]+Tableau12[[#This Row],[Remplissage / 
Quantité remise]])</f>
        <v/>
      </c>
      <c r="E148" s="245" t="str">
        <f t="shared" si="8"/>
        <v/>
      </c>
      <c r="F148" s="303" t="str">
        <f t="shared" si="9"/>
        <v/>
      </c>
      <c r="G148" s="304" t="str">
        <f t="shared" si="10"/>
        <v/>
      </c>
      <c r="H148" s="304"/>
      <c r="I148" s="252"/>
      <c r="J148" s="247" t="str">
        <f t="shared" si="11"/>
        <v>Saisie ok</v>
      </c>
    </row>
    <row r="149" spans="1:10">
      <c r="A149" s="298"/>
      <c r="B149" s="299"/>
      <c r="C149" s="299"/>
      <c r="D149" s="288" t="str">
        <f>IF(Tableau12[[#This Row],[Quantité restante dans la cuve
(si remplissage, valeur 
avant le plein)]]&lt;=0,"",Tableau12[[#This Row],[Quantité restante dans la cuve
(si remplissage, valeur 
avant le plein)]]+Tableau12[[#This Row],[Remplissage / 
Quantité remise]])</f>
        <v/>
      </c>
      <c r="E149" s="245" t="str">
        <f t="shared" si="8"/>
        <v/>
      </c>
      <c r="F149" s="303" t="str">
        <f t="shared" si="9"/>
        <v/>
      </c>
      <c r="G149" s="304" t="str">
        <f t="shared" si="10"/>
        <v/>
      </c>
      <c r="H149" s="304"/>
      <c r="I149" s="252"/>
      <c r="J149" s="247" t="str">
        <f t="shared" si="11"/>
        <v>Saisie ok</v>
      </c>
    </row>
    <row r="150" spans="1:10">
      <c r="A150" s="298"/>
      <c r="B150" s="299"/>
      <c r="C150" s="299"/>
      <c r="D150" s="288" t="str">
        <f>IF(Tableau12[[#This Row],[Quantité restante dans la cuve
(si remplissage, valeur 
avant le plein)]]&lt;=0,"",Tableau12[[#This Row],[Quantité restante dans la cuve
(si remplissage, valeur 
avant le plein)]]+Tableau12[[#This Row],[Remplissage / 
Quantité remise]])</f>
        <v/>
      </c>
      <c r="E150" s="245" t="str">
        <f t="shared" si="8"/>
        <v/>
      </c>
      <c r="F150" s="303" t="str">
        <f t="shared" si="9"/>
        <v/>
      </c>
      <c r="G150" s="304" t="str">
        <f t="shared" si="10"/>
        <v/>
      </c>
      <c r="H150" s="304"/>
      <c r="I150" s="252"/>
      <c r="J150" s="247" t="str">
        <f t="shared" si="11"/>
        <v>Saisie ok</v>
      </c>
    </row>
    <row r="151" spans="1:10">
      <c r="A151" s="298"/>
      <c r="B151" s="299"/>
      <c r="C151" s="299"/>
      <c r="D151" s="288" t="str">
        <f>IF(Tableau12[[#This Row],[Quantité restante dans la cuve
(si remplissage, valeur 
avant le plein)]]&lt;=0,"",Tableau12[[#This Row],[Quantité restante dans la cuve
(si remplissage, valeur 
avant le plein)]]+Tableau12[[#This Row],[Remplissage / 
Quantité remise]])</f>
        <v/>
      </c>
      <c r="E151" s="245" t="str">
        <f t="shared" si="8"/>
        <v/>
      </c>
      <c r="F151" s="303" t="str">
        <f t="shared" si="9"/>
        <v/>
      </c>
      <c r="G151" s="304" t="str">
        <f t="shared" si="10"/>
        <v/>
      </c>
      <c r="H151" s="304"/>
      <c r="I151" s="252"/>
      <c r="J151" s="247" t="str">
        <f t="shared" si="11"/>
        <v>Saisie ok</v>
      </c>
    </row>
    <row r="152" spans="1:10">
      <c r="A152" s="298"/>
      <c r="B152" s="299"/>
      <c r="C152" s="299"/>
      <c r="D152" s="288" t="str">
        <f>IF(Tableau12[[#This Row],[Quantité restante dans la cuve
(si remplissage, valeur 
avant le plein)]]&lt;=0,"",Tableau12[[#This Row],[Quantité restante dans la cuve
(si remplissage, valeur 
avant le plein)]]+Tableau12[[#This Row],[Remplissage / 
Quantité remise]])</f>
        <v/>
      </c>
      <c r="E152" s="245" t="str">
        <f t="shared" si="8"/>
        <v/>
      </c>
      <c r="F152" s="303" t="str">
        <f t="shared" si="9"/>
        <v/>
      </c>
      <c r="G152" s="304" t="str">
        <f t="shared" si="10"/>
        <v/>
      </c>
      <c r="H152" s="304"/>
      <c r="I152" s="252"/>
      <c r="J152" s="247" t="str">
        <f t="shared" si="11"/>
        <v>Saisie ok</v>
      </c>
    </row>
    <row r="153" spans="1:10">
      <c r="A153" s="298"/>
      <c r="B153" s="299"/>
      <c r="C153" s="299"/>
      <c r="D153" s="288" t="str">
        <f>IF(Tableau12[[#This Row],[Quantité restante dans la cuve
(si remplissage, valeur 
avant le plein)]]&lt;=0,"",Tableau12[[#This Row],[Quantité restante dans la cuve
(si remplissage, valeur 
avant le plein)]]+Tableau12[[#This Row],[Remplissage / 
Quantité remise]])</f>
        <v/>
      </c>
      <c r="E153" s="245" t="str">
        <f t="shared" si="8"/>
        <v/>
      </c>
      <c r="F153" s="303" t="str">
        <f t="shared" si="9"/>
        <v/>
      </c>
      <c r="G153" s="304" t="str">
        <f t="shared" si="10"/>
        <v/>
      </c>
      <c r="H153" s="304"/>
      <c r="I153" s="252"/>
      <c r="J153" s="247" t="str">
        <f t="shared" si="11"/>
        <v>Saisie ok</v>
      </c>
    </row>
    <row r="154" spans="1:10">
      <c r="A154" s="298"/>
      <c r="B154" s="299"/>
      <c r="C154" s="299"/>
      <c r="D154" s="288" t="str">
        <f>IF(Tableau12[[#This Row],[Quantité restante dans la cuve
(si remplissage, valeur 
avant le plein)]]&lt;=0,"",Tableau12[[#This Row],[Quantité restante dans la cuve
(si remplissage, valeur 
avant le plein)]]+Tableau12[[#This Row],[Remplissage / 
Quantité remise]])</f>
        <v/>
      </c>
      <c r="E154" s="245" t="str">
        <f t="shared" si="8"/>
        <v/>
      </c>
      <c r="F154" s="303" t="str">
        <f t="shared" si="9"/>
        <v/>
      </c>
      <c r="G154" s="304" t="str">
        <f t="shared" si="10"/>
        <v/>
      </c>
      <c r="H154" s="304"/>
      <c r="I154" s="252"/>
      <c r="J154" s="247" t="str">
        <f t="shared" si="11"/>
        <v>Saisie ok</v>
      </c>
    </row>
    <row r="155" spans="1:10">
      <c r="A155" s="298"/>
      <c r="B155" s="299"/>
      <c r="C155" s="299"/>
      <c r="D155" s="288" t="str">
        <f>IF(Tableau12[[#This Row],[Quantité restante dans la cuve
(si remplissage, valeur 
avant le plein)]]&lt;=0,"",Tableau12[[#This Row],[Quantité restante dans la cuve
(si remplissage, valeur 
avant le plein)]]+Tableau12[[#This Row],[Remplissage / 
Quantité remise]])</f>
        <v/>
      </c>
      <c r="E155" s="245" t="str">
        <f t="shared" si="8"/>
        <v/>
      </c>
      <c r="F155" s="303" t="str">
        <f t="shared" si="9"/>
        <v/>
      </c>
      <c r="G155" s="304" t="str">
        <f t="shared" si="10"/>
        <v/>
      </c>
      <c r="H155" s="304"/>
      <c r="I155" s="252"/>
      <c r="J155" s="247" t="str">
        <f t="shared" si="11"/>
        <v>Saisie ok</v>
      </c>
    </row>
    <row r="156" spans="1:10">
      <c r="A156" s="298"/>
      <c r="B156" s="299"/>
      <c r="C156" s="299"/>
      <c r="D156" s="288" t="str">
        <f>IF(Tableau12[[#This Row],[Quantité restante dans la cuve
(si remplissage, valeur 
avant le plein)]]&lt;=0,"",Tableau12[[#This Row],[Quantité restante dans la cuve
(si remplissage, valeur 
avant le plein)]]+Tableau12[[#This Row],[Remplissage / 
Quantité remise]])</f>
        <v/>
      </c>
      <c r="E156" s="245" t="str">
        <f t="shared" si="8"/>
        <v/>
      </c>
      <c r="F156" s="303" t="str">
        <f t="shared" si="9"/>
        <v/>
      </c>
      <c r="G156" s="304" t="str">
        <f t="shared" si="10"/>
        <v/>
      </c>
      <c r="H156" s="304"/>
      <c r="I156" s="252"/>
      <c r="J156" s="247" t="str">
        <f t="shared" si="11"/>
        <v>Saisie ok</v>
      </c>
    </row>
    <row r="157" spans="1:10">
      <c r="A157" s="298"/>
      <c r="B157" s="299"/>
      <c r="C157" s="299"/>
      <c r="D157" s="288" t="str">
        <f>IF(Tableau12[[#This Row],[Quantité restante dans la cuve
(si remplissage, valeur 
avant le plein)]]&lt;=0,"",Tableau12[[#This Row],[Quantité restante dans la cuve
(si remplissage, valeur 
avant le plein)]]+Tableau12[[#This Row],[Remplissage / 
Quantité remise]])</f>
        <v/>
      </c>
      <c r="E157" s="245" t="str">
        <f t="shared" si="8"/>
        <v/>
      </c>
      <c r="F157" s="303" t="str">
        <f t="shared" si="9"/>
        <v/>
      </c>
      <c r="G157" s="304" t="str">
        <f t="shared" si="10"/>
        <v/>
      </c>
      <c r="H157" s="304"/>
      <c r="I157" s="252"/>
      <c r="J157" s="247" t="str">
        <f t="shared" si="11"/>
        <v>Saisie ok</v>
      </c>
    </row>
    <row r="158" spans="1:10">
      <c r="A158" s="298"/>
      <c r="B158" s="299"/>
      <c r="C158" s="299"/>
      <c r="D158" s="288" t="str">
        <f>IF(Tableau12[[#This Row],[Quantité restante dans la cuve
(si remplissage, valeur 
avant le plein)]]&lt;=0,"",Tableau12[[#This Row],[Quantité restante dans la cuve
(si remplissage, valeur 
avant le plein)]]+Tableau12[[#This Row],[Remplissage / 
Quantité remise]])</f>
        <v/>
      </c>
      <c r="E158" s="245" t="str">
        <f t="shared" si="8"/>
        <v/>
      </c>
      <c r="F158" s="303" t="str">
        <f t="shared" si="9"/>
        <v/>
      </c>
      <c r="G158" s="304" t="str">
        <f t="shared" si="10"/>
        <v/>
      </c>
      <c r="H158" s="304"/>
      <c r="I158" s="252"/>
      <c r="J158" s="247" t="str">
        <f t="shared" si="11"/>
        <v>Saisie ok</v>
      </c>
    </row>
    <row r="159" spans="1:10">
      <c r="A159" s="298"/>
      <c r="B159" s="299"/>
      <c r="C159" s="299"/>
      <c r="D159" s="288" t="str">
        <f>IF(Tableau12[[#This Row],[Quantité restante dans la cuve
(si remplissage, valeur 
avant le plein)]]&lt;=0,"",Tableau12[[#This Row],[Quantité restante dans la cuve
(si remplissage, valeur 
avant le plein)]]+Tableau12[[#This Row],[Remplissage / 
Quantité remise]])</f>
        <v/>
      </c>
      <c r="E159" s="245" t="str">
        <f t="shared" si="8"/>
        <v/>
      </c>
      <c r="F159" s="303" t="str">
        <f t="shared" si="9"/>
        <v/>
      </c>
      <c r="G159" s="304" t="str">
        <f t="shared" si="10"/>
        <v/>
      </c>
      <c r="H159" s="304"/>
      <c r="I159" s="252"/>
      <c r="J159" s="247" t="str">
        <f t="shared" si="11"/>
        <v>Saisie ok</v>
      </c>
    </row>
    <row r="160" spans="1:10">
      <c r="A160" s="298"/>
      <c r="B160" s="299"/>
      <c r="C160" s="299"/>
      <c r="D160" s="288" t="str">
        <f>IF(Tableau12[[#This Row],[Quantité restante dans la cuve
(si remplissage, valeur 
avant le plein)]]&lt;=0,"",Tableau12[[#This Row],[Quantité restante dans la cuve
(si remplissage, valeur 
avant le plein)]]+Tableau12[[#This Row],[Remplissage / 
Quantité remise]])</f>
        <v/>
      </c>
      <c r="E160" s="245" t="str">
        <f t="shared" si="8"/>
        <v/>
      </c>
      <c r="F160" s="303" t="str">
        <f t="shared" si="9"/>
        <v/>
      </c>
      <c r="G160" s="304" t="str">
        <f t="shared" si="10"/>
        <v/>
      </c>
      <c r="H160" s="304"/>
      <c r="I160" s="252"/>
      <c r="J160" s="247" t="str">
        <f t="shared" si="11"/>
        <v>Saisie ok</v>
      </c>
    </row>
    <row r="161" spans="1:10">
      <c r="A161" s="298"/>
      <c r="B161" s="299"/>
      <c r="C161" s="299"/>
      <c r="D161" s="288" t="str">
        <f>IF(Tableau12[[#This Row],[Quantité restante dans la cuve
(si remplissage, valeur 
avant le plein)]]&lt;=0,"",Tableau12[[#This Row],[Quantité restante dans la cuve
(si remplissage, valeur 
avant le plein)]]+Tableau12[[#This Row],[Remplissage / 
Quantité remise]])</f>
        <v/>
      </c>
      <c r="E161" s="245" t="str">
        <f t="shared" si="8"/>
        <v/>
      </c>
      <c r="F161" s="303" t="str">
        <f t="shared" si="9"/>
        <v/>
      </c>
      <c r="G161" s="304" t="str">
        <f t="shared" si="10"/>
        <v/>
      </c>
      <c r="H161" s="304"/>
      <c r="I161" s="252"/>
      <c r="J161" s="247" t="str">
        <f t="shared" si="11"/>
        <v>Saisie ok</v>
      </c>
    </row>
    <row r="162" spans="1:10">
      <c r="A162" s="298"/>
      <c r="B162" s="299"/>
      <c r="C162" s="299"/>
      <c r="D162" s="288" t="str">
        <f>IF(Tableau12[[#This Row],[Quantité restante dans la cuve
(si remplissage, valeur 
avant le plein)]]&lt;=0,"",Tableau12[[#This Row],[Quantité restante dans la cuve
(si remplissage, valeur 
avant le plein)]]+Tableau12[[#This Row],[Remplissage / 
Quantité remise]])</f>
        <v/>
      </c>
      <c r="E162" s="245" t="str">
        <f t="shared" si="8"/>
        <v/>
      </c>
      <c r="F162" s="303" t="str">
        <f t="shared" si="9"/>
        <v/>
      </c>
      <c r="G162" s="304" t="str">
        <f t="shared" si="10"/>
        <v/>
      </c>
      <c r="H162" s="304"/>
      <c r="I162" s="252"/>
      <c r="J162" s="247" t="str">
        <f t="shared" si="11"/>
        <v>Saisie ok</v>
      </c>
    </row>
    <row r="163" spans="1:10">
      <c r="A163" s="298"/>
      <c r="B163" s="299"/>
      <c r="C163" s="299"/>
      <c r="D163" s="288" t="str">
        <f>IF(Tableau12[[#This Row],[Quantité restante dans la cuve
(si remplissage, valeur 
avant le plein)]]&lt;=0,"",Tableau12[[#This Row],[Quantité restante dans la cuve
(si remplissage, valeur 
avant le plein)]]+Tableau12[[#This Row],[Remplissage / 
Quantité remise]])</f>
        <v/>
      </c>
      <c r="E163" s="245" t="str">
        <f t="shared" si="8"/>
        <v/>
      </c>
      <c r="F163" s="303" t="str">
        <f t="shared" si="9"/>
        <v/>
      </c>
      <c r="G163" s="304" t="str">
        <f t="shared" si="10"/>
        <v/>
      </c>
      <c r="H163" s="304"/>
      <c r="I163" s="252"/>
      <c r="J163" s="247" t="str">
        <f t="shared" si="11"/>
        <v>Saisie ok</v>
      </c>
    </row>
    <row r="164" spans="1:10">
      <c r="A164" s="298"/>
      <c r="B164" s="299"/>
      <c r="C164" s="299"/>
      <c r="D164" s="288" t="str">
        <f>IF(Tableau12[[#This Row],[Quantité restante dans la cuve
(si remplissage, valeur 
avant le plein)]]&lt;=0,"",Tableau12[[#This Row],[Quantité restante dans la cuve
(si remplissage, valeur 
avant le plein)]]+Tableau12[[#This Row],[Remplissage / 
Quantité remise]])</f>
        <v/>
      </c>
      <c r="E164" s="245" t="str">
        <f t="shared" si="8"/>
        <v/>
      </c>
      <c r="F164" s="303" t="str">
        <f t="shared" si="9"/>
        <v/>
      </c>
      <c r="G164" s="304" t="str">
        <f t="shared" si="10"/>
        <v/>
      </c>
      <c r="H164" s="304"/>
      <c r="I164" s="252"/>
      <c r="J164" s="247" t="str">
        <f t="shared" si="11"/>
        <v>Saisie ok</v>
      </c>
    </row>
    <row r="165" spans="1:10">
      <c r="A165" s="298"/>
      <c r="B165" s="299"/>
      <c r="C165" s="299"/>
      <c r="D165" s="288" t="str">
        <f>IF(Tableau12[[#This Row],[Quantité restante dans la cuve
(si remplissage, valeur 
avant le plein)]]&lt;=0,"",Tableau12[[#This Row],[Quantité restante dans la cuve
(si remplissage, valeur 
avant le plein)]]+Tableau12[[#This Row],[Remplissage / 
Quantité remise]])</f>
        <v/>
      </c>
      <c r="E165" s="245" t="str">
        <f t="shared" si="8"/>
        <v/>
      </c>
      <c r="F165" s="303" t="str">
        <f t="shared" si="9"/>
        <v/>
      </c>
      <c r="G165" s="304" t="str">
        <f t="shared" si="10"/>
        <v/>
      </c>
      <c r="H165" s="304"/>
      <c r="I165" s="252"/>
      <c r="J165" s="247" t="str">
        <f t="shared" si="11"/>
        <v>Saisie ok</v>
      </c>
    </row>
    <row r="166" spans="1:10">
      <c r="A166" s="298"/>
      <c r="B166" s="299"/>
      <c r="C166" s="299"/>
      <c r="D166" s="288" t="str">
        <f>IF(Tableau12[[#This Row],[Quantité restante dans la cuve
(si remplissage, valeur 
avant le plein)]]&lt;=0,"",Tableau12[[#This Row],[Quantité restante dans la cuve
(si remplissage, valeur 
avant le plein)]]+Tableau12[[#This Row],[Remplissage / 
Quantité remise]])</f>
        <v/>
      </c>
      <c r="E166" s="245" t="str">
        <f t="shared" si="8"/>
        <v/>
      </c>
      <c r="F166" s="303" t="str">
        <f t="shared" si="9"/>
        <v/>
      </c>
      <c r="G166" s="304" t="str">
        <f t="shared" si="10"/>
        <v/>
      </c>
      <c r="H166" s="304"/>
      <c r="I166" s="252"/>
      <c r="J166" s="247" t="str">
        <f t="shared" si="11"/>
        <v>Saisie ok</v>
      </c>
    </row>
    <row r="167" spans="1:10">
      <c r="A167" s="298"/>
      <c r="B167" s="299"/>
      <c r="C167" s="299"/>
      <c r="D167" s="288" t="str">
        <f>IF(Tableau12[[#This Row],[Quantité restante dans la cuve
(si remplissage, valeur 
avant le plein)]]&lt;=0,"",Tableau12[[#This Row],[Quantité restante dans la cuve
(si remplissage, valeur 
avant le plein)]]+Tableau12[[#This Row],[Remplissage / 
Quantité remise]])</f>
        <v/>
      </c>
      <c r="E167" s="245" t="str">
        <f t="shared" si="8"/>
        <v/>
      </c>
      <c r="F167" s="303" t="str">
        <f t="shared" si="9"/>
        <v/>
      </c>
      <c r="G167" s="304" t="str">
        <f t="shared" si="10"/>
        <v/>
      </c>
      <c r="H167" s="304"/>
      <c r="I167" s="252"/>
      <c r="J167" s="247" t="str">
        <f t="shared" si="11"/>
        <v>Saisie ok</v>
      </c>
    </row>
    <row r="168" spans="1:10">
      <c r="A168" s="298"/>
      <c r="B168" s="299"/>
      <c r="C168" s="299"/>
      <c r="D168" s="288" t="str">
        <f>IF(Tableau12[[#This Row],[Quantité restante dans la cuve
(si remplissage, valeur 
avant le plein)]]&lt;=0,"",Tableau12[[#This Row],[Quantité restante dans la cuve
(si remplissage, valeur 
avant le plein)]]+Tableau12[[#This Row],[Remplissage / 
Quantité remise]])</f>
        <v/>
      </c>
      <c r="E168" s="245" t="str">
        <f t="shared" si="8"/>
        <v/>
      </c>
      <c r="F168" s="303" t="str">
        <f t="shared" si="9"/>
        <v/>
      </c>
      <c r="G168" s="304" t="str">
        <f t="shared" si="10"/>
        <v/>
      </c>
      <c r="H168" s="304"/>
      <c r="I168" s="252"/>
      <c r="J168" s="247" t="str">
        <f t="shared" si="11"/>
        <v>Saisie ok</v>
      </c>
    </row>
    <row r="169" spans="1:10" ht="29">
      <c r="A169" s="298"/>
      <c r="B169" s="299"/>
      <c r="C169" s="299"/>
      <c r="D169" s="288" t="str">
        <f>IF(Tableau12[[#This Row],[Quantité restante dans la cuve
(si remplissage, valeur 
avant le plein)]]&lt;=0,"",Tableau12[[#This Row],[Quantité restante dans la cuve
(si remplissage, valeur 
avant le plein)]]+Tableau12[[#This Row],[Remplissage / 
Quantité remise]])</f>
        <v/>
      </c>
      <c r="E169" s="245" t="str">
        <f t="shared" si="8"/>
        <v/>
      </c>
      <c r="F169" s="303" t="str">
        <f t="shared" si="9"/>
        <v/>
      </c>
      <c r="G169" s="304" t="str">
        <f t="shared" si="10"/>
        <v/>
      </c>
      <c r="H169" s="304"/>
      <c r="I169" s="459" t="s">
        <v>845</v>
      </c>
      <c r="J169" s="247" t="str">
        <f t="shared" si="11"/>
        <v>Saisie ok</v>
      </c>
    </row>
    <row r="170" spans="1:10">
      <c r="A170" s="298"/>
      <c r="B170" s="299"/>
      <c r="C170" s="299"/>
      <c r="D170" s="288" t="str">
        <f>IF(Tableau12[[#This Row],[Quantité restante dans la cuve
(si remplissage, valeur 
avant le plein)]]&lt;=0,"",Tableau12[[#This Row],[Quantité restante dans la cuve
(si remplissage, valeur 
avant le plein)]]+Tableau12[[#This Row],[Remplissage / 
Quantité remise]])</f>
        <v/>
      </c>
      <c r="E170" s="245" t="str">
        <f t="shared" si="8"/>
        <v/>
      </c>
      <c r="F170" s="303" t="str">
        <f t="shared" si="9"/>
        <v/>
      </c>
      <c r="G170" s="304" t="str">
        <f t="shared" si="10"/>
        <v/>
      </c>
      <c r="H170" s="304"/>
      <c r="I170" s="252"/>
      <c r="J170" s="247" t="str">
        <f t="shared" si="11"/>
        <v>Saisie ok</v>
      </c>
    </row>
    <row r="171" spans="1:10">
      <c r="A171" s="298"/>
      <c r="B171" s="299"/>
      <c r="C171" s="299"/>
      <c r="D171" s="288" t="str">
        <f>IF(Tableau12[[#This Row],[Quantité restante dans la cuve
(si remplissage, valeur 
avant le plein)]]&lt;=0,"",Tableau12[[#This Row],[Quantité restante dans la cuve
(si remplissage, valeur 
avant le plein)]]+Tableau12[[#This Row],[Remplissage / 
Quantité remise]])</f>
        <v/>
      </c>
      <c r="E171" s="245" t="str">
        <f t="shared" si="8"/>
        <v/>
      </c>
      <c r="F171" s="303" t="str">
        <f t="shared" si="9"/>
        <v/>
      </c>
      <c r="G171" s="304" t="str">
        <f t="shared" si="10"/>
        <v/>
      </c>
      <c r="H171" s="304"/>
      <c r="I171" s="252"/>
      <c r="J171" s="247" t="str">
        <f t="shared" si="11"/>
        <v>Saisie ok</v>
      </c>
    </row>
    <row r="172" spans="1:10">
      <c r="A172" s="298"/>
      <c r="B172" s="299"/>
      <c r="C172" s="299"/>
      <c r="D172" s="288" t="str">
        <f>IF(Tableau12[[#This Row],[Quantité restante dans la cuve
(si remplissage, valeur 
avant le plein)]]&lt;=0,"",Tableau12[[#This Row],[Quantité restante dans la cuve
(si remplissage, valeur 
avant le plein)]]+Tableau12[[#This Row],[Remplissage / 
Quantité remise]])</f>
        <v/>
      </c>
      <c r="E172" s="245" t="str">
        <f t="shared" si="8"/>
        <v/>
      </c>
      <c r="F172" s="303" t="str">
        <f t="shared" si="9"/>
        <v/>
      </c>
      <c r="G172" s="304" t="str">
        <f t="shared" si="10"/>
        <v/>
      </c>
      <c r="H172" s="304"/>
      <c r="I172" s="252"/>
      <c r="J172" s="247" t="str">
        <f t="shared" si="11"/>
        <v>Saisie ok</v>
      </c>
    </row>
    <row r="173" spans="1:10">
      <c r="A173" s="298"/>
      <c r="B173" s="299"/>
      <c r="C173" s="299"/>
      <c r="D173" s="288" t="str">
        <f>IF(Tableau12[[#This Row],[Quantité restante dans la cuve
(si remplissage, valeur 
avant le plein)]]&lt;=0,"",Tableau12[[#This Row],[Quantité restante dans la cuve
(si remplissage, valeur 
avant le plein)]]+Tableau12[[#This Row],[Remplissage / 
Quantité remise]])</f>
        <v/>
      </c>
      <c r="E173" s="245" t="str">
        <f t="shared" si="8"/>
        <v/>
      </c>
      <c r="F173" s="303" t="str">
        <f t="shared" si="9"/>
        <v/>
      </c>
      <c r="G173" s="304" t="str">
        <f t="shared" si="10"/>
        <v/>
      </c>
      <c r="H173" s="304"/>
      <c r="I173" s="252"/>
      <c r="J173" s="247" t="str">
        <f t="shared" si="11"/>
        <v>Saisie ok</v>
      </c>
    </row>
    <row r="174" spans="1:10">
      <c r="A174" s="298"/>
      <c r="B174" s="299"/>
      <c r="C174" s="299"/>
      <c r="D174" s="288" t="str">
        <f>IF(Tableau12[[#This Row],[Quantité restante dans la cuve
(si remplissage, valeur 
avant le plein)]]&lt;=0,"",Tableau12[[#This Row],[Quantité restante dans la cuve
(si remplissage, valeur 
avant le plein)]]+Tableau12[[#This Row],[Remplissage / 
Quantité remise]])</f>
        <v/>
      </c>
      <c r="E174" s="245" t="str">
        <f t="shared" si="8"/>
        <v/>
      </c>
      <c r="F174" s="303" t="str">
        <f t="shared" si="9"/>
        <v/>
      </c>
      <c r="G174" s="304" t="str">
        <f t="shared" si="10"/>
        <v/>
      </c>
      <c r="H174" s="304"/>
      <c r="I174" s="252"/>
      <c r="J174" s="247" t="str">
        <f t="shared" si="11"/>
        <v>Saisie ok</v>
      </c>
    </row>
    <row r="175" spans="1:10">
      <c r="A175" s="298"/>
      <c r="B175" s="299"/>
      <c r="C175" s="299"/>
      <c r="D175" s="288" t="str">
        <f>IF(Tableau12[[#This Row],[Quantité restante dans la cuve
(si remplissage, valeur 
avant le plein)]]&lt;=0,"",Tableau12[[#This Row],[Quantité restante dans la cuve
(si remplissage, valeur 
avant le plein)]]+Tableau12[[#This Row],[Remplissage / 
Quantité remise]])</f>
        <v/>
      </c>
      <c r="E175" s="245" t="str">
        <f t="shared" si="8"/>
        <v/>
      </c>
      <c r="F175" s="303" t="str">
        <f t="shared" si="9"/>
        <v/>
      </c>
      <c r="G175" s="304" t="str">
        <f t="shared" si="10"/>
        <v/>
      </c>
      <c r="H175" s="304"/>
      <c r="I175" s="252"/>
      <c r="J175" s="247" t="str">
        <f t="shared" si="11"/>
        <v>Saisie ok</v>
      </c>
    </row>
    <row r="176" spans="1:10">
      <c r="A176" s="298"/>
      <c r="B176" s="299"/>
      <c r="C176" s="299"/>
      <c r="D176" s="288" t="str">
        <f>IF(Tableau12[[#This Row],[Quantité restante dans la cuve
(si remplissage, valeur 
avant le plein)]]&lt;=0,"",Tableau12[[#This Row],[Quantité restante dans la cuve
(si remplissage, valeur 
avant le plein)]]+Tableau12[[#This Row],[Remplissage / 
Quantité remise]])</f>
        <v/>
      </c>
      <c r="E176" s="245" t="str">
        <f t="shared" si="8"/>
        <v/>
      </c>
      <c r="F176" s="303" t="str">
        <f t="shared" si="9"/>
        <v/>
      </c>
      <c r="G176" s="304" t="str">
        <f t="shared" si="10"/>
        <v/>
      </c>
      <c r="H176" s="304"/>
      <c r="I176" s="252"/>
      <c r="J176" s="247" t="str">
        <f t="shared" si="11"/>
        <v>Saisie ok</v>
      </c>
    </row>
    <row r="177" spans="1:10">
      <c r="A177" s="298"/>
      <c r="B177" s="299"/>
      <c r="C177" s="299"/>
      <c r="D177" s="288" t="str">
        <f>IF(Tableau12[[#This Row],[Quantité restante dans la cuve
(si remplissage, valeur 
avant le plein)]]&lt;=0,"",Tableau12[[#This Row],[Quantité restante dans la cuve
(si remplissage, valeur 
avant le plein)]]+Tableau12[[#This Row],[Remplissage / 
Quantité remise]])</f>
        <v/>
      </c>
      <c r="E177" s="245" t="str">
        <f t="shared" si="8"/>
        <v/>
      </c>
      <c r="F177" s="303" t="str">
        <f t="shared" si="9"/>
        <v/>
      </c>
      <c r="G177" s="304" t="str">
        <f t="shared" si="10"/>
        <v/>
      </c>
      <c r="H177" s="304"/>
      <c r="I177" s="252"/>
      <c r="J177" s="247" t="str">
        <f t="shared" si="11"/>
        <v>Saisie ok</v>
      </c>
    </row>
    <row r="178" spans="1:10">
      <c r="A178" s="298"/>
      <c r="B178" s="299"/>
      <c r="C178" s="299"/>
      <c r="D178" s="288" t="str">
        <f>IF(Tableau12[[#This Row],[Quantité restante dans la cuve
(si remplissage, valeur 
avant le plein)]]&lt;=0,"",Tableau12[[#This Row],[Quantité restante dans la cuve
(si remplissage, valeur 
avant le plein)]]+Tableau12[[#This Row],[Remplissage / 
Quantité remise]])</f>
        <v/>
      </c>
      <c r="E178" s="245" t="str">
        <f t="shared" si="8"/>
        <v/>
      </c>
      <c r="F178" s="303" t="str">
        <f t="shared" si="9"/>
        <v/>
      </c>
      <c r="G178" s="304" t="str">
        <f t="shared" si="10"/>
        <v/>
      </c>
      <c r="H178" s="304"/>
      <c r="I178" s="252"/>
      <c r="J178" s="247" t="str">
        <f t="shared" si="11"/>
        <v>Saisie ok</v>
      </c>
    </row>
    <row r="179" spans="1:10">
      <c r="A179" s="298"/>
      <c r="B179" s="299"/>
      <c r="C179" s="299"/>
      <c r="D179" s="288" t="str">
        <f>IF(Tableau12[[#This Row],[Quantité restante dans la cuve
(si remplissage, valeur 
avant le plein)]]&lt;=0,"",Tableau12[[#This Row],[Quantité restante dans la cuve
(si remplissage, valeur 
avant le plein)]]+Tableau12[[#This Row],[Remplissage / 
Quantité remise]])</f>
        <v/>
      </c>
      <c r="E179" s="245" t="str">
        <f t="shared" si="8"/>
        <v/>
      </c>
      <c r="F179" s="303" t="str">
        <f t="shared" si="9"/>
        <v/>
      </c>
      <c r="G179" s="304" t="str">
        <f t="shared" si="10"/>
        <v/>
      </c>
      <c r="H179" s="304"/>
      <c r="I179" s="252"/>
      <c r="J179" s="247" t="str">
        <f t="shared" si="11"/>
        <v>Saisie ok</v>
      </c>
    </row>
    <row r="180" spans="1:10">
      <c r="A180" s="298"/>
      <c r="B180" s="299"/>
      <c r="C180" s="299"/>
      <c r="D180" s="288" t="str">
        <f>IF(Tableau12[[#This Row],[Quantité restante dans la cuve
(si remplissage, valeur 
avant le plein)]]&lt;=0,"",Tableau12[[#This Row],[Quantité restante dans la cuve
(si remplissage, valeur 
avant le plein)]]+Tableau12[[#This Row],[Remplissage / 
Quantité remise]])</f>
        <v/>
      </c>
      <c r="E180" s="245" t="str">
        <f t="shared" si="8"/>
        <v/>
      </c>
      <c r="F180" s="303" t="str">
        <f t="shared" si="9"/>
        <v/>
      </c>
      <c r="G180" s="304" t="str">
        <f t="shared" si="10"/>
        <v/>
      </c>
      <c r="H180" s="304"/>
      <c r="I180" s="252"/>
      <c r="J180" s="247" t="str">
        <f t="shared" si="11"/>
        <v>Saisie ok</v>
      </c>
    </row>
    <row r="181" spans="1:10">
      <c r="A181" s="298"/>
      <c r="B181" s="299"/>
      <c r="C181" s="299"/>
      <c r="D181" s="288" t="str">
        <f>IF(Tableau12[[#This Row],[Quantité restante dans la cuve
(si remplissage, valeur 
avant le plein)]]&lt;=0,"",Tableau12[[#This Row],[Quantité restante dans la cuve
(si remplissage, valeur 
avant le plein)]]+Tableau12[[#This Row],[Remplissage / 
Quantité remise]])</f>
        <v/>
      </c>
      <c r="E181" s="245" t="str">
        <f t="shared" si="8"/>
        <v/>
      </c>
      <c r="F181" s="303" t="str">
        <f t="shared" si="9"/>
        <v/>
      </c>
      <c r="G181" s="304" t="str">
        <f t="shared" si="10"/>
        <v/>
      </c>
      <c r="H181" s="304"/>
      <c r="I181" s="252"/>
      <c r="J181" s="247" t="str">
        <f t="shared" si="11"/>
        <v>Saisie ok</v>
      </c>
    </row>
    <row r="182" spans="1:10">
      <c r="A182" s="298"/>
      <c r="B182" s="299"/>
      <c r="C182" s="299"/>
      <c r="D182" s="288" t="str">
        <f>IF(Tableau12[[#This Row],[Quantité restante dans la cuve
(si remplissage, valeur 
avant le plein)]]&lt;=0,"",Tableau12[[#This Row],[Quantité restante dans la cuve
(si remplissage, valeur 
avant le plein)]]+Tableau12[[#This Row],[Remplissage / 
Quantité remise]])</f>
        <v/>
      </c>
      <c r="E182" s="245" t="str">
        <f t="shared" si="8"/>
        <v/>
      </c>
      <c r="F182" s="303" t="str">
        <f t="shared" si="9"/>
        <v/>
      </c>
      <c r="G182" s="304" t="str">
        <f t="shared" si="10"/>
        <v/>
      </c>
      <c r="H182" s="304"/>
      <c r="I182" s="252"/>
      <c r="J182" s="247" t="str">
        <f t="shared" si="11"/>
        <v>Saisie ok</v>
      </c>
    </row>
    <row r="183" spans="1:10">
      <c r="A183" s="298"/>
      <c r="B183" s="299"/>
      <c r="C183" s="299"/>
      <c r="D183" s="288" t="str">
        <f>IF(Tableau12[[#This Row],[Quantité restante dans la cuve
(si remplissage, valeur 
avant le plein)]]&lt;=0,"",Tableau12[[#This Row],[Quantité restante dans la cuve
(si remplissage, valeur 
avant le plein)]]+Tableau12[[#This Row],[Remplissage / 
Quantité remise]])</f>
        <v/>
      </c>
      <c r="E183" s="245" t="str">
        <f t="shared" si="8"/>
        <v/>
      </c>
      <c r="F183" s="303" t="str">
        <f t="shared" si="9"/>
        <v/>
      </c>
      <c r="G183" s="304" t="str">
        <f t="shared" si="10"/>
        <v/>
      </c>
      <c r="H183" s="304"/>
      <c r="I183" s="252"/>
      <c r="J183" s="247" t="str">
        <f t="shared" si="11"/>
        <v>Saisie ok</v>
      </c>
    </row>
    <row r="184" spans="1:10">
      <c r="A184" s="298"/>
      <c r="B184" s="299"/>
      <c r="C184" s="299"/>
      <c r="D184" s="288" t="str">
        <f>IF(Tableau12[[#This Row],[Quantité restante dans la cuve
(si remplissage, valeur 
avant le plein)]]&lt;=0,"",Tableau12[[#This Row],[Quantité restante dans la cuve
(si remplissage, valeur 
avant le plein)]]+Tableau12[[#This Row],[Remplissage / 
Quantité remise]])</f>
        <v/>
      </c>
      <c r="E184" s="245" t="str">
        <f t="shared" si="8"/>
        <v/>
      </c>
      <c r="F184" s="303" t="str">
        <f t="shared" si="9"/>
        <v/>
      </c>
      <c r="G184" s="304" t="str">
        <f t="shared" si="10"/>
        <v/>
      </c>
      <c r="H184" s="304"/>
      <c r="I184" s="252"/>
      <c r="J184" s="247" t="str">
        <f t="shared" si="11"/>
        <v>Saisie ok</v>
      </c>
    </row>
    <row r="185" spans="1:10">
      <c r="A185" s="298"/>
      <c r="B185" s="299"/>
      <c r="C185" s="299"/>
      <c r="D185" s="288" t="str">
        <f>IF(Tableau12[[#This Row],[Quantité restante dans la cuve
(si remplissage, valeur 
avant le plein)]]&lt;=0,"",Tableau12[[#This Row],[Quantité restante dans la cuve
(si remplissage, valeur 
avant le plein)]]+Tableau12[[#This Row],[Remplissage / 
Quantité remise]])</f>
        <v/>
      </c>
      <c r="E185" s="245" t="str">
        <f t="shared" si="8"/>
        <v/>
      </c>
      <c r="F185" s="303" t="str">
        <f t="shared" si="9"/>
        <v/>
      </c>
      <c r="G185" s="304" t="str">
        <f t="shared" si="10"/>
        <v/>
      </c>
      <c r="H185" s="304"/>
      <c r="I185" s="252"/>
      <c r="J185" s="247" t="str">
        <f t="shared" si="11"/>
        <v>Saisie ok</v>
      </c>
    </row>
    <row r="186" spans="1:10">
      <c r="A186" s="298"/>
      <c r="B186" s="299"/>
      <c r="C186" s="299"/>
      <c r="D186" s="288" t="str">
        <f>IF(Tableau12[[#This Row],[Quantité restante dans la cuve
(si remplissage, valeur 
avant le plein)]]&lt;=0,"",Tableau12[[#This Row],[Quantité restante dans la cuve
(si remplissage, valeur 
avant le plein)]]+Tableau12[[#This Row],[Remplissage / 
Quantité remise]])</f>
        <v/>
      </c>
      <c r="E186" s="245" t="str">
        <f t="shared" si="8"/>
        <v/>
      </c>
      <c r="F186" s="303" t="str">
        <f t="shared" si="9"/>
        <v/>
      </c>
      <c r="G186" s="304" t="str">
        <f t="shared" si="10"/>
        <v/>
      </c>
      <c r="H186" s="304"/>
      <c r="I186" s="252"/>
      <c r="J186" s="247" t="str">
        <f t="shared" si="11"/>
        <v>Saisie ok</v>
      </c>
    </row>
    <row r="187" spans="1:10">
      <c r="A187" s="298"/>
      <c r="B187" s="299"/>
      <c r="C187" s="299"/>
      <c r="D187" s="288" t="str">
        <f>IF(Tableau12[[#This Row],[Quantité restante dans la cuve
(si remplissage, valeur 
avant le plein)]]&lt;=0,"",Tableau12[[#This Row],[Quantité restante dans la cuve
(si remplissage, valeur 
avant le plein)]]+Tableau12[[#This Row],[Remplissage / 
Quantité remise]])</f>
        <v/>
      </c>
      <c r="E187" s="245" t="str">
        <f t="shared" si="8"/>
        <v/>
      </c>
      <c r="F187" s="303" t="str">
        <f t="shared" si="9"/>
        <v/>
      </c>
      <c r="G187" s="304" t="str">
        <f t="shared" si="10"/>
        <v/>
      </c>
      <c r="H187" s="304"/>
      <c r="I187" s="252"/>
      <c r="J187" s="247" t="str">
        <f t="shared" si="11"/>
        <v>Saisie ok</v>
      </c>
    </row>
    <row r="188" spans="1:10">
      <c r="A188" s="298"/>
      <c r="B188" s="299"/>
      <c r="C188" s="299"/>
      <c r="D188" s="288" t="str">
        <f>IF(Tableau12[[#This Row],[Quantité restante dans la cuve
(si remplissage, valeur 
avant le plein)]]&lt;=0,"",Tableau12[[#This Row],[Quantité restante dans la cuve
(si remplissage, valeur 
avant le plein)]]+Tableau12[[#This Row],[Remplissage / 
Quantité remise]])</f>
        <v/>
      </c>
      <c r="E188" s="245" t="str">
        <f t="shared" si="8"/>
        <v/>
      </c>
      <c r="F188" s="303" t="str">
        <f t="shared" si="9"/>
        <v/>
      </c>
      <c r="G188" s="304" t="str">
        <f t="shared" si="10"/>
        <v/>
      </c>
      <c r="H188" s="304"/>
      <c r="I188" s="252"/>
      <c r="J188" s="247" t="str">
        <f t="shared" si="11"/>
        <v>Saisie ok</v>
      </c>
    </row>
    <row r="189" spans="1:10">
      <c r="A189" s="298"/>
      <c r="B189" s="299"/>
      <c r="C189" s="299"/>
      <c r="D189" s="288" t="str">
        <f>IF(Tableau12[[#This Row],[Quantité restante dans la cuve
(si remplissage, valeur 
avant le plein)]]&lt;=0,"",Tableau12[[#This Row],[Quantité restante dans la cuve
(si remplissage, valeur 
avant le plein)]]+Tableau12[[#This Row],[Remplissage / 
Quantité remise]])</f>
        <v/>
      </c>
      <c r="E189" s="245" t="str">
        <f t="shared" si="8"/>
        <v/>
      </c>
      <c r="F189" s="303" t="str">
        <f t="shared" si="9"/>
        <v/>
      </c>
      <c r="G189" s="304" t="str">
        <f t="shared" si="10"/>
        <v/>
      </c>
      <c r="H189" s="304"/>
      <c r="I189" s="252"/>
      <c r="J189" s="247" t="str">
        <f t="shared" si="11"/>
        <v>Saisie ok</v>
      </c>
    </row>
    <row r="190" spans="1:10">
      <c r="A190" s="298"/>
      <c r="B190" s="299"/>
      <c r="C190" s="299"/>
      <c r="D190" s="288" t="str">
        <f>IF(Tableau12[[#This Row],[Quantité restante dans la cuve
(si remplissage, valeur 
avant le plein)]]&lt;=0,"",Tableau12[[#This Row],[Quantité restante dans la cuve
(si remplissage, valeur 
avant le plein)]]+Tableau12[[#This Row],[Remplissage / 
Quantité remise]])</f>
        <v/>
      </c>
      <c r="E190" s="245" t="str">
        <f t="shared" si="8"/>
        <v/>
      </c>
      <c r="F190" s="303" t="str">
        <f t="shared" si="9"/>
        <v/>
      </c>
      <c r="G190" s="304" t="str">
        <f t="shared" si="10"/>
        <v/>
      </c>
      <c r="H190" s="304"/>
      <c r="I190" s="252"/>
      <c r="J190" s="247" t="str">
        <f t="shared" si="11"/>
        <v>Saisie ok</v>
      </c>
    </row>
    <row r="191" spans="1:10">
      <c r="A191" s="298"/>
      <c r="B191" s="299"/>
      <c r="C191" s="299"/>
      <c r="D191" s="288" t="str">
        <f>IF(Tableau12[[#This Row],[Quantité restante dans la cuve
(si remplissage, valeur 
avant le plein)]]&lt;=0,"",Tableau12[[#This Row],[Quantité restante dans la cuve
(si remplissage, valeur 
avant le plein)]]+Tableau12[[#This Row],[Remplissage / 
Quantité remise]])</f>
        <v/>
      </c>
      <c r="E191" s="245" t="str">
        <f t="shared" si="8"/>
        <v/>
      </c>
      <c r="F191" s="303" t="str">
        <f t="shared" si="9"/>
        <v/>
      </c>
      <c r="G191" s="304" t="str">
        <f t="shared" si="10"/>
        <v/>
      </c>
      <c r="H191" s="304"/>
      <c r="I191" s="252"/>
      <c r="J191" s="247" t="str">
        <f t="shared" si="11"/>
        <v>Saisie ok</v>
      </c>
    </row>
    <row r="192" spans="1:10">
      <c r="A192" s="298"/>
      <c r="B192" s="299"/>
      <c r="C192" s="299"/>
      <c r="D192" s="288" t="str">
        <f>IF(Tableau12[[#This Row],[Quantité restante dans la cuve
(si remplissage, valeur 
avant le plein)]]&lt;=0,"",Tableau12[[#This Row],[Quantité restante dans la cuve
(si remplissage, valeur 
avant le plein)]]+Tableau12[[#This Row],[Remplissage / 
Quantité remise]])</f>
        <v/>
      </c>
      <c r="E192" s="245" t="str">
        <f t="shared" si="8"/>
        <v/>
      </c>
      <c r="F192" s="303" t="str">
        <f t="shared" si="9"/>
        <v/>
      </c>
      <c r="G192" s="304" t="str">
        <f t="shared" si="10"/>
        <v/>
      </c>
      <c r="H192" s="304"/>
      <c r="I192" s="252"/>
      <c r="J192" s="247" t="str">
        <f t="shared" si="11"/>
        <v>Saisie ok</v>
      </c>
    </row>
    <row r="193" spans="1:10">
      <c r="A193" s="298"/>
      <c r="B193" s="299"/>
      <c r="C193" s="299"/>
      <c r="D193" s="288" t="str">
        <f>IF(Tableau12[[#This Row],[Quantité restante dans la cuve
(si remplissage, valeur 
avant le plein)]]&lt;=0,"",Tableau12[[#This Row],[Quantité restante dans la cuve
(si remplissage, valeur 
avant le plein)]]+Tableau12[[#This Row],[Remplissage / 
Quantité remise]])</f>
        <v/>
      </c>
      <c r="E193" s="245" t="str">
        <f t="shared" si="8"/>
        <v/>
      </c>
      <c r="F193" s="303" t="str">
        <f t="shared" si="9"/>
        <v/>
      </c>
      <c r="G193" s="304" t="str">
        <f t="shared" si="10"/>
        <v/>
      </c>
      <c r="H193" s="304"/>
      <c r="I193" s="252"/>
      <c r="J193" s="247" t="str">
        <f t="shared" si="11"/>
        <v>Saisie ok</v>
      </c>
    </row>
    <row r="194" spans="1:10">
      <c r="A194" s="298"/>
      <c r="B194" s="299"/>
      <c r="C194" s="299"/>
      <c r="D194" s="288" t="str">
        <f>IF(Tableau12[[#This Row],[Quantité restante dans la cuve
(si remplissage, valeur 
avant le plein)]]&lt;=0,"",Tableau12[[#This Row],[Quantité restante dans la cuve
(si remplissage, valeur 
avant le plein)]]+Tableau12[[#This Row],[Remplissage / 
Quantité remise]])</f>
        <v/>
      </c>
      <c r="E194" s="245" t="str">
        <f t="shared" si="8"/>
        <v/>
      </c>
      <c r="F194" s="303" t="str">
        <f t="shared" si="9"/>
        <v/>
      </c>
      <c r="G194" s="304" t="str">
        <f t="shared" si="10"/>
        <v/>
      </c>
      <c r="H194" s="304"/>
      <c r="I194" s="252"/>
      <c r="J194" s="247" t="str">
        <f t="shared" si="11"/>
        <v>Saisie ok</v>
      </c>
    </row>
    <row r="195" spans="1:10">
      <c r="A195" s="298"/>
      <c r="B195" s="299"/>
      <c r="C195" s="299"/>
      <c r="D195" s="288" t="str">
        <f>IF(Tableau12[[#This Row],[Quantité restante dans la cuve
(si remplissage, valeur 
avant le plein)]]&lt;=0,"",Tableau12[[#This Row],[Quantité restante dans la cuve
(si remplissage, valeur 
avant le plein)]]+Tableau12[[#This Row],[Remplissage / 
Quantité remise]])</f>
        <v/>
      </c>
      <c r="E195" s="245" t="str">
        <f t="shared" si="8"/>
        <v/>
      </c>
      <c r="F195" s="303" t="str">
        <f t="shared" si="9"/>
        <v/>
      </c>
      <c r="G195" s="304" t="str">
        <f t="shared" si="10"/>
        <v/>
      </c>
      <c r="H195" s="304"/>
      <c r="I195" s="252"/>
      <c r="J195" s="247" t="str">
        <f t="shared" si="11"/>
        <v>Saisie ok</v>
      </c>
    </row>
    <row r="196" spans="1:10">
      <c r="A196" s="298"/>
      <c r="B196" s="299"/>
      <c r="C196" s="299"/>
      <c r="D196" s="288" t="str">
        <f>IF(Tableau12[[#This Row],[Quantité restante dans la cuve
(si remplissage, valeur 
avant le plein)]]&lt;=0,"",Tableau12[[#This Row],[Quantité restante dans la cuve
(si remplissage, valeur 
avant le plein)]]+Tableau12[[#This Row],[Remplissage / 
Quantité remise]])</f>
        <v/>
      </c>
      <c r="E196" s="245" t="str">
        <f t="shared" ref="E196:E238" si="12">IFERROR(G196/(A196-A195),"")</f>
        <v/>
      </c>
      <c r="F196" s="303" t="str">
        <f t="shared" ref="F196:F238" si="13">IF(A196="","",A196)</f>
        <v/>
      </c>
      <c r="G196" s="304" t="str">
        <f t="shared" ref="G196:G238" si="14">IF(B196&lt;=0,"",D195-B196)</f>
        <v/>
      </c>
      <c r="H196" s="304"/>
      <c r="I196" s="252"/>
      <c r="J196" s="247" t="str">
        <f t="shared" ref="J196:J238" si="15">IF(C195&lt;=0,IF(B196&gt;B195,"Erreur saisie","Saisie ok"),"Saisie ok, plein fait")</f>
        <v>Saisie ok</v>
      </c>
    </row>
    <row r="197" spans="1:10">
      <c r="A197" s="298"/>
      <c r="B197" s="299"/>
      <c r="C197" s="299"/>
      <c r="D197" s="288" t="str">
        <f>IF(Tableau12[[#This Row],[Quantité restante dans la cuve
(si remplissage, valeur 
avant le plein)]]&lt;=0,"",Tableau12[[#This Row],[Quantité restante dans la cuve
(si remplissage, valeur 
avant le plein)]]+Tableau12[[#This Row],[Remplissage / 
Quantité remise]])</f>
        <v/>
      </c>
      <c r="E197" s="245" t="str">
        <f t="shared" si="12"/>
        <v/>
      </c>
      <c r="F197" s="303" t="str">
        <f t="shared" si="13"/>
        <v/>
      </c>
      <c r="G197" s="304" t="str">
        <f t="shared" si="14"/>
        <v/>
      </c>
      <c r="H197" s="304"/>
      <c r="I197" s="252"/>
      <c r="J197" s="247" t="str">
        <f t="shared" si="15"/>
        <v>Saisie ok</v>
      </c>
    </row>
    <row r="198" spans="1:10">
      <c r="A198" s="298"/>
      <c r="B198" s="299"/>
      <c r="C198" s="299"/>
      <c r="D198" s="288" t="str">
        <f>IF(Tableau12[[#This Row],[Quantité restante dans la cuve
(si remplissage, valeur 
avant le plein)]]&lt;=0,"",Tableau12[[#This Row],[Quantité restante dans la cuve
(si remplissage, valeur 
avant le plein)]]+Tableau12[[#This Row],[Remplissage / 
Quantité remise]])</f>
        <v/>
      </c>
      <c r="E198" s="245" t="str">
        <f t="shared" si="12"/>
        <v/>
      </c>
      <c r="F198" s="303" t="str">
        <f t="shared" si="13"/>
        <v/>
      </c>
      <c r="G198" s="304" t="str">
        <f t="shared" si="14"/>
        <v/>
      </c>
      <c r="H198" s="304"/>
      <c r="I198" s="252"/>
      <c r="J198" s="247" t="str">
        <f t="shared" si="15"/>
        <v>Saisie ok</v>
      </c>
    </row>
    <row r="199" spans="1:10">
      <c r="A199" s="298"/>
      <c r="B199" s="299"/>
      <c r="C199" s="299"/>
      <c r="D199" s="288" t="str">
        <f>IF(Tableau12[[#This Row],[Quantité restante dans la cuve
(si remplissage, valeur 
avant le plein)]]&lt;=0,"",Tableau12[[#This Row],[Quantité restante dans la cuve
(si remplissage, valeur 
avant le plein)]]+Tableau12[[#This Row],[Remplissage / 
Quantité remise]])</f>
        <v/>
      </c>
      <c r="E199" s="245" t="str">
        <f t="shared" si="12"/>
        <v/>
      </c>
      <c r="F199" s="303" t="str">
        <f t="shared" si="13"/>
        <v/>
      </c>
      <c r="G199" s="304" t="str">
        <f t="shared" si="14"/>
        <v/>
      </c>
      <c r="H199" s="304"/>
      <c r="I199" s="252"/>
      <c r="J199" s="247" t="str">
        <f t="shared" si="15"/>
        <v>Saisie ok</v>
      </c>
    </row>
    <row r="200" spans="1:10">
      <c r="A200" s="298"/>
      <c r="B200" s="299"/>
      <c r="C200" s="299"/>
      <c r="D200" s="288" t="str">
        <f>IF(Tableau12[[#This Row],[Quantité restante dans la cuve
(si remplissage, valeur 
avant le plein)]]&lt;=0,"",Tableau12[[#This Row],[Quantité restante dans la cuve
(si remplissage, valeur 
avant le plein)]]+Tableau12[[#This Row],[Remplissage / 
Quantité remise]])</f>
        <v/>
      </c>
      <c r="E200" s="245" t="str">
        <f t="shared" si="12"/>
        <v/>
      </c>
      <c r="F200" s="303" t="str">
        <f t="shared" si="13"/>
        <v/>
      </c>
      <c r="G200" s="304" t="str">
        <f t="shared" si="14"/>
        <v/>
      </c>
      <c r="H200" s="304"/>
      <c r="I200" s="252"/>
      <c r="J200" s="247" t="str">
        <f t="shared" si="15"/>
        <v>Saisie ok</v>
      </c>
    </row>
    <row r="201" spans="1:10">
      <c r="A201" s="298"/>
      <c r="B201" s="299"/>
      <c r="C201" s="299"/>
      <c r="D201" s="288" t="str">
        <f>IF(Tableau12[[#This Row],[Quantité restante dans la cuve
(si remplissage, valeur 
avant le plein)]]&lt;=0,"",Tableau12[[#This Row],[Quantité restante dans la cuve
(si remplissage, valeur 
avant le plein)]]+Tableau12[[#This Row],[Remplissage / 
Quantité remise]])</f>
        <v/>
      </c>
      <c r="E201" s="245" t="str">
        <f t="shared" si="12"/>
        <v/>
      </c>
      <c r="F201" s="303" t="str">
        <f t="shared" si="13"/>
        <v/>
      </c>
      <c r="G201" s="304" t="str">
        <f t="shared" si="14"/>
        <v/>
      </c>
      <c r="H201" s="304"/>
      <c r="I201" s="252"/>
      <c r="J201" s="247" t="str">
        <f t="shared" si="15"/>
        <v>Saisie ok</v>
      </c>
    </row>
    <row r="202" spans="1:10">
      <c r="A202" s="298"/>
      <c r="B202" s="299"/>
      <c r="C202" s="299"/>
      <c r="D202" s="288" t="str">
        <f>IF(Tableau12[[#This Row],[Quantité restante dans la cuve
(si remplissage, valeur 
avant le plein)]]&lt;=0,"",Tableau12[[#This Row],[Quantité restante dans la cuve
(si remplissage, valeur 
avant le plein)]]+Tableau12[[#This Row],[Remplissage / 
Quantité remise]])</f>
        <v/>
      </c>
      <c r="E202" s="245" t="str">
        <f t="shared" si="12"/>
        <v/>
      </c>
      <c r="F202" s="303" t="str">
        <f t="shared" si="13"/>
        <v/>
      </c>
      <c r="G202" s="304" t="str">
        <f t="shared" si="14"/>
        <v/>
      </c>
      <c r="H202" s="304"/>
      <c r="I202" s="252"/>
      <c r="J202" s="247" t="str">
        <f t="shared" si="15"/>
        <v>Saisie ok</v>
      </c>
    </row>
    <row r="203" spans="1:10">
      <c r="A203" s="298"/>
      <c r="B203" s="299"/>
      <c r="C203" s="299"/>
      <c r="D203" s="288" t="str">
        <f>IF(Tableau12[[#This Row],[Quantité restante dans la cuve
(si remplissage, valeur 
avant le plein)]]&lt;=0,"",Tableau12[[#This Row],[Quantité restante dans la cuve
(si remplissage, valeur 
avant le plein)]]+Tableau12[[#This Row],[Remplissage / 
Quantité remise]])</f>
        <v/>
      </c>
      <c r="E203" s="245" t="str">
        <f t="shared" si="12"/>
        <v/>
      </c>
      <c r="F203" s="303" t="str">
        <f t="shared" si="13"/>
        <v/>
      </c>
      <c r="G203" s="304" t="str">
        <f t="shared" si="14"/>
        <v/>
      </c>
      <c r="H203" s="304"/>
      <c r="I203" s="252"/>
      <c r="J203" s="247" t="str">
        <f t="shared" si="15"/>
        <v>Saisie ok</v>
      </c>
    </row>
    <row r="204" spans="1:10">
      <c r="A204" s="298"/>
      <c r="B204" s="299"/>
      <c r="C204" s="299"/>
      <c r="D204" s="288" t="str">
        <f>IF(Tableau12[[#This Row],[Quantité restante dans la cuve
(si remplissage, valeur 
avant le plein)]]&lt;=0,"",Tableau12[[#This Row],[Quantité restante dans la cuve
(si remplissage, valeur 
avant le plein)]]+Tableau12[[#This Row],[Remplissage / 
Quantité remise]])</f>
        <v/>
      </c>
      <c r="E204" s="245" t="str">
        <f t="shared" si="12"/>
        <v/>
      </c>
      <c r="F204" s="303" t="str">
        <f t="shared" si="13"/>
        <v/>
      </c>
      <c r="G204" s="304" t="str">
        <f t="shared" si="14"/>
        <v/>
      </c>
      <c r="H204" s="304"/>
      <c r="I204" s="252"/>
      <c r="J204" s="247" t="str">
        <f t="shared" si="15"/>
        <v>Saisie ok</v>
      </c>
    </row>
    <row r="205" spans="1:10">
      <c r="A205" s="298"/>
      <c r="B205" s="299"/>
      <c r="C205" s="299"/>
      <c r="D205" s="288" t="str">
        <f>IF(Tableau12[[#This Row],[Quantité restante dans la cuve
(si remplissage, valeur 
avant le plein)]]&lt;=0,"",Tableau12[[#This Row],[Quantité restante dans la cuve
(si remplissage, valeur 
avant le plein)]]+Tableau12[[#This Row],[Remplissage / 
Quantité remise]])</f>
        <v/>
      </c>
      <c r="E205" s="245" t="str">
        <f t="shared" si="12"/>
        <v/>
      </c>
      <c r="F205" s="303" t="str">
        <f t="shared" si="13"/>
        <v/>
      </c>
      <c r="G205" s="304" t="str">
        <f t="shared" si="14"/>
        <v/>
      </c>
      <c r="H205" s="304"/>
      <c r="I205" s="252"/>
      <c r="J205" s="247" t="str">
        <f t="shared" si="15"/>
        <v>Saisie ok</v>
      </c>
    </row>
    <row r="206" spans="1:10">
      <c r="A206" s="298"/>
      <c r="B206" s="299"/>
      <c r="C206" s="299"/>
      <c r="D206" s="288" t="str">
        <f>IF(Tableau12[[#This Row],[Quantité restante dans la cuve
(si remplissage, valeur 
avant le plein)]]&lt;=0,"",Tableau12[[#This Row],[Quantité restante dans la cuve
(si remplissage, valeur 
avant le plein)]]+Tableau12[[#This Row],[Remplissage / 
Quantité remise]])</f>
        <v/>
      </c>
      <c r="E206" s="245" t="str">
        <f t="shared" si="12"/>
        <v/>
      </c>
      <c r="F206" s="303" t="str">
        <f t="shared" si="13"/>
        <v/>
      </c>
      <c r="G206" s="304" t="str">
        <f t="shared" si="14"/>
        <v/>
      </c>
      <c r="H206" s="304"/>
      <c r="I206" s="252"/>
      <c r="J206" s="247" t="str">
        <f t="shared" si="15"/>
        <v>Saisie ok</v>
      </c>
    </row>
    <row r="207" spans="1:10">
      <c r="A207" s="298"/>
      <c r="B207" s="299"/>
      <c r="C207" s="299"/>
      <c r="D207" s="288" t="str">
        <f>IF(Tableau12[[#This Row],[Quantité restante dans la cuve
(si remplissage, valeur 
avant le plein)]]&lt;=0,"",Tableau12[[#This Row],[Quantité restante dans la cuve
(si remplissage, valeur 
avant le plein)]]+Tableau12[[#This Row],[Remplissage / 
Quantité remise]])</f>
        <v/>
      </c>
      <c r="E207" s="245" t="str">
        <f t="shared" si="12"/>
        <v/>
      </c>
      <c r="F207" s="303" t="str">
        <f t="shared" si="13"/>
        <v/>
      </c>
      <c r="G207" s="304" t="str">
        <f t="shared" si="14"/>
        <v/>
      </c>
      <c r="H207" s="304"/>
      <c r="I207" s="252"/>
      <c r="J207" s="247" t="str">
        <f t="shared" si="15"/>
        <v>Saisie ok</v>
      </c>
    </row>
    <row r="208" spans="1:10">
      <c r="A208" s="298"/>
      <c r="B208" s="299"/>
      <c r="C208" s="299"/>
      <c r="D208" s="288" t="str">
        <f>IF(Tableau12[[#This Row],[Quantité restante dans la cuve
(si remplissage, valeur 
avant le plein)]]&lt;=0,"",Tableau12[[#This Row],[Quantité restante dans la cuve
(si remplissage, valeur 
avant le plein)]]+Tableau12[[#This Row],[Remplissage / 
Quantité remise]])</f>
        <v/>
      </c>
      <c r="E208" s="245" t="str">
        <f t="shared" si="12"/>
        <v/>
      </c>
      <c r="F208" s="303" t="str">
        <f t="shared" si="13"/>
        <v/>
      </c>
      <c r="G208" s="304" t="str">
        <f t="shared" si="14"/>
        <v/>
      </c>
      <c r="H208" s="304"/>
      <c r="I208" s="252"/>
      <c r="J208" s="247" t="str">
        <f t="shared" si="15"/>
        <v>Saisie ok</v>
      </c>
    </row>
    <row r="209" spans="1:10">
      <c r="A209" s="298"/>
      <c r="B209" s="299"/>
      <c r="C209" s="299"/>
      <c r="D209" s="288" t="str">
        <f>IF(Tableau12[[#This Row],[Quantité restante dans la cuve
(si remplissage, valeur 
avant le plein)]]&lt;=0,"",Tableau12[[#This Row],[Quantité restante dans la cuve
(si remplissage, valeur 
avant le plein)]]+Tableau12[[#This Row],[Remplissage / 
Quantité remise]])</f>
        <v/>
      </c>
      <c r="E209" s="245" t="str">
        <f t="shared" si="12"/>
        <v/>
      </c>
      <c r="F209" s="303" t="str">
        <f t="shared" si="13"/>
        <v/>
      </c>
      <c r="G209" s="304" t="str">
        <f t="shared" si="14"/>
        <v/>
      </c>
      <c r="H209" s="304"/>
      <c r="I209" s="252"/>
      <c r="J209" s="247" t="str">
        <f t="shared" si="15"/>
        <v>Saisie ok</v>
      </c>
    </row>
    <row r="210" spans="1:10">
      <c r="A210" s="298"/>
      <c r="B210" s="299"/>
      <c r="C210" s="299"/>
      <c r="D210" s="288" t="str">
        <f>IF(Tableau12[[#This Row],[Quantité restante dans la cuve
(si remplissage, valeur 
avant le plein)]]&lt;=0,"",Tableau12[[#This Row],[Quantité restante dans la cuve
(si remplissage, valeur 
avant le plein)]]+Tableau12[[#This Row],[Remplissage / 
Quantité remise]])</f>
        <v/>
      </c>
      <c r="E210" s="245" t="str">
        <f t="shared" si="12"/>
        <v/>
      </c>
      <c r="F210" s="303" t="str">
        <f t="shared" si="13"/>
        <v/>
      </c>
      <c r="G210" s="304" t="str">
        <f t="shared" si="14"/>
        <v/>
      </c>
      <c r="H210" s="304"/>
      <c r="I210" s="252"/>
      <c r="J210" s="247" t="str">
        <f t="shared" si="15"/>
        <v>Saisie ok</v>
      </c>
    </row>
    <row r="211" spans="1:10">
      <c r="A211" s="298"/>
      <c r="B211" s="299"/>
      <c r="C211" s="299"/>
      <c r="D211" s="288" t="str">
        <f>IF(Tableau12[[#This Row],[Quantité restante dans la cuve
(si remplissage, valeur 
avant le plein)]]&lt;=0,"",Tableau12[[#This Row],[Quantité restante dans la cuve
(si remplissage, valeur 
avant le plein)]]+Tableau12[[#This Row],[Remplissage / 
Quantité remise]])</f>
        <v/>
      </c>
      <c r="E211" s="245" t="str">
        <f t="shared" si="12"/>
        <v/>
      </c>
      <c r="F211" s="303" t="str">
        <f t="shared" si="13"/>
        <v/>
      </c>
      <c r="G211" s="304" t="str">
        <f t="shared" si="14"/>
        <v/>
      </c>
      <c r="H211" s="304"/>
      <c r="I211" s="252"/>
      <c r="J211" s="247" t="str">
        <f t="shared" si="15"/>
        <v>Saisie ok</v>
      </c>
    </row>
    <row r="212" spans="1:10">
      <c r="A212" s="298"/>
      <c r="B212" s="299"/>
      <c r="C212" s="299"/>
      <c r="D212" s="288" t="str">
        <f>IF(Tableau12[[#This Row],[Quantité restante dans la cuve
(si remplissage, valeur 
avant le plein)]]&lt;=0,"",Tableau12[[#This Row],[Quantité restante dans la cuve
(si remplissage, valeur 
avant le plein)]]+Tableau12[[#This Row],[Remplissage / 
Quantité remise]])</f>
        <v/>
      </c>
      <c r="E212" s="245" t="str">
        <f t="shared" si="12"/>
        <v/>
      </c>
      <c r="F212" s="303" t="str">
        <f t="shared" si="13"/>
        <v/>
      </c>
      <c r="G212" s="304" t="str">
        <f t="shared" si="14"/>
        <v/>
      </c>
      <c r="H212" s="304"/>
      <c r="I212" s="252"/>
      <c r="J212" s="247" t="str">
        <f t="shared" si="15"/>
        <v>Saisie ok</v>
      </c>
    </row>
    <row r="213" spans="1:10">
      <c r="A213" s="298"/>
      <c r="B213" s="299"/>
      <c r="C213" s="299"/>
      <c r="D213" s="288" t="str">
        <f>IF(Tableau12[[#This Row],[Quantité restante dans la cuve
(si remplissage, valeur 
avant le plein)]]&lt;=0,"",Tableau12[[#This Row],[Quantité restante dans la cuve
(si remplissage, valeur 
avant le plein)]]+Tableau12[[#This Row],[Remplissage / 
Quantité remise]])</f>
        <v/>
      </c>
      <c r="E213" s="245" t="str">
        <f t="shared" si="12"/>
        <v/>
      </c>
      <c r="F213" s="303" t="str">
        <f t="shared" si="13"/>
        <v/>
      </c>
      <c r="G213" s="304" t="str">
        <f t="shared" si="14"/>
        <v/>
      </c>
      <c r="H213" s="304"/>
      <c r="I213" s="252"/>
      <c r="J213" s="247" t="str">
        <f t="shared" si="15"/>
        <v>Saisie ok</v>
      </c>
    </row>
    <row r="214" spans="1:10">
      <c r="A214" s="298"/>
      <c r="B214" s="299"/>
      <c r="C214" s="299"/>
      <c r="D214" s="288" t="str">
        <f>IF(Tableau12[[#This Row],[Quantité restante dans la cuve
(si remplissage, valeur 
avant le plein)]]&lt;=0,"",Tableau12[[#This Row],[Quantité restante dans la cuve
(si remplissage, valeur 
avant le plein)]]+Tableau12[[#This Row],[Remplissage / 
Quantité remise]])</f>
        <v/>
      </c>
      <c r="E214" s="245" t="str">
        <f t="shared" si="12"/>
        <v/>
      </c>
      <c r="F214" s="303" t="str">
        <f t="shared" si="13"/>
        <v/>
      </c>
      <c r="G214" s="304" t="str">
        <f t="shared" si="14"/>
        <v/>
      </c>
      <c r="H214" s="304"/>
      <c r="I214" s="252"/>
      <c r="J214" s="247" t="str">
        <f t="shared" si="15"/>
        <v>Saisie ok</v>
      </c>
    </row>
    <row r="215" spans="1:10">
      <c r="A215" s="298"/>
      <c r="B215" s="299"/>
      <c r="C215" s="299"/>
      <c r="D215" s="288" t="str">
        <f>IF(Tableau12[[#This Row],[Quantité restante dans la cuve
(si remplissage, valeur 
avant le plein)]]&lt;=0,"",Tableau12[[#This Row],[Quantité restante dans la cuve
(si remplissage, valeur 
avant le plein)]]+Tableau12[[#This Row],[Remplissage / 
Quantité remise]])</f>
        <v/>
      </c>
      <c r="E215" s="245" t="str">
        <f t="shared" si="12"/>
        <v/>
      </c>
      <c r="F215" s="303" t="str">
        <f t="shared" si="13"/>
        <v/>
      </c>
      <c r="G215" s="304" t="str">
        <f t="shared" si="14"/>
        <v/>
      </c>
      <c r="H215" s="304"/>
      <c r="I215" s="252"/>
      <c r="J215" s="247" t="str">
        <f t="shared" si="15"/>
        <v>Saisie ok</v>
      </c>
    </row>
    <row r="216" spans="1:10">
      <c r="A216" s="298"/>
      <c r="B216" s="299"/>
      <c r="C216" s="299"/>
      <c r="D216" s="288" t="str">
        <f>IF(Tableau12[[#This Row],[Quantité restante dans la cuve
(si remplissage, valeur 
avant le plein)]]&lt;=0,"",Tableau12[[#This Row],[Quantité restante dans la cuve
(si remplissage, valeur 
avant le plein)]]+Tableau12[[#This Row],[Remplissage / 
Quantité remise]])</f>
        <v/>
      </c>
      <c r="E216" s="245" t="str">
        <f t="shared" si="12"/>
        <v/>
      </c>
      <c r="F216" s="303" t="str">
        <f t="shared" si="13"/>
        <v/>
      </c>
      <c r="G216" s="304" t="str">
        <f t="shared" si="14"/>
        <v/>
      </c>
      <c r="H216" s="304"/>
      <c r="I216" s="252"/>
      <c r="J216" s="247" t="str">
        <f t="shared" si="15"/>
        <v>Saisie ok</v>
      </c>
    </row>
    <row r="217" spans="1:10">
      <c r="A217" s="298"/>
      <c r="B217" s="299"/>
      <c r="C217" s="299"/>
      <c r="D217" s="288" t="str">
        <f>IF(Tableau12[[#This Row],[Quantité restante dans la cuve
(si remplissage, valeur 
avant le plein)]]&lt;=0,"",Tableau12[[#This Row],[Quantité restante dans la cuve
(si remplissage, valeur 
avant le plein)]]+Tableau12[[#This Row],[Remplissage / 
Quantité remise]])</f>
        <v/>
      </c>
      <c r="E217" s="245" t="str">
        <f t="shared" si="12"/>
        <v/>
      </c>
      <c r="F217" s="303" t="str">
        <f t="shared" si="13"/>
        <v/>
      </c>
      <c r="G217" s="304" t="str">
        <f t="shared" si="14"/>
        <v/>
      </c>
      <c r="H217" s="304"/>
      <c r="I217" s="252"/>
      <c r="J217" s="247" t="str">
        <f t="shared" si="15"/>
        <v>Saisie ok</v>
      </c>
    </row>
    <row r="218" spans="1:10">
      <c r="A218" s="298"/>
      <c r="B218" s="299"/>
      <c r="C218" s="299"/>
      <c r="D218" s="288" t="str">
        <f>IF(Tableau12[[#This Row],[Quantité restante dans la cuve
(si remplissage, valeur 
avant le plein)]]&lt;=0,"",Tableau12[[#This Row],[Quantité restante dans la cuve
(si remplissage, valeur 
avant le plein)]]+Tableau12[[#This Row],[Remplissage / 
Quantité remise]])</f>
        <v/>
      </c>
      <c r="E218" s="245" t="str">
        <f t="shared" si="12"/>
        <v/>
      </c>
      <c r="F218" s="303" t="str">
        <f t="shared" si="13"/>
        <v/>
      </c>
      <c r="G218" s="304" t="str">
        <f t="shared" si="14"/>
        <v/>
      </c>
      <c r="H218" s="304"/>
      <c r="I218" s="252"/>
      <c r="J218" s="247" t="str">
        <f t="shared" si="15"/>
        <v>Saisie ok</v>
      </c>
    </row>
    <row r="219" spans="1:10">
      <c r="A219" s="298"/>
      <c r="B219" s="299"/>
      <c r="C219" s="299"/>
      <c r="D219" s="288" t="str">
        <f>IF(Tableau12[[#This Row],[Quantité restante dans la cuve
(si remplissage, valeur 
avant le plein)]]&lt;=0,"",Tableau12[[#This Row],[Quantité restante dans la cuve
(si remplissage, valeur 
avant le plein)]]+Tableau12[[#This Row],[Remplissage / 
Quantité remise]])</f>
        <v/>
      </c>
      <c r="E219" s="245" t="str">
        <f t="shared" si="12"/>
        <v/>
      </c>
      <c r="F219" s="303" t="str">
        <f t="shared" si="13"/>
        <v/>
      </c>
      <c r="G219" s="304" t="str">
        <f t="shared" si="14"/>
        <v/>
      </c>
      <c r="H219" s="304"/>
      <c r="I219" s="252"/>
      <c r="J219" s="247" t="str">
        <f t="shared" si="15"/>
        <v>Saisie ok</v>
      </c>
    </row>
    <row r="220" spans="1:10">
      <c r="A220" s="298"/>
      <c r="B220" s="299"/>
      <c r="C220" s="299"/>
      <c r="D220" s="288" t="str">
        <f>IF(Tableau12[[#This Row],[Quantité restante dans la cuve
(si remplissage, valeur 
avant le plein)]]&lt;=0,"",Tableau12[[#This Row],[Quantité restante dans la cuve
(si remplissage, valeur 
avant le plein)]]+Tableau12[[#This Row],[Remplissage / 
Quantité remise]])</f>
        <v/>
      </c>
      <c r="E220" s="245" t="str">
        <f t="shared" si="12"/>
        <v/>
      </c>
      <c r="F220" s="303" t="str">
        <f t="shared" si="13"/>
        <v/>
      </c>
      <c r="G220" s="304" t="str">
        <f t="shared" si="14"/>
        <v/>
      </c>
      <c r="H220" s="304"/>
      <c r="I220" s="252"/>
      <c r="J220" s="247" t="str">
        <f t="shared" si="15"/>
        <v>Saisie ok</v>
      </c>
    </row>
    <row r="221" spans="1:10">
      <c r="A221" s="298"/>
      <c r="B221" s="299"/>
      <c r="C221" s="299"/>
      <c r="D221" s="288" t="str">
        <f>IF(Tableau12[[#This Row],[Quantité restante dans la cuve
(si remplissage, valeur 
avant le plein)]]&lt;=0,"",Tableau12[[#This Row],[Quantité restante dans la cuve
(si remplissage, valeur 
avant le plein)]]+Tableau12[[#This Row],[Remplissage / 
Quantité remise]])</f>
        <v/>
      </c>
      <c r="E221" s="245" t="str">
        <f t="shared" si="12"/>
        <v/>
      </c>
      <c r="F221" s="303" t="str">
        <f t="shared" si="13"/>
        <v/>
      </c>
      <c r="G221" s="304" t="str">
        <f t="shared" si="14"/>
        <v/>
      </c>
      <c r="H221" s="304"/>
      <c r="I221" s="252"/>
      <c r="J221" s="247" t="str">
        <f t="shared" si="15"/>
        <v>Saisie ok</v>
      </c>
    </row>
    <row r="222" spans="1:10">
      <c r="A222" s="298"/>
      <c r="B222" s="299"/>
      <c r="C222" s="299"/>
      <c r="D222" s="288" t="str">
        <f>IF(Tableau12[[#This Row],[Quantité restante dans la cuve
(si remplissage, valeur 
avant le plein)]]&lt;=0,"",Tableau12[[#This Row],[Quantité restante dans la cuve
(si remplissage, valeur 
avant le plein)]]+Tableau12[[#This Row],[Remplissage / 
Quantité remise]])</f>
        <v/>
      </c>
      <c r="E222" s="245" t="str">
        <f t="shared" si="12"/>
        <v/>
      </c>
      <c r="F222" s="303" t="str">
        <f t="shared" si="13"/>
        <v/>
      </c>
      <c r="G222" s="304" t="str">
        <f t="shared" si="14"/>
        <v/>
      </c>
      <c r="H222" s="304"/>
      <c r="I222" s="252"/>
      <c r="J222" s="247" t="str">
        <f t="shared" si="15"/>
        <v>Saisie ok</v>
      </c>
    </row>
    <row r="223" spans="1:10">
      <c r="A223" s="298"/>
      <c r="B223" s="299"/>
      <c r="C223" s="299"/>
      <c r="D223" s="288" t="str">
        <f>IF(Tableau12[[#This Row],[Quantité restante dans la cuve
(si remplissage, valeur 
avant le plein)]]&lt;=0,"",Tableau12[[#This Row],[Quantité restante dans la cuve
(si remplissage, valeur 
avant le plein)]]+Tableau12[[#This Row],[Remplissage / 
Quantité remise]])</f>
        <v/>
      </c>
      <c r="E223" s="245" t="str">
        <f t="shared" si="12"/>
        <v/>
      </c>
      <c r="F223" s="303" t="str">
        <f t="shared" si="13"/>
        <v/>
      </c>
      <c r="G223" s="304" t="str">
        <f t="shared" si="14"/>
        <v/>
      </c>
      <c r="H223" s="304"/>
      <c r="I223" s="252"/>
      <c r="J223" s="247" t="str">
        <f t="shared" si="15"/>
        <v>Saisie ok</v>
      </c>
    </row>
    <row r="224" spans="1:10">
      <c r="A224" s="298"/>
      <c r="B224" s="299"/>
      <c r="C224" s="299"/>
      <c r="D224" s="288" t="str">
        <f>IF(Tableau12[[#This Row],[Quantité restante dans la cuve
(si remplissage, valeur 
avant le plein)]]&lt;=0,"",Tableau12[[#This Row],[Quantité restante dans la cuve
(si remplissage, valeur 
avant le plein)]]+Tableau12[[#This Row],[Remplissage / 
Quantité remise]])</f>
        <v/>
      </c>
      <c r="E224" s="245" t="str">
        <f t="shared" si="12"/>
        <v/>
      </c>
      <c r="F224" s="303" t="str">
        <f t="shared" si="13"/>
        <v/>
      </c>
      <c r="G224" s="304" t="str">
        <f t="shared" si="14"/>
        <v/>
      </c>
      <c r="H224" s="304"/>
      <c r="I224" s="252"/>
      <c r="J224" s="247" t="str">
        <f t="shared" si="15"/>
        <v>Saisie ok</v>
      </c>
    </row>
    <row r="225" spans="1:10">
      <c r="A225" s="298"/>
      <c r="B225" s="299"/>
      <c r="C225" s="299"/>
      <c r="D225" s="288" t="str">
        <f>IF(Tableau12[[#This Row],[Quantité restante dans la cuve
(si remplissage, valeur 
avant le plein)]]&lt;=0,"",Tableau12[[#This Row],[Quantité restante dans la cuve
(si remplissage, valeur 
avant le plein)]]+Tableau12[[#This Row],[Remplissage / 
Quantité remise]])</f>
        <v/>
      </c>
      <c r="E225" s="245" t="str">
        <f t="shared" si="12"/>
        <v/>
      </c>
      <c r="F225" s="303" t="str">
        <f t="shared" si="13"/>
        <v/>
      </c>
      <c r="G225" s="304" t="str">
        <f t="shared" si="14"/>
        <v/>
      </c>
      <c r="H225" s="304"/>
      <c r="I225" s="252"/>
      <c r="J225" s="247" t="str">
        <f t="shared" si="15"/>
        <v>Saisie ok</v>
      </c>
    </row>
    <row r="226" spans="1:10">
      <c r="A226" s="298"/>
      <c r="B226" s="299"/>
      <c r="C226" s="299"/>
      <c r="D226" s="288" t="str">
        <f>IF(Tableau12[[#This Row],[Quantité restante dans la cuve
(si remplissage, valeur 
avant le plein)]]&lt;=0,"",Tableau12[[#This Row],[Quantité restante dans la cuve
(si remplissage, valeur 
avant le plein)]]+Tableau12[[#This Row],[Remplissage / 
Quantité remise]])</f>
        <v/>
      </c>
      <c r="E226" s="245" t="str">
        <f t="shared" si="12"/>
        <v/>
      </c>
      <c r="F226" s="303" t="str">
        <f t="shared" si="13"/>
        <v/>
      </c>
      <c r="G226" s="304" t="str">
        <f t="shared" si="14"/>
        <v/>
      </c>
      <c r="H226" s="304"/>
      <c r="I226" s="252"/>
      <c r="J226" s="247" t="str">
        <f t="shared" si="15"/>
        <v>Saisie ok</v>
      </c>
    </row>
    <row r="227" spans="1:10">
      <c r="A227" s="298"/>
      <c r="B227" s="299"/>
      <c r="C227" s="299"/>
      <c r="D227" s="288" t="str">
        <f>IF(Tableau12[[#This Row],[Quantité restante dans la cuve
(si remplissage, valeur 
avant le plein)]]&lt;=0,"",Tableau12[[#This Row],[Quantité restante dans la cuve
(si remplissage, valeur 
avant le plein)]]+Tableau12[[#This Row],[Remplissage / 
Quantité remise]])</f>
        <v/>
      </c>
      <c r="E227" s="245" t="str">
        <f t="shared" si="12"/>
        <v/>
      </c>
      <c r="F227" s="303" t="str">
        <f t="shared" si="13"/>
        <v/>
      </c>
      <c r="G227" s="304" t="str">
        <f t="shared" si="14"/>
        <v/>
      </c>
      <c r="H227" s="304"/>
      <c r="I227" s="252"/>
      <c r="J227" s="247" t="str">
        <f t="shared" si="15"/>
        <v>Saisie ok</v>
      </c>
    </row>
    <row r="228" spans="1:10">
      <c r="A228" s="298"/>
      <c r="B228" s="299"/>
      <c r="C228" s="299"/>
      <c r="D228" s="288" t="str">
        <f>IF(Tableau12[[#This Row],[Quantité restante dans la cuve
(si remplissage, valeur 
avant le plein)]]&lt;=0,"",Tableau12[[#This Row],[Quantité restante dans la cuve
(si remplissage, valeur 
avant le plein)]]+Tableau12[[#This Row],[Remplissage / 
Quantité remise]])</f>
        <v/>
      </c>
      <c r="E228" s="245" t="str">
        <f t="shared" si="12"/>
        <v/>
      </c>
      <c r="F228" s="303" t="str">
        <f t="shared" si="13"/>
        <v/>
      </c>
      <c r="G228" s="304" t="str">
        <f t="shared" si="14"/>
        <v/>
      </c>
      <c r="H228" s="304"/>
      <c r="I228" s="252"/>
      <c r="J228" s="247" t="str">
        <f t="shared" si="15"/>
        <v>Saisie ok</v>
      </c>
    </row>
    <row r="229" spans="1:10">
      <c r="A229" s="298"/>
      <c r="B229" s="299"/>
      <c r="C229" s="299"/>
      <c r="D229" s="288" t="str">
        <f>IF(Tableau12[[#This Row],[Quantité restante dans la cuve
(si remplissage, valeur 
avant le plein)]]&lt;=0,"",Tableau12[[#This Row],[Quantité restante dans la cuve
(si remplissage, valeur 
avant le plein)]]+Tableau12[[#This Row],[Remplissage / 
Quantité remise]])</f>
        <v/>
      </c>
      <c r="E229" s="245" t="str">
        <f t="shared" si="12"/>
        <v/>
      </c>
      <c r="F229" s="303" t="str">
        <f t="shared" si="13"/>
        <v/>
      </c>
      <c r="G229" s="304" t="str">
        <f t="shared" si="14"/>
        <v/>
      </c>
      <c r="H229" s="304"/>
      <c r="I229" s="252"/>
      <c r="J229" s="247" t="str">
        <f t="shared" si="15"/>
        <v>Saisie ok</v>
      </c>
    </row>
    <row r="230" spans="1:10">
      <c r="A230" s="298"/>
      <c r="B230" s="299"/>
      <c r="C230" s="299"/>
      <c r="D230" s="288" t="str">
        <f>IF(Tableau12[[#This Row],[Quantité restante dans la cuve
(si remplissage, valeur 
avant le plein)]]&lt;=0,"",Tableau12[[#This Row],[Quantité restante dans la cuve
(si remplissage, valeur 
avant le plein)]]+Tableau12[[#This Row],[Remplissage / 
Quantité remise]])</f>
        <v/>
      </c>
      <c r="E230" s="245" t="str">
        <f t="shared" si="12"/>
        <v/>
      </c>
      <c r="F230" s="303" t="str">
        <f t="shared" si="13"/>
        <v/>
      </c>
      <c r="G230" s="304" t="str">
        <f t="shared" si="14"/>
        <v/>
      </c>
      <c r="H230" s="304"/>
      <c r="I230" s="252"/>
      <c r="J230" s="247" t="str">
        <f t="shared" si="15"/>
        <v>Saisie ok</v>
      </c>
    </row>
    <row r="231" spans="1:10">
      <c r="A231" s="298"/>
      <c r="B231" s="299"/>
      <c r="C231" s="299"/>
      <c r="D231" s="288" t="str">
        <f>IF(Tableau12[[#This Row],[Quantité restante dans la cuve
(si remplissage, valeur 
avant le plein)]]&lt;=0,"",Tableau12[[#This Row],[Quantité restante dans la cuve
(si remplissage, valeur 
avant le plein)]]+Tableau12[[#This Row],[Remplissage / 
Quantité remise]])</f>
        <v/>
      </c>
      <c r="E231" s="245" t="str">
        <f t="shared" si="12"/>
        <v/>
      </c>
      <c r="F231" s="303" t="str">
        <f t="shared" si="13"/>
        <v/>
      </c>
      <c r="G231" s="304" t="str">
        <f t="shared" si="14"/>
        <v/>
      </c>
      <c r="H231" s="304"/>
      <c r="I231" s="252"/>
      <c r="J231" s="247" t="str">
        <f t="shared" si="15"/>
        <v>Saisie ok</v>
      </c>
    </row>
    <row r="232" spans="1:10">
      <c r="A232" s="298"/>
      <c r="B232" s="299"/>
      <c r="C232" s="299"/>
      <c r="D232" s="288" t="str">
        <f>IF(Tableau12[[#This Row],[Quantité restante dans la cuve
(si remplissage, valeur 
avant le plein)]]&lt;=0,"",Tableau12[[#This Row],[Quantité restante dans la cuve
(si remplissage, valeur 
avant le plein)]]+Tableau12[[#This Row],[Remplissage / 
Quantité remise]])</f>
        <v/>
      </c>
      <c r="E232" s="245" t="str">
        <f t="shared" si="12"/>
        <v/>
      </c>
      <c r="F232" s="303" t="str">
        <f t="shared" si="13"/>
        <v/>
      </c>
      <c r="G232" s="304" t="str">
        <f t="shared" si="14"/>
        <v/>
      </c>
      <c r="H232" s="304"/>
      <c r="I232" s="252"/>
      <c r="J232" s="247" t="str">
        <f t="shared" si="15"/>
        <v>Saisie ok</v>
      </c>
    </row>
    <row r="233" spans="1:10">
      <c r="A233" s="298"/>
      <c r="B233" s="299"/>
      <c r="C233" s="299"/>
      <c r="D233" s="288" t="str">
        <f>IF(Tableau12[[#This Row],[Quantité restante dans la cuve
(si remplissage, valeur 
avant le plein)]]&lt;=0,"",Tableau12[[#This Row],[Quantité restante dans la cuve
(si remplissage, valeur 
avant le plein)]]+Tableau12[[#This Row],[Remplissage / 
Quantité remise]])</f>
        <v/>
      </c>
      <c r="E233" s="245" t="str">
        <f t="shared" si="12"/>
        <v/>
      </c>
      <c r="F233" s="303" t="str">
        <f t="shared" si="13"/>
        <v/>
      </c>
      <c r="G233" s="304" t="str">
        <f t="shared" si="14"/>
        <v/>
      </c>
      <c r="H233" s="304"/>
      <c r="I233" s="252"/>
      <c r="J233" s="247" t="str">
        <f t="shared" si="15"/>
        <v>Saisie ok</v>
      </c>
    </row>
    <row r="234" spans="1:10">
      <c r="A234" s="298"/>
      <c r="B234" s="299"/>
      <c r="C234" s="299"/>
      <c r="D234" s="288" t="str">
        <f>IF(Tableau12[[#This Row],[Quantité restante dans la cuve
(si remplissage, valeur 
avant le plein)]]&lt;=0,"",Tableau12[[#This Row],[Quantité restante dans la cuve
(si remplissage, valeur 
avant le plein)]]+Tableau12[[#This Row],[Remplissage / 
Quantité remise]])</f>
        <v/>
      </c>
      <c r="E234" s="245" t="str">
        <f t="shared" si="12"/>
        <v/>
      </c>
      <c r="F234" s="303" t="str">
        <f t="shared" si="13"/>
        <v/>
      </c>
      <c r="G234" s="304" t="str">
        <f t="shared" si="14"/>
        <v/>
      </c>
      <c r="H234" s="304"/>
      <c r="I234" s="252"/>
      <c r="J234" s="247" t="str">
        <f t="shared" si="15"/>
        <v>Saisie ok</v>
      </c>
    </row>
    <row r="235" spans="1:10">
      <c r="A235" s="298"/>
      <c r="B235" s="299"/>
      <c r="C235" s="299"/>
      <c r="D235" s="288" t="str">
        <f>IF(Tableau12[[#This Row],[Quantité restante dans la cuve
(si remplissage, valeur 
avant le plein)]]&lt;=0,"",Tableau12[[#This Row],[Quantité restante dans la cuve
(si remplissage, valeur 
avant le plein)]]+Tableau12[[#This Row],[Remplissage / 
Quantité remise]])</f>
        <v/>
      </c>
      <c r="E235" s="245" t="str">
        <f t="shared" si="12"/>
        <v/>
      </c>
      <c r="F235" s="303" t="str">
        <f t="shared" si="13"/>
        <v/>
      </c>
      <c r="G235" s="304" t="str">
        <f t="shared" si="14"/>
        <v/>
      </c>
      <c r="H235" s="304"/>
      <c r="I235" s="252"/>
      <c r="J235" s="247" t="str">
        <f t="shared" si="15"/>
        <v>Saisie ok</v>
      </c>
    </row>
    <row r="236" spans="1:10">
      <c r="A236" s="298"/>
      <c r="B236" s="299"/>
      <c r="C236" s="299"/>
      <c r="D236" s="288" t="str">
        <f>IF(Tableau12[[#This Row],[Quantité restante dans la cuve
(si remplissage, valeur 
avant le plein)]]&lt;=0,"",Tableau12[[#This Row],[Quantité restante dans la cuve
(si remplissage, valeur 
avant le plein)]]+Tableau12[[#This Row],[Remplissage / 
Quantité remise]])</f>
        <v/>
      </c>
      <c r="E236" s="245" t="str">
        <f t="shared" si="12"/>
        <v/>
      </c>
      <c r="F236" s="303" t="str">
        <f t="shared" si="13"/>
        <v/>
      </c>
      <c r="G236" s="304" t="str">
        <f t="shared" si="14"/>
        <v/>
      </c>
      <c r="H236" s="304"/>
      <c r="I236" s="252"/>
      <c r="J236" s="247" t="str">
        <f t="shared" si="15"/>
        <v>Saisie ok</v>
      </c>
    </row>
    <row r="237" spans="1:10">
      <c r="A237" s="298"/>
      <c r="B237" s="299"/>
      <c r="C237" s="299"/>
      <c r="D237" s="288" t="str">
        <f>IF(Tableau12[[#This Row],[Quantité restante dans la cuve
(si remplissage, valeur 
avant le plein)]]&lt;=0,"",Tableau12[[#This Row],[Quantité restante dans la cuve
(si remplissage, valeur 
avant le plein)]]+Tableau12[[#This Row],[Remplissage / 
Quantité remise]])</f>
        <v/>
      </c>
      <c r="E237" s="245" t="str">
        <f t="shared" si="12"/>
        <v/>
      </c>
      <c r="F237" s="303" t="str">
        <f t="shared" si="13"/>
        <v/>
      </c>
      <c r="G237" s="304" t="str">
        <f t="shared" si="14"/>
        <v/>
      </c>
      <c r="H237" s="304"/>
      <c r="I237" s="252"/>
      <c r="J237" s="247" t="str">
        <f t="shared" si="15"/>
        <v>Saisie ok</v>
      </c>
    </row>
    <row r="238" spans="1:10">
      <c r="A238" s="300"/>
      <c r="B238" s="301"/>
      <c r="C238" s="301"/>
      <c r="D238" s="288" t="str">
        <f>IF(Tableau12[[#This Row],[Quantité restante dans la cuve
(si remplissage, valeur 
avant le plein)]]&lt;=0,"",Tableau12[[#This Row],[Quantité restante dans la cuve
(si remplissage, valeur 
avant le plein)]]+Tableau12[[#This Row],[Remplissage / 
Quantité remise]])</f>
        <v/>
      </c>
      <c r="E238" s="245" t="str">
        <f t="shared" si="12"/>
        <v/>
      </c>
      <c r="F238" s="303" t="str">
        <f t="shared" si="13"/>
        <v/>
      </c>
      <c r="G238" s="304" t="str">
        <f t="shared" si="14"/>
        <v/>
      </c>
      <c r="H238" s="306"/>
      <c r="I238" s="253"/>
      <c r="J238" s="247" t="str">
        <f t="shared" si="15"/>
        <v>Saisie ok</v>
      </c>
    </row>
  </sheetData>
  <sheetProtection sheet="1" objects="1" scenarios="1"/>
  <conditionalFormatting sqref="A3:A238">
    <cfRule type="expression" dxfId="14" priority="1">
      <formula>IF(A4&lt;&gt;0,A3&lt;A2)</formula>
    </cfRule>
  </conditionalFormatting>
  <conditionalFormatting sqref="B3:B9">
    <cfRule type="expression" dxfId="13" priority="4">
      <formula>J3="Erreur saisie"</formula>
    </cfRule>
  </conditionalFormatting>
  <conditionalFormatting sqref="G2:H238">
    <cfRule type="cellIs" dxfId="12" priority="3" operator="lessThan">
      <formula>0</formula>
    </cfRule>
  </conditionalFormatting>
  <conditionalFormatting sqref="E2:E238">
    <cfRule type="cellIs" dxfId="11" priority="2" operator="lessThan">
      <formula>0</formula>
    </cfRule>
  </conditionalFormatting>
  <dataValidations disablePrompts="1" count="1">
    <dataValidation type="list" allowBlank="1" showInputMessage="1" showErrorMessage="1" sqref="L7" xr:uid="{C19F43C8-ADFE-4FA2-9419-3579D6A6C8E7}">
      <formula1>$P$3:$P$5</formula1>
    </dataValidation>
  </dataValidations>
  <pageMargins left="0.7" right="0.7" top="0.75" bottom="0.75" header="0.3" footer="0.3"/>
  <pageSetup paperSize="9" orientation="portrait" horizontalDpi="4294967293" r:id="rId1"/>
  <drawing r:id="rId2"/>
  <legacyDrawing r:id="rId3"/>
  <tableParts count="1">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2"/>
  <dimension ref="A1:E24"/>
  <sheetViews>
    <sheetView topLeftCell="A13" workbookViewId="0">
      <selection activeCell="B18" sqref="B18"/>
    </sheetView>
  </sheetViews>
  <sheetFormatPr baseColWidth="10" defaultColWidth="11.453125" defaultRowHeight="14.5"/>
  <cols>
    <col min="1" max="1" width="11.453125" style="151"/>
    <col min="2" max="2" width="145.453125" customWidth="1"/>
    <col min="3" max="3" width="105.7265625" customWidth="1"/>
  </cols>
  <sheetData>
    <row r="1" spans="1:5" ht="29">
      <c r="B1" s="84" t="s">
        <v>410</v>
      </c>
      <c r="D1" t="s">
        <v>411</v>
      </c>
    </row>
    <row r="2" spans="1:5">
      <c r="D2" t="s">
        <v>412</v>
      </c>
      <c r="E2" t="s">
        <v>413</v>
      </c>
    </row>
    <row r="3" spans="1:5">
      <c r="A3" s="151" t="s">
        <v>414</v>
      </c>
      <c r="B3" t="s">
        <v>408</v>
      </c>
    </row>
    <row r="4" spans="1:5" ht="87">
      <c r="A4" s="151" t="s">
        <v>415</v>
      </c>
      <c r="B4" s="82" t="s">
        <v>416</v>
      </c>
    </row>
    <row r="5" spans="1:5" ht="44.25" customHeight="1">
      <c r="A5" s="151" t="s">
        <v>417</v>
      </c>
      <c r="B5" s="82" t="s">
        <v>418</v>
      </c>
    </row>
    <row r="6" spans="1:5" ht="130.5">
      <c r="A6" s="151" t="s">
        <v>419</v>
      </c>
      <c r="B6" s="82" t="s">
        <v>420</v>
      </c>
    </row>
    <row r="7" spans="1:5" ht="116">
      <c r="A7" s="151" t="s">
        <v>421</v>
      </c>
      <c r="B7" s="82" t="s">
        <v>422</v>
      </c>
    </row>
    <row r="8" spans="1:5" ht="159.5">
      <c r="A8" s="151" t="s">
        <v>423</v>
      </c>
      <c r="B8" s="82" t="s">
        <v>424</v>
      </c>
    </row>
    <row r="9" spans="1:5" ht="290">
      <c r="A9" s="151" t="s">
        <v>425</v>
      </c>
      <c r="B9" s="84" t="s">
        <v>426</v>
      </c>
    </row>
    <row r="10" spans="1:5" ht="29">
      <c r="A10" s="151" t="s">
        <v>427</v>
      </c>
      <c r="B10" s="84" t="s">
        <v>428</v>
      </c>
    </row>
    <row r="11" spans="1:5" ht="145">
      <c r="A11" s="151" t="s">
        <v>438</v>
      </c>
      <c r="B11" s="84" t="s">
        <v>435</v>
      </c>
    </row>
    <row r="12" spans="1:5" ht="116">
      <c r="A12" s="151" t="s">
        <v>439</v>
      </c>
      <c r="B12" s="84" t="s">
        <v>444</v>
      </c>
    </row>
    <row r="13" spans="1:5" ht="43.5">
      <c r="A13" s="151" t="s">
        <v>461</v>
      </c>
      <c r="B13" s="84" t="s">
        <v>460</v>
      </c>
      <c r="C13" s="84"/>
    </row>
    <row r="14" spans="1:5" s="284" customFormat="1" ht="43.5">
      <c r="A14" s="151" t="s">
        <v>513</v>
      </c>
      <c r="B14" s="84" t="s">
        <v>514</v>
      </c>
      <c r="C14" s="84"/>
    </row>
    <row r="15" spans="1:5" ht="72.5">
      <c r="A15" s="151" t="s">
        <v>519</v>
      </c>
      <c r="B15" s="84" t="s">
        <v>528</v>
      </c>
    </row>
    <row r="16" spans="1:5" ht="43.5">
      <c r="A16" s="151" t="s">
        <v>832</v>
      </c>
      <c r="B16" s="84" t="s">
        <v>833</v>
      </c>
    </row>
    <row r="17" spans="1:2">
      <c r="A17" s="151" t="s">
        <v>853</v>
      </c>
      <c r="B17" s="84" t="s">
        <v>854</v>
      </c>
    </row>
    <row r="18" spans="1:2" ht="174">
      <c r="A18" s="151" t="s">
        <v>916</v>
      </c>
      <c r="B18" s="84" t="s">
        <v>928</v>
      </c>
    </row>
    <row r="20" spans="1:2">
      <c r="B20" s="84" t="s">
        <v>445</v>
      </c>
    </row>
    <row r="24" spans="1:2">
      <c r="B24" s="495"/>
    </row>
  </sheetData>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4">
    <tabColor rgb="FF0070C0"/>
  </sheetPr>
  <dimension ref="A2:X42"/>
  <sheetViews>
    <sheetView zoomScale="70" zoomScaleNormal="70" workbookViewId="0">
      <selection activeCell="F10" sqref="F10"/>
    </sheetView>
  </sheetViews>
  <sheetFormatPr baseColWidth="10" defaultColWidth="11.453125" defaultRowHeight="14.5" outlineLevelCol="1"/>
  <cols>
    <col min="1" max="3" width="27.453125" style="38" customWidth="1"/>
    <col min="4" max="4" width="31.81640625" style="38" bestFit="1" customWidth="1"/>
    <col min="5" max="5" width="82.1796875" style="38" bestFit="1" customWidth="1"/>
    <col min="6" max="6" width="13.54296875" style="38" customWidth="1"/>
    <col min="7" max="7" width="12.54296875" style="38" bestFit="1" customWidth="1"/>
    <col min="8" max="8" width="12.26953125" style="38" bestFit="1" customWidth="1"/>
    <col min="9" max="12" width="11.453125" style="38" hidden="1" customWidth="1" outlineLevel="1"/>
    <col min="13" max="13" width="13.6328125" style="38" hidden="1" customWidth="1" outlineLevel="1"/>
    <col min="14" max="14" width="11.453125" style="38" hidden="1" customWidth="1" outlineLevel="1"/>
    <col min="15" max="15" width="79.1796875" style="38" bestFit="1" customWidth="1" collapsed="1"/>
    <col min="16" max="17" width="11.453125" style="424"/>
    <col min="18" max="18" width="80.7265625" style="424" bestFit="1" customWidth="1"/>
    <col min="19" max="20" width="11.453125" style="424"/>
    <col min="21" max="21" width="27" style="424" bestFit="1" customWidth="1"/>
    <col min="22" max="16384" width="11.453125" style="424"/>
  </cols>
  <sheetData>
    <row r="2" spans="1:24">
      <c r="A2" s="424"/>
      <c r="B2" s="424"/>
      <c r="C2" s="424"/>
      <c r="D2" s="424"/>
      <c r="E2" s="424"/>
      <c r="J2" s="424"/>
      <c r="K2" s="424"/>
      <c r="L2" s="424"/>
      <c r="M2" s="424"/>
      <c r="N2" s="424"/>
      <c r="O2" s="424"/>
    </row>
    <row r="3" spans="1:24">
      <c r="A3" s="32" t="s">
        <v>908</v>
      </c>
      <c r="B3" s="193">
        <f>Site!C2</f>
        <v>0</v>
      </c>
      <c r="C3" s="424"/>
      <c r="D3" s="120" t="s">
        <v>529</v>
      </c>
      <c r="E3" s="314" t="str">
        <f>Controle_des_données!B32</f>
        <v>H2b</v>
      </c>
      <c r="J3" s="424"/>
      <c r="K3" s="424"/>
      <c r="L3" s="424"/>
      <c r="M3" s="424"/>
      <c r="N3" s="424"/>
      <c r="O3" s="424"/>
    </row>
    <row r="4" spans="1:24">
      <c r="A4" s="424"/>
      <c r="B4" s="424"/>
      <c r="C4" s="424"/>
      <c r="D4" s="120" t="s">
        <v>530</v>
      </c>
      <c r="E4" s="314" t="str">
        <f>Controle_des_données!B33</f>
        <v>Altitude &lt; 400 m</v>
      </c>
      <c r="F4" s="424"/>
      <c r="G4" s="424"/>
      <c r="H4" s="424"/>
      <c r="I4" s="424"/>
      <c r="J4" s="424"/>
      <c r="K4" s="424"/>
      <c r="L4" s="424"/>
      <c r="M4" s="424"/>
      <c r="N4" s="424"/>
      <c r="O4" s="424"/>
    </row>
    <row r="5" spans="1:24" ht="15" thickBot="1">
      <c r="A5" s="424"/>
      <c r="B5" s="522" t="s">
        <v>843</v>
      </c>
      <c r="C5" s="522" t="s">
        <v>841</v>
      </c>
      <c r="D5" s="424"/>
      <c r="E5" s="424"/>
      <c r="F5" s="424"/>
      <c r="G5" s="424"/>
      <c r="H5" s="424"/>
      <c r="I5" s="424"/>
      <c r="J5" s="424"/>
      <c r="K5" s="424"/>
      <c r="L5" s="424"/>
      <c r="M5" s="424"/>
      <c r="N5" s="424"/>
      <c r="O5" s="424"/>
    </row>
    <row r="6" spans="1:24" ht="15" thickBot="1">
      <c r="A6" s="424"/>
      <c r="B6" s="522"/>
      <c r="C6" s="522"/>
      <c r="D6" s="424"/>
      <c r="E6" s="315" t="s">
        <v>312</v>
      </c>
      <c r="F6" s="316">
        <f>SUM(F9:F38)</f>
        <v>0</v>
      </c>
      <c r="G6" s="32" t="s">
        <v>531</v>
      </c>
      <c r="H6" s="424"/>
      <c r="I6" s="32"/>
      <c r="J6" s="424"/>
      <c r="K6" s="424"/>
      <c r="L6" s="424"/>
      <c r="M6" s="424"/>
      <c r="N6" s="424"/>
      <c r="O6" s="424"/>
    </row>
    <row r="7" spans="1:24" ht="15" thickBot="1">
      <c r="A7" s="424"/>
      <c r="B7" s="527"/>
      <c r="C7" s="527"/>
      <c r="D7" s="32"/>
      <c r="E7" s="317" t="s">
        <v>532</v>
      </c>
      <c r="F7" s="316" t="e">
        <f>ROUND(SUM(X9:X38)/SUM(F9:F38),1)</f>
        <v>#DIV/0!</v>
      </c>
      <c r="G7" s="32" t="s">
        <v>533</v>
      </c>
      <c r="H7" s="424"/>
      <c r="I7" s="32"/>
      <c r="J7" s="32"/>
      <c r="K7" s="32"/>
      <c r="L7" s="32"/>
      <c r="M7" s="32"/>
      <c r="N7" s="32"/>
      <c r="O7" s="32"/>
      <c r="P7" s="32"/>
      <c r="Q7" s="32"/>
      <c r="R7" s="32"/>
      <c r="S7" s="32"/>
      <c r="T7" s="32"/>
      <c r="U7" s="32"/>
      <c r="V7" s="32"/>
    </row>
    <row r="8" spans="1:24" ht="74.5" thickBot="1">
      <c r="A8" s="318" t="s">
        <v>534</v>
      </c>
      <c r="B8" s="319" t="s">
        <v>535</v>
      </c>
      <c r="C8" s="319" t="s">
        <v>536</v>
      </c>
      <c r="D8" s="320" t="s">
        <v>537</v>
      </c>
      <c r="E8" s="320" t="s">
        <v>538</v>
      </c>
      <c r="F8" s="321" t="s">
        <v>539</v>
      </c>
      <c r="G8" s="318" t="s">
        <v>381</v>
      </c>
      <c r="H8" s="322" t="s">
        <v>540</v>
      </c>
      <c r="I8" s="323" t="s">
        <v>541</v>
      </c>
      <c r="J8" s="323" t="s">
        <v>542</v>
      </c>
      <c r="K8" s="323" t="s">
        <v>301</v>
      </c>
      <c r="L8" s="324" t="s">
        <v>543</v>
      </c>
      <c r="M8" s="324" t="s">
        <v>544</v>
      </c>
      <c r="N8" s="324" t="s">
        <v>545</v>
      </c>
      <c r="O8" s="324" t="s">
        <v>546</v>
      </c>
      <c r="P8" s="324" t="s">
        <v>547</v>
      </c>
      <c r="Q8" s="323" t="s">
        <v>548</v>
      </c>
      <c r="R8" s="324" t="s">
        <v>549</v>
      </c>
      <c r="S8" s="324" t="s">
        <v>550</v>
      </c>
      <c r="T8" s="324" t="s">
        <v>551</v>
      </c>
      <c r="U8" s="324" t="s">
        <v>552</v>
      </c>
      <c r="V8" s="324" t="s">
        <v>553</v>
      </c>
      <c r="W8" s="324" t="s">
        <v>554</v>
      </c>
      <c r="X8" s="325" t="s">
        <v>555</v>
      </c>
    </row>
    <row r="9" spans="1:24" ht="15.5">
      <c r="A9" s="425" t="s">
        <v>243</v>
      </c>
      <c r="B9" s="426">
        <v>2010</v>
      </c>
      <c r="C9" s="426">
        <v>2030</v>
      </c>
      <c r="D9" s="427" t="s">
        <v>707</v>
      </c>
      <c r="E9" s="428" t="s">
        <v>617</v>
      </c>
      <c r="F9" s="504">
        <f>Site!C23</f>
        <v>0</v>
      </c>
      <c r="G9" s="429" t="s">
        <v>213</v>
      </c>
      <c r="H9" s="430" t="s">
        <v>217</v>
      </c>
      <c r="I9" s="327">
        <f>IFERROR(J9+K9,"")</f>
        <v>82</v>
      </c>
      <c r="J9" s="328">
        <f>IFERROR(INDEX(Calculs_CABS!$F$7:$AI$7,1,ROW(E9)-ROW($E$8)),"")</f>
        <v>20</v>
      </c>
      <c r="K9" s="329">
        <f t="array" ref="K9">IFERROR(INDEX(Calculs_CABS!$D$9:$E$900,MATCH(1,(Calculs_CABS!$C$9:$C$900=$E9)*(Calculs_CABS!$B$9:$B$900=K$8),0),2),"")</f>
        <v>62</v>
      </c>
      <c r="L9" s="329">
        <f t="array" ref="L9">IFERROR(INDEX(Calculs_CABS!$D$9:$E$900,MATCH(1,(Calculs_CABS!$C$9:$C$900=$E9)*(Calculs_CABS!$B$9:$B$900=L$8),0),2),"")</f>
        <v>20</v>
      </c>
      <c r="M9" s="329">
        <f t="array" ref="M9">IFERROR(INDEX(Calculs_CABS!$D$9:$E$900,MATCH(1,(Calculs_CABS!$C$9:$C$900=$E9)*(Calculs_CABS!$B$9:$B$900=M$8),0),2),"")</f>
        <v>82</v>
      </c>
      <c r="N9" s="330">
        <f t="array" ref="N9">IFERROR(INDEX(Calculs_CABS!$D$9:$E$900,MATCH(1,(Calculs_CABS!$C$9:$C$900=$E9)*(Calculs_CABS!$B$9:$B$900=N$8),0),2),"")</f>
        <v>0</v>
      </c>
      <c r="O9" s="329" t="str">
        <f t="array" ref="O9">IFERROR(INDEX(Calculs_CABS!$D$9:$E$900,MATCH(1,(Calculs_CABS!$C$9:$C$900=$E9)*(Calculs_CABS!$B$9:$B$900=O$8),0),1),"")</f>
        <v>Amplitude horaire annuelle (h ouvrées/an) Nb_h ouvrées</v>
      </c>
      <c r="P9" s="329">
        <f t="array" ref="P9">IFERROR(INDEX(Calculs_CABS!$D$9:$E900,MATCH(1,(Calculs_CABS!$C$9:$C$900=$E9)*(Calculs_CABS!$B$9:$B$900=O$8),0),2),"")</f>
        <v>8760</v>
      </c>
      <c r="Q9" s="443"/>
      <c r="R9" s="329" t="str">
        <f t="array" ref="R9">IFERROR(INDEX(Calculs_CABS!$D$9:$E$900,MATCH(1,(Calculs_CABS!$C$9:$C$900=$E9)*(Calculs_CABS!$B$9:$B$900=R$8),0),1),"")</f>
        <v/>
      </c>
      <c r="S9" s="329" t="str">
        <f t="array" ref="S9">IFERROR(INDEX(Calculs_CABS!$D$9:$E$900,MATCH(1,(Calculs_CABS!$C$9:$C$900=$E9)*(Calculs_CABS!$B$9:$B$900=R$8),0),2),"")</f>
        <v/>
      </c>
      <c r="T9" s="443"/>
      <c r="U9" s="329" t="str">
        <f t="array" ref="U9">IFERROR(INDEX(Calculs_CABS!$D$9:$E$900,MATCH(1,(Calculs_CABS!$C$9:$C$900=$E9)*(Calculs_CABS!$B$9:$B$900=U$8),0),1),"")</f>
        <v/>
      </c>
      <c r="V9" s="329" t="str">
        <f t="array" ref="V9">IFERROR(INDEX(Calculs_CABS!$D$9:$E$900,MATCH(1,(Calculs_CABS!$C$9:$C$900=$E9)*(Calculs_CABS!$B$9:$B$900=U$8),0),2),"")</f>
        <v/>
      </c>
      <c r="W9" s="443"/>
      <c r="X9" s="331">
        <f>IFERROR(I9*F9,"")</f>
        <v>0</v>
      </c>
    </row>
    <row r="10" spans="1:24" ht="15.5">
      <c r="A10" s="425"/>
      <c r="B10" s="426"/>
      <c r="C10" s="426"/>
      <c r="D10" s="427"/>
      <c r="E10" s="428"/>
      <c r="F10" s="505"/>
      <c r="G10" s="429"/>
      <c r="H10" s="430"/>
      <c r="I10" s="333" t="str">
        <f t="shared" ref="I10:I38" si="0">IFERROR(J10+K10,"")</f>
        <v/>
      </c>
      <c r="J10" s="334" t="str">
        <f>IFERROR(INDEX(Calculs_CABS!$F$7:$AI$7,1,ROW(E10)-ROW($E$8)),"")</f>
        <v/>
      </c>
      <c r="K10" s="335" t="str">
        <f t="array" ref="K10">IFERROR(INDEX(Calculs_CABS!$D$9:$E$900,MATCH(1,(Calculs_CABS!$C$9:$C$900=$E10)*(Calculs_CABS!$B$9:$B$900=K$8),0),2),"")</f>
        <v/>
      </c>
      <c r="L10" s="335" t="str">
        <f t="array" ref="L10">IFERROR(INDEX(Calculs_CABS!$D$9:$E$900,MATCH(1,(Calculs_CABS!$C$9:$C$900=$E10)*(Calculs_CABS!$B$9:$B$900=L$8),0),2),"")</f>
        <v/>
      </c>
      <c r="M10" s="335" t="str">
        <f t="array" ref="M10">IFERROR(INDEX(Calculs_CABS!$D$9:$E$900,MATCH(1,(Calculs_CABS!$C$9:$C$900=$E10)*(Calculs_CABS!$B$9:$B$900=M$8),0),2),"")</f>
        <v/>
      </c>
      <c r="N10" s="336" t="str">
        <f t="array" ref="N10">IFERROR(INDEX(Calculs_CABS!$D$9:$E$900,MATCH(1,(Calculs_CABS!$C$9:$C$900=$E10)*(Calculs_CABS!$B$9:$B$900=N$8),0),2),"")</f>
        <v/>
      </c>
      <c r="O10" s="335" t="str">
        <f t="array" ref="O10">IFERROR(INDEX(Calculs_CABS!$D$9:$E$900,MATCH(1,(Calculs_CABS!$C$9:$C$900=$E10)*(Calculs_CABS!$B$9:$B$900=O$8),0),1),"")</f>
        <v/>
      </c>
      <c r="P10" s="335" t="str">
        <f t="array" ref="P10">IFERROR(INDEX(Calculs_CABS!$D$9:$E901,MATCH(1,(Calculs_CABS!$C$9:$C$900=$E10)*(Calculs_CABS!$B$9:$B$900=O$8),0),2),"")</f>
        <v/>
      </c>
      <c r="Q10" s="444"/>
      <c r="R10" s="335" t="str">
        <f t="array" ref="R10">IFERROR(INDEX(Calculs_CABS!$D$9:$E$900,MATCH(1,(Calculs_CABS!$C$9:$C$900=$E10)*(Calculs_CABS!$B$9:$B$900=R$8),0),1),"")</f>
        <v/>
      </c>
      <c r="S10" s="335" t="str">
        <f t="array" ref="S10">IFERROR(INDEX(Calculs_CABS!$D$9:$E$900,MATCH(1,(Calculs_CABS!$C$9:$C$900=$E10)*(Calculs_CABS!$B$9:$B$900=R$8),0),2),"")</f>
        <v/>
      </c>
      <c r="T10" s="444"/>
      <c r="U10" s="335" t="str">
        <f t="array" ref="U10">IFERROR(INDEX(Calculs_CABS!$D$9:$E$900,MATCH(1,(Calculs_CABS!$C$9:$C$900=$E10)*(Calculs_CABS!$B$9:$B$900=U$8),0),1),"")</f>
        <v/>
      </c>
      <c r="V10" s="335" t="str">
        <f t="array" ref="V10">IFERROR(INDEX(Calculs_CABS!$D$9:$E$900,MATCH(1,(Calculs_CABS!$C$9:$C$900=$E10)*(Calculs_CABS!$B$9:$B$900=U$8),0),2),"")</f>
        <v/>
      </c>
      <c r="W10" s="444"/>
      <c r="X10" s="337" t="str">
        <f t="shared" ref="X10:X38" si="1">IFERROR(I10*F10,"")</f>
        <v/>
      </c>
    </row>
    <row r="11" spans="1:24" ht="15.5">
      <c r="A11" s="431"/>
      <c r="B11" s="426"/>
      <c r="C11" s="426"/>
      <c r="D11" s="427"/>
      <c r="E11" s="428"/>
      <c r="F11" s="433"/>
      <c r="G11" s="429"/>
      <c r="H11" s="430"/>
      <c r="I11" s="333" t="str">
        <f t="shared" si="0"/>
        <v/>
      </c>
      <c r="J11" s="334" t="str">
        <f>IFERROR(INDEX(Calculs_CABS!$F$7:$AI$7,1,ROW(E11)-ROW($E$8)),"")</f>
        <v/>
      </c>
      <c r="K11" s="335" t="str">
        <f t="array" ref="K11">IFERROR(INDEX(Calculs_CABS!$D$9:$E$900,MATCH(1,(Calculs_CABS!$C$9:$C$900=$E11)*(Calculs_CABS!$B$9:$B$900=K$8),0),2),"")</f>
        <v/>
      </c>
      <c r="L11" s="335" t="str">
        <f t="array" ref="L11">IFERROR(INDEX(Calculs_CABS!$D$9:$E$900,MATCH(1,(Calculs_CABS!$C$9:$C$900=$E11)*(Calculs_CABS!$B$9:$B$900=L$8),0),2),"")</f>
        <v/>
      </c>
      <c r="M11" s="335" t="str">
        <f t="array" ref="M11">IFERROR(INDEX(Calculs_CABS!$D$9:$E$900,MATCH(1,(Calculs_CABS!$C$9:$C$900=$E11)*(Calculs_CABS!$B$9:$B$900=M$8),0),2),"")</f>
        <v/>
      </c>
      <c r="N11" s="336" t="str">
        <f t="array" ref="N11">IFERROR(INDEX(Calculs_CABS!$D$9:$E$900,MATCH(1,(Calculs_CABS!$C$9:$C$900=$E11)*(Calculs_CABS!$B$9:$B$900=N$8),0),2),"")</f>
        <v/>
      </c>
      <c r="O11" s="335" t="str">
        <f t="array" ref="O11">IFERROR(INDEX(Calculs_CABS!$D$9:$E$900,MATCH(1,(Calculs_CABS!$C$9:$C$900=$E11)*(Calculs_CABS!$B$9:$B$900=O$8),0),1),"")</f>
        <v/>
      </c>
      <c r="P11" s="335" t="str">
        <f t="array" ref="P11">IFERROR(INDEX(Calculs_CABS!$D$9:$E902,MATCH(1,(Calculs_CABS!$C$9:$C$900=$E11)*(Calculs_CABS!$B$9:$B$900=O$8),0),2),"")</f>
        <v/>
      </c>
      <c r="Q11" s="444"/>
      <c r="R11" s="335" t="str">
        <f t="array" ref="R11">IFERROR(INDEX(Calculs_CABS!$D$9:$E$900,MATCH(1,(Calculs_CABS!$C$9:$C$900=$E11)*(Calculs_CABS!$B$9:$B$900=R$8),0),1),"")</f>
        <v/>
      </c>
      <c r="S11" s="335" t="str">
        <f t="array" ref="S11">IFERROR(INDEX(Calculs_CABS!$D$9:$E$900,MATCH(1,(Calculs_CABS!$C$9:$C$900=$E11)*(Calculs_CABS!$B$9:$B$900=R$8),0),2),"")</f>
        <v/>
      </c>
      <c r="T11" s="447"/>
      <c r="U11" s="335" t="str">
        <f t="array" ref="U11">IFERROR(INDEX(Calculs_CABS!$D$9:$E$900,MATCH(1,(Calculs_CABS!$C$9:$C$900=$E11)*(Calculs_CABS!$B$9:$B$900=U$8),0),1),"")</f>
        <v/>
      </c>
      <c r="V11" s="335" t="str">
        <f t="array" ref="V11">IFERROR(INDEX(Calculs_CABS!$D$9:$E$900,MATCH(1,(Calculs_CABS!$C$9:$C$900=$E11)*(Calculs_CABS!$B$9:$B$900=U$8),0),2),"")</f>
        <v/>
      </c>
      <c r="W11" s="444"/>
      <c r="X11" s="337" t="str">
        <f t="shared" si="1"/>
        <v/>
      </c>
    </row>
    <row r="12" spans="1:24" ht="15.5">
      <c r="A12" s="431"/>
      <c r="B12" s="426"/>
      <c r="C12" s="426"/>
      <c r="D12" s="427"/>
      <c r="E12" s="428"/>
      <c r="F12" s="433"/>
      <c r="G12" s="429"/>
      <c r="H12" s="430"/>
      <c r="I12" s="333" t="str">
        <f t="shared" si="0"/>
        <v/>
      </c>
      <c r="J12" s="334" t="str">
        <f>IFERROR(INDEX(Calculs_CABS!$F$7:$AI$7,1,ROW(E12)-ROW($E$8)),"")</f>
        <v/>
      </c>
      <c r="K12" s="335" t="str">
        <f t="array" ref="K12">IFERROR(INDEX(Calculs_CABS!$D$9:$E$900,MATCH(1,(Calculs_CABS!$C$9:$C$900=$E12)*(Calculs_CABS!$B$9:$B$900=K$8),0),2),"")</f>
        <v/>
      </c>
      <c r="L12" s="335" t="str">
        <f t="array" ref="L12">IFERROR(INDEX(Calculs_CABS!$D$9:$E$900,MATCH(1,(Calculs_CABS!$C$9:$C$900=$E12)*(Calculs_CABS!$B$9:$B$900=L$8),0),2),"")</f>
        <v/>
      </c>
      <c r="M12" s="335" t="str">
        <f t="array" ref="M12">IFERROR(INDEX(Calculs_CABS!$D$9:$E$900,MATCH(1,(Calculs_CABS!$C$9:$C$900=$E12)*(Calculs_CABS!$B$9:$B$900=M$8),0),2),"")</f>
        <v/>
      </c>
      <c r="N12" s="336" t="str">
        <f t="array" ref="N12">IFERROR(INDEX(Calculs_CABS!$D$9:$E$900,MATCH(1,(Calculs_CABS!$C$9:$C$900=$E12)*(Calculs_CABS!$B$9:$B$900=N$8),0),2),"")</f>
        <v/>
      </c>
      <c r="O12" s="335" t="str">
        <f t="array" ref="O12">IFERROR(INDEX(Calculs_CABS!$D$9:$E$900,MATCH(1,(Calculs_CABS!$C$9:$C$900=$E12)*(Calculs_CABS!$B$9:$B$900=O$8),0),1),"")</f>
        <v/>
      </c>
      <c r="P12" s="335" t="str">
        <f t="array" ref="P12">IFERROR(INDEX(Calculs_CABS!$D$9:$E903,MATCH(1,(Calculs_CABS!$C$9:$C$900=$E12)*(Calculs_CABS!$B$9:$B$900=O$8),0),2),"")</f>
        <v/>
      </c>
      <c r="Q12" s="444"/>
      <c r="R12" s="335" t="str">
        <f t="array" ref="R12">IFERROR(INDEX(Calculs_CABS!$D$9:$E$900,MATCH(1,(Calculs_CABS!$C$9:$C$900=$E12)*(Calculs_CABS!$B$9:$B$900=R$8),0),1),"")</f>
        <v/>
      </c>
      <c r="S12" s="335" t="str">
        <f t="array" ref="S12">IFERROR(INDEX(Calculs_CABS!$D$9:$E$900,MATCH(1,(Calculs_CABS!$C$9:$C$900=$E12)*(Calculs_CABS!$B$9:$B$900=R$8),0),2),"")</f>
        <v/>
      </c>
      <c r="T12" s="444"/>
      <c r="U12" s="335" t="str">
        <f t="array" ref="U12">IFERROR(INDEX(Calculs_CABS!$D$9:$E$900,MATCH(1,(Calculs_CABS!$C$9:$C$900=$E12)*(Calculs_CABS!$B$9:$B$900=U$8),0),1),"")</f>
        <v/>
      </c>
      <c r="V12" s="335" t="str">
        <f t="array" ref="V12">IFERROR(INDEX(Calculs_CABS!$D$9:$E$900,MATCH(1,(Calculs_CABS!$C$9:$C$900=$E12)*(Calculs_CABS!$B$9:$B$900=U$8),0),2),"")</f>
        <v/>
      </c>
      <c r="W12" s="444"/>
      <c r="X12" s="337" t="str">
        <f t="shared" si="1"/>
        <v/>
      </c>
    </row>
    <row r="13" spans="1:24" ht="15.5">
      <c r="A13" s="431"/>
      <c r="B13" s="426"/>
      <c r="C13" s="426"/>
      <c r="D13" s="427"/>
      <c r="E13" s="428"/>
      <c r="F13" s="433"/>
      <c r="G13" s="429"/>
      <c r="H13" s="430"/>
      <c r="I13" s="333" t="str">
        <f t="shared" si="0"/>
        <v/>
      </c>
      <c r="J13" s="334" t="str">
        <f>IFERROR(INDEX(Calculs_CABS!$F$7:$AI$7,1,ROW(E13)-ROW($E$8)),"")</f>
        <v/>
      </c>
      <c r="K13" s="335" t="str">
        <f t="array" ref="K13">IFERROR(INDEX(Calculs_CABS!$D$9:$E$900,MATCH(1,(Calculs_CABS!$C$9:$C$900=$E13)*(Calculs_CABS!$B$9:$B$900=K$8),0),2),"")</f>
        <v/>
      </c>
      <c r="L13" s="335" t="str">
        <f t="array" ref="L13">IFERROR(INDEX(Calculs_CABS!$D$9:$E$900,MATCH(1,(Calculs_CABS!$C$9:$C$900=$E13)*(Calculs_CABS!$B$9:$B$900=L$8),0),2),"")</f>
        <v/>
      </c>
      <c r="M13" s="335" t="str">
        <f t="array" ref="M13">IFERROR(INDEX(Calculs_CABS!$D$9:$E$900,MATCH(1,(Calculs_CABS!$C$9:$C$900=$E13)*(Calculs_CABS!$B$9:$B$900=M$8),0),2),"")</f>
        <v/>
      </c>
      <c r="N13" s="336" t="str">
        <f t="array" ref="N13">IFERROR(INDEX(Calculs_CABS!$D$9:$E$900,MATCH(1,(Calculs_CABS!$C$9:$C$900=$E13)*(Calculs_CABS!$B$9:$B$900=N$8),0),2),"")</f>
        <v/>
      </c>
      <c r="O13" s="335" t="str">
        <f t="array" ref="O13">IFERROR(INDEX(Calculs_CABS!$D$9:$E$900,MATCH(1,(Calculs_CABS!$C$9:$C$900=$E13)*(Calculs_CABS!$B$9:$B$900=O$8),0),1),"")</f>
        <v/>
      </c>
      <c r="P13" s="335" t="str">
        <f t="array" ref="P13">IFERROR(INDEX(Calculs_CABS!$D$9:$E904,MATCH(1,(Calculs_CABS!$C$9:$C$900=$E13)*(Calculs_CABS!$B$9:$B$900=O$8),0),2),"")</f>
        <v/>
      </c>
      <c r="Q13" s="445"/>
      <c r="R13" s="335" t="str">
        <f t="array" ref="R13">IFERROR(INDEX(Calculs_CABS!$D$9:$E$900,MATCH(1,(Calculs_CABS!$C$9:$C$900=$E13)*(Calculs_CABS!$B$9:$B$900=R$8),0),1),"")</f>
        <v/>
      </c>
      <c r="S13" s="335" t="str">
        <f t="array" ref="S13">IFERROR(INDEX(Calculs_CABS!$D$9:$E$900,MATCH(1,(Calculs_CABS!$C$9:$C$900=$E13)*(Calculs_CABS!$B$9:$B$900=R$8),0),2),"")</f>
        <v/>
      </c>
      <c r="T13" s="444"/>
      <c r="U13" s="335" t="str">
        <f t="array" ref="U13">IFERROR(INDEX(Calculs_CABS!$D$9:$E$900,MATCH(1,(Calculs_CABS!$C$9:$C$900=$E13)*(Calculs_CABS!$B$9:$B$900=U$8),0),1),"")</f>
        <v/>
      </c>
      <c r="V13" s="335" t="str">
        <f t="array" ref="V13">IFERROR(INDEX(Calculs_CABS!$D$9:$E$900,MATCH(1,(Calculs_CABS!$C$9:$C$900=$E13)*(Calculs_CABS!$B$9:$B$900=U$8),0),2),"")</f>
        <v/>
      </c>
      <c r="W13" s="445"/>
      <c r="X13" s="337" t="str">
        <f t="shared" si="1"/>
        <v/>
      </c>
    </row>
    <row r="14" spans="1:24" ht="15.5">
      <c r="A14" s="431"/>
      <c r="B14" s="426"/>
      <c r="C14" s="426"/>
      <c r="D14" s="427"/>
      <c r="E14" s="428"/>
      <c r="F14" s="433"/>
      <c r="G14" s="429"/>
      <c r="H14" s="430"/>
      <c r="I14" s="333" t="str">
        <f t="shared" si="0"/>
        <v/>
      </c>
      <c r="J14" s="334" t="str">
        <f>IFERROR(INDEX(Calculs_CABS!$F$7:$AI$7,1,ROW(E14)-ROW($E$8)),"")</f>
        <v/>
      </c>
      <c r="K14" s="335" t="str">
        <f t="array" ref="K14">IFERROR(INDEX(Calculs_CABS!$D$9:$E$900,MATCH(1,(Calculs_CABS!$C$9:$C$900=$E14)*(Calculs_CABS!$B$9:$B$900=K$8),0),2),"")</f>
        <v/>
      </c>
      <c r="L14" s="335" t="str">
        <f t="array" ref="L14">IFERROR(INDEX(Calculs_CABS!$D$9:$E$900,MATCH(1,(Calculs_CABS!$C$9:$C$900=$E14)*(Calculs_CABS!$B$9:$B$900=L$8),0),2),"")</f>
        <v/>
      </c>
      <c r="M14" s="335" t="str">
        <f t="array" ref="M14">IFERROR(INDEX(Calculs_CABS!$D$9:$E$900,MATCH(1,(Calculs_CABS!$C$9:$C$900=$E14)*(Calculs_CABS!$B$9:$B$900=M$8),0),2),"")</f>
        <v/>
      </c>
      <c r="N14" s="336" t="str">
        <f t="array" ref="N14">IFERROR(INDEX(Calculs_CABS!$D$9:$E$900,MATCH(1,(Calculs_CABS!$C$9:$C$900=$E14)*(Calculs_CABS!$B$9:$B$900=N$8),0),2),"")</f>
        <v/>
      </c>
      <c r="O14" s="335" t="str">
        <f t="array" ref="O14">IFERROR(INDEX(Calculs_CABS!$D$9:$E$900,MATCH(1,(Calculs_CABS!$C$9:$C$900=$E14)*(Calculs_CABS!$B$9:$B$900=O$8),0),1),"")</f>
        <v/>
      </c>
      <c r="P14" s="335" t="str">
        <f t="array" ref="P14">IFERROR(INDEX(Calculs_CABS!$D$9:$E905,MATCH(1,(Calculs_CABS!$C$9:$C$900=$E14)*(Calculs_CABS!$B$9:$B$900=O$8),0),2),"")</f>
        <v/>
      </c>
      <c r="Q14" s="444"/>
      <c r="R14" s="335" t="str">
        <f t="array" ref="R14">IFERROR(INDEX(Calculs_CABS!$D$9:$E$900,MATCH(1,(Calculs_CABS!$C$9:$C$900=$E14)*(Calculs_CABS!$B$9:$B$900=R$8),0),1),"")</f>
        <v/>
      </c>
      <c r="S14" s="335" t="str">
        <f t="array" ref="S14">IFERROR(INDEX(Calculs_CABS!$D$9:$E$900,MATCH(1,(Calculs_CABS!$C$9:$C$900=$E14)*(Calculs_CABS!$B$9:$B$900=R$8),0),2),"")</f>
        <v/>
      </c>
      <c r="T14" s="444"/>
      <c r="U14" s="335" t="str">
        <f t="array" ref="U14">IFERROR(INDEX(Calculs_CABS!$D$9:$E$900,MATCH(1,(Calculs_CABS!$C$9:$C$900=$E14)*(Calculs_CABS!$B$9:$B$900=U$8),0),1),"")</f>
        <v/>
      </c>
      <c r="V14" s="335" t="str">
        <f t="array" ref="V14">IFERROR(INDEX(Calculs_CABS!$D$9:$E$900,MATCH(1,(Calculs_CABS!$C$9:$C$900=$E14)*(Calculs_CABS!$B$9:$B$900=U$8),0),2),"")</f>
        <v/>
      </c>
      <c r="W14" s="444"/>
      <c r="X14" s="337" t="str">
        <f t="shared" si="1"/>
        <v/>
      </c>
    </row>
    <row r="15" spans="1:24" ht="15.5">
      <c r="A15" s="431"/>
      <c r="B15" s="434"/>
      <c r="C15" s="434"/>
      <c r="D15" s="427"/>
      <c r="E15" s="432"/>
      <c r="F15" s="433"/>
      <c r="G15" s="429"/>
      <c r="H15" s="430"/>
      <c r="I15" s="333" t="str">
        <f t="shared" si="0"/>
        <v/>
      </c>
      <c r="J15" s="334" t="str">
        <f>IFERROR(INDEX(Calculs_CABS!$F$7:$AI$7,1,ROW(E15)-ROW($E$8)),"")</f>
        <v/>
      </c>
      <c r="K15" s="335" t="str">
        <f t="array" ref="K15">IFERROR(INDEX(Calculs_CABS!$D$9:$E$900,MATCH(1,(Calculs_CABS!$C$9:$C$900=$E15)*(Calculs_CABS!$B$9:$B$900=K$8),0),2),"")</f>
        <v/>
      </c>
      <c r="L15" s="335" t="str">
        <f t="array" ref="L15">IFERROR(INDEX(Calculs_CABS!$D$9:$E$900,MATCH(1,(Calculs_CABS!$C$9:$C$900=$E15)*(Calculs_CABS!$B$9:$B$900=L$8),0),2),"")</f>
        <v/>
      </c>
      <c r="M15" s="335" t="str">
        <f t="array" ref="M15">IFERROR(INDEX(Calculs_CABS!$D$9:$E$900,MATCH(1,(Calculs_CABS!$C$9:$C$900=$E15)*(Calculs_CABS!$B$9:$B$900=M$8),0),2),"")</f>
        <v/>
      </c>
      <c r="N15" s="336" t="str">
        <f t="array" ref="N15">IFERROR(INDEX(Calculs_CABS!$D$9:$E$900,MATCH(1,(Calculs_CABS!$C$9:$C$900=$E15)*(Calculs_CABS!$B$9:$B$900=N$8),0),2),"")</f>
        <v/>
      </c>
      <c r="O15" s="335" t="str">
        <f t="array" ref="O15">IFERROR(INDEX(Calculs_CABS!$D$9:$E$900,MATCH(1,(Calculs_CABS!$C$9:$C$900=$E15)*(Calculs_CABS!$B$9:$B$900=O$8),0),1),"")</f>
        <v/>
      </c>
      <c r="P15" s="335" t="str">
        <f t="array" ref="P15">IFERROR(INDEX(Calculs_CABS!$D$9:$E906,MATCH(1,(Calculs_CABS!$C$9:$C$900=$E15)*(Calculs_CABS!$B$9:$B$900=O$8),0),2),"")</f>
        <v/>
      </c>
      <c r="Q15" s="445"/>
      <c r="R15" s="335" t="str">
        <f t="array" ref="R15">IFERROR(INDEX(Calculs_CABS!$D$9:$E$900,MATCH(1,(Calculs_CABS!$C$9:$C$900=$E15)*(Calculs_CABS!$B$9:$B$900=R$8),0),1),"")</f>
        <v/>
      </c>
      <c r="S15" s="335" t="str">
        <f t="array" ref="S15">IFERROR(INDEX(Calculs_CABS!$D$9:$E$900,MATCH(1,(Calculs_CABS!$C$9:$C$900=$E15)*(Calculs_CABS!$B$9:$B$900=R$8),0),2),"")</f>
        <v/>
      </c>
      <c r="T15" s="444"/>
      <c r="U15" s="335" t="str">
        <f t="array" ref="U15">IFERROR(INDEX(Calculs_CABS!$D$9:$E$900,MATCH(1,(Calculs_CABS!$C$9:$C$900=$E15)*(Calculs_CABS!$B$9:$B$900=U$8),0),1),"")</f>
        <v/>
      </c>
      <c r="V15" s="335" t="str">
        <f t="array" ref="V15">IFERROR(INDEX(Calculs_CABS!$D$9:$E$900,MATCH(1,(Calculs_CABS!$C$9:$C$900=$E15)*(Calculs_CABS!$B$9:$B$900=U$8),0),2),"")</f>
        <v/>
      </c>
      <c r="W15" s="444"/>
      <c r="X15" s="337" t="str">
        <f t="shared" si="1"/>
        <v/>
      </c>
    </row>
    <row r="16" spans="1:24" ht="15.5">
      <c r="A16" s="431"/>
      <c r="B16" s="434"/>
      <c r="C16" s="434"/>
      <c r="D16" s="427"/>
      <c r="E16" s="432"/>
      <c r="F16" s="433"/>
      <c r="G16" s="429"/>
      <c r="H16" s="430"/>
      <c r="I16" s="333" t="str">
        <f t="shared" si="0"/>
        <v/>
      </c>
      <c r="J16" s="334" t="str">
        <f>IFERROR(INDEX(Calculs_CABS!$F$7:$AI$7,1,ROW(E16)-ROW($E$8)),"")</f>
        <v/>
      </c>
      <c r="K16" s="335" t="str">
        <f t="array" ref="K16">IFERROR(INDEX(Calculs_CABS!$D$9:$E$900,MATCH(1,(Calculs_CABS!$C$9:$C$900=$E16)*(Calculs_CABS!$B$9:$B$900=K$8),0),2),"")</f>
        <v/>
      </c>
      <c r="L16" s="335" t="str">
        <f t="array" ref="L16">IFERROR(INDEX(Calculs_CABS!$D$9:$E$900,MATCH(1,(Calculs_CABS!$C$9:$C$900=$E16)*(Calculs_CABS!$B$9:$B$900=L$8),0),2),"")</f>
        <v/>
      </c>
      <c r="M16" s="335" t="str">
        <f t="array" ref="M16">IFERROR(INDEX(Calculs_CABS!$D$9:$E$900,MATCH(1,(Calculs_CABS!$C$9:$C$900=$E16)*(Calculs_CABS!$B$9:$B$900=M$8),0),2),"")</f>
        <v/>
      </c>
      <c r="N16" s="336" t="str">
        <f t="array" ref="N16">IFERROR(INDEX(Calculs_CABS!$D$9:$E$900,MATCH(1,(Calculs_CABS!$C$9:$C$900=$E16)*(Calculs_CABS!$B$9:$B$900=N$8),0),2),"")</f>
        <v/>
      </c>
      <c r="O16" s="335" t="str">
        <f t="array" ref="O16">IFERROR(INDEX(Calculs_CABS!$D$9:$E$900,MATCH(1,(Calculs_CABS!$C$9:$C$900=$E16)*(Calculs_CABS!$B$9:$B$900=O$8),0),1),"")</f>
        <v/>
      </c>
      <c r="P16" s="335" t="str">
        <f t="array" ref="P16">IFERROR(INDEX(Calculs_CABS!$D$9:$E907,MATCH(1,(Calculs_CABS!$C$9:$C$900=$E16)*(Calculs_CABS!$B$9:$B$900=O$8),0),2),"")</f>
        <v/>
      </c>
      <c r="Q16" s="444"/>
      <c r="R16" s="335" t="str">
        <f t="array" ref="R16">IFERROR(INDEX(Calculs_CABS!$D$9:$E$900,MATCH(1,(Calculs_CABS!$C$9:$C$900=$E16)*(Calculs_CABS!$B$9:$B$900=R$8),0),1),"")</f>
        <v/>
      </c>
      <c r="S16" s="335" t="str">
        <f t="array" ref="S16">IFERROR(INDEX(Calculs_CABS!$D$9:$E$900,MATCH(1,(Calculs_CABS!$C$9:$C$900=$E16)*(Calculs_CABS!$B$9:$B$900=R$8),0),2),"")</f>
        <v/>
      </c>
      <c r="T16" s="445"/>
      <c r="U16" s="335" t="str">
        <f t="array" ref="U16">IFERROR(INDEX(Calculs_CABS!$D$9:$E$900,MATCH(1,(Calculs_CABS!$C$9:$C$900=$E16)*(Calculs_CABS!$B$9:$B$900=U$8),0),1),"")</f>
        <v/>
      </c>
      <c r="V16" s="335" t="str">
        <f t="array" ref="V16">IFERROR(INDEX(Calculs_CABS!$D$9:$E$900,MATCH(1,(Calculs_CABS!$C$9:$C$900=$E16)*(Calculs_CABS!$B$9:$B$900=U$8),0),2),"")</f>
        <v/>
      </c>
      <c r="W16" s="445"/>
      <c r="X16" s="337" t="str">
        <f t="shared" si="1"/>
        <v/>
      </c>
    </row>
    <row r="17" spans="1:24" ht="15.5">
      <c r="A17" s="431"/>
      <c r="B17" s="434"/>
      <c r="C17" s="434"/>
      <c r="D17" s="427"/>
      <c r="E17" s="432"/>
      <c r="F17" s="433"/>
      <c r="G17" s="429"/>
      <c r="H17" s="430"/>
      <c r="I17" s="333" t="str">
        <f t="shared" si="0"/>
        <v/>
      </c>
      <c r="J17" s="334" t="str">
        <f>IFERROR(INDEX(Calculs_CABS!$F$7:$AI$7,1,ROW(E17)-ROW($E$8)),"")</f>
        <v/>
      </c>
      <c r="K17" s="335" t="str">
        <f t="array" ref="K17">IFERROR(INDEX(Calculs_CABS!$D$9:$E$900,MATCH(1,(Calculs_CABS!$C$9:$C$900=$E17)*(Calculs_CABS!$B$9:$B$900=K$8),0),2),"")</f>
        <v/>
      </c>
      <c r="L17" s="335" t="str">
        <f t="array" ref="L17">IFERROR(INDEX(Calculs_CABS!$D$9:$E$900,MATCH(1,(Calculs_CABS!$C$9:$C$900=$E17)*(Calculs_CABS!$B$9:$B$900=L$8),0),2),"")</f>
        <v/>
      </c>
      <c r="M17" s="335" t="str">
        <f t="array" ref="M17">IFERROR(INDEX(Calculs_CABS!$D$9:$E$900,MATCH(1,(Calculs_CABS!$C$9:$C$900=$E17)*(Calculs_CABS!$B$9:$B$900=M$8),0),2),"")</f>
        <v/>
      </c>
      <c r="N17" s="336" t="str">
        <f t="array" ref="N17">IFERROR(INDEX(Calculs_CABS!$D$9:$E$900,MATCH(1,(Calculs_CABS!$C$9:$C$900=$E17)*(Calculs_CABS!$B$9:$B$900=N$8),0),2),"")</f>
        <v/>
      </c>
      <c r="O17" s="335" t="str">
        <f t="array" ref="O17">IFERROR(INDEX(Calculs_CABS!$D$9:$E$900,MATCH(1,(Calculs_CABS!$C$9:$C$900=$E17)*(Calculs_CABS!$B$9:$B$900=O$8),0),1),"")</f>
        <v/>
      </c>
      <c r="P17" s="335" t="str">
        <f t="array" ref="P17">IFERROR(INDEX(Calculs_CABS!$D$9:$E908,MATCH(1,(Calculs_CABS!$C$9:$C$900=$E17)*(Calculs_CABS!$B$9:$B$900=O$8),0),2),"")</f>
        <v/>
      </c>
      <c r="Q17" s="444"/>
      <c r="R17" s="335" t="str">
        <f t="array" ref="R17">IFERROR(INDEX(Calculs_CABS!$D$9:$E$900,MATCH(1,(Calculs_CABS!$C$9:$C$900=$E17)*(Calculs_CABS!$B$9:$B$900=R$8),0),1),"")</f>
        <v/>
      </c>
      <c r="S17" s="335" t="str">
        <f t="array" ref="S17">IFERROR(INDEX(Calculs_CABS!$D$9:$E$900,MATCH(1,(Calculs_CABS!$C$9:$C$900=$E17)*(Calculs_CABS!$B$9:$B$900=R$8),0),2),"")</f>
        <v/>
      </c>
      <c r="T17" s="445"/>
      <c r="U17" s="335" t="str">
        <f t="array" ref="U17">IFERROR(INDEX(Calculs_CABS!$D$9:$E$900,MATCH(1,(Calculs_CABS!$C$9:$C$900=$E17)*(Calculs_CABS!$B$9:$B$900=U$8),0),1),"")</f>
        <v/>
      </c>
      <c r="V17" s="335" t="str">
        <f t="array" ref="V17">IFERROR(INDEX(Calculs_CABS!$D$9:$E$900,MATCH(1,(Calculs_CABS!$C$9:$C$900=$E17)*(Calculs_CABS!$B$9:$B$900=U$8),0),2),"")</f>
        <v/>
      </c>
      <c r="W17" s="445"/>
      <c r="X17" s="337" t="str">
        <f t="shared" si="1"/>
        <v/>
      </c>
    </row>
    <row r="18" spans="1:24" ht="15.5">
      <c r="A18" s="431"/>
      <c r="B18" s="434"/>
      <c r="C18" s="434"/>
      <c r="D18" s="427"/>
      <c r="E18" s="432"/>
      <c r="F18" s="433"/>
      <c r="G18" s="429"/>
      <c r="H18" s="430"/>
      <c r="I18" s="333" t="str">
        <f t="shared" si="0"/>
        <v/>
      </c>
      <c r="J18" s="334" t="str">
        <f>IFERROR(INDEX(Calculs_CABS!$F$7:$AI$7,1,ROW(E18)-ROW($E$8)),"")</f>
        <v/>
      </c>
      <c r="K18" s="335" t="str">
        <f t="array" ref="K18">IFERROR(INDEX(Calculs_CABS!$D$9:$E$900,MATCH(1,(Calculs_CABS!$C$9:$C$900=$E18)*(Calculs_CABS!$B$9:$B$900=K$8),0),2),"")</f>
        <v/>
      </c>
      <c r="L18" s="335" t="str">
        <f t="array" ref="L18">IFERROR(INDEX(Calculs_CABS!$D$9:$E$900,MATCH(1,(Calculs_CABS!$C$9:$C$900=$E18)*(Calculs_CABS!$B$9:$B$900=L$8),0),2),"")</f>
        <v/>
      </c>
      <c r="M18" s="335" t="str">
        <f t="array" ref="M18">IFERROR(INDEX(Calculs_CABS!$D$9:$E$900,MATCH(1,(Calculs_CABS!$C$9:$C$900=$E18)*(Calculs_CABS!$B$9:$B$900=M$8),0),2),"")</f>
        <v/>
      </c>
      <c r="N18" s="336" t="str">
        <f t="array" ref="N18">IFERROR(INDEX(Calculs_CABS!$D$9:$E$900,MATCH(1,(Calculs_CABS!$C$9:$C$900=$E18)*(Calculs_CABS!$B$9:$B$900=N$8),0),2),"")</f>
        <v/>
      </c>
      <c r="O18" s="335" t="str">
        <f t="array" ref="O18">IFERROR(INDEX(Calculs_CABS!$D$9:$E$900,MATCH(1,(Calculs_CABS!$C$9:$C$900=$E18)*(Calculs_CABS!$B$9:$B$900=O$8),0),1),"")</f>
        <v/>
      </c>
      <c r="P18" s="335" t="str">
        <f t="array" ref="P18">IFERROR(INDEX(Calculs_CABS!$D$9:$E909,MATCH(1,(Calculs_CABS!$C$9:$C$900=$E18)*(Calculs_CABS!$B$9:$B$900=O$8),0),2),"")</f>
        <v/>
      </c>
      <c r="Q18" s="445"/>
      <c r="R18" s="335" t="str">
        <f t="array" ref="R18">IFERROR(INDEX(Calculs_CABS!$D$9:$E$900,MATCH(1,(Calculs_CABS!$C$9:$C$900=$E18)*(Calculs_CABS!$B$9:$B$900=R$8),0),1),"")</f>
        <v/>
      </c>
      <c r="S18" s="335" t="str">
        <f t="array" ref="S18">IFERROR(INDEX(Calculs_CABS!$D$9:$E$900,MATCH(1,(Calculs_CABS!$C$9:$C$900=$E18)*(Calculs_CABS!$B$9:$B$900=R$8),0),2),"")</f>
        <v/>
      </c>
      <c r="T18" s="445"/>
      <c r="U18" s="335" t="str">
        <f t="array" ref="U18">IFERROR(INDEX(Calculs_CABS!$D$9:$E$900,MATCH(1,(Calculs_CABS!$C$9:$C$900=$E18)*(Calculs_CABS!$B$9:$B$900=U$8),0),1),"")</f>
        <v/>
      </c>
      <c r="V18" s="335" t="str">
        <f t="array" ref="V18">IFERROR(INDEX(Calculs_CABS!$D$9:$E$900,MATCH(1,(Calculs_CABS!$C$9:$C$900=$E18)*(Calculs_CABS!$B$9:$B$900=U$8),0),2),"")</f>
        <v/>
      </c>
      <c r="W18" s="445"/>
      <c r="X18" s="337" t="str">
        <f t="shared" si="1"/>
        <v/>
      </c>
    </row>
    <row r="19" spans="1:24" ht="15.5">
      <c r="A19" s="431"/>
      <c r="B19" s="434"/>
      <c r="C19" s="434"/>
      <c r="D19" s="427"/>
      <c r="E19" s="432"/>
      <c r="F19" s="433"/>
      <c r="G19" s="429"/>
      <c r="H19" s="430"/>
      <c r="I19" s="333" t="str">
        <f t="shared" si="0"/>
        <v/>
      </c>
      <c r="J19" s="334" t="str">
        <f>IFERROR(INDEX(Calculs_CABS!$F$7:$AI$7,1,ROW(E19)-ROW($E$8)),"")</f>
        <v/>
      </c>
      <c r="K19" s="335" t="str">
        <f t="array" ref="K19">IFERROR(INDEX(Calculs_CABS!$D$9:$E$900,MATCH(1,(Calculs_CABS!$C$9:$C$900=$E19)*(Calculs_CABS!$B$9:$B$900=K$8),0),2),"")</f>
        <v/>
      </c>
      <c r="L19" s="335" t="str">
        <f t="array" ref="L19">IFERROR(INDEX(Calculs_CABS!$D$9:$E$900,MATCH(1,(Calculs_CABS!$C$9:$C$900=$E19)*(Calculs_CABS!$B$9:$B$900=L$8),0),2),"")</f>
        <v/>
      </c>
      <c r="M19" s="335" t="str">
        <f t="array" ref="M19">IFERROR(INDEX(Calculs_CABS!$D$9:$E$900,MATCH(1,(Calculs_CABS!$C$9:$C$900=$E19)*(Calculs_CABS!$B$9:$B$900=M$8),0),2),"")</f>
        <v/>
      </c>
      <c r="N19" s="336" t="str">
        <f t="array" ref="N19">IFERROR(INDEX(Calculs_CABS!$D$9:$E$900,MATCH(1,(Calculs_CABS!$C$9:$C$900=$E19)*(Calculs_CABS!$B$9:$B$900=N$8),0),2),"")</f>
        <v/>
      </c>
      <c r="O19" s="335" t="str">
        <f t="array" ref="O19">IFERROR(INDEX(Calculs_CABS!$D$9:$E$900,MATCH(1,(Calculs_CABS!$C$9:$C$900=$E19)*(Calculs_CABS!$B$9:$B$900=O$8),0),1),"")</f>
        <v/>
      </c>
      <c r="P19" s="335" t="str">
        <f t="array" ref="P19">IFERROR(INDEX(Calculs_CABS!$D$9:$E910,MATCH(1,(Calculs_CABS!$C$9:$C$900=$E19)*(Calculs_CABS!$B$9:$B$900=O$8),0),2),"")</f>
        <v/>
      </c>
      <c r="Q19" s="445"/>
      <c r="R19" s="335" t="str">
        <f t="array" ref="R19">IFERROR(INDEX(Calculs_CABS!$D$9:$E$900,MATCH(1,(Calculs_CABS!$C$9:$C$900=$E19)*(Calculs_CABS!$B$9:$B$900=R$8),0),1),"")</f>
        <v/>
      </c>
      <c r="S19" s="335" t="str">
        <f t="array" ref="S19">IFERROR(INDEX(Calculs_CABS!$D$9:$E$900,MATCH(1,(Calculs_CABS!$C$9:$C$900=$E19)*(Calculs_CABS!$B$9:$B$900=R$8),0),2),"")</f>
        <v/>
      </c>
      <c r="T19" s="444"/>
      <c r="U19" s="335" t="str">
        <f t="array" ref="U19">IFERROR(INDEX(Calculs_CABS!$D$9:$E$900,MATCH(1,(Calculs_CABS!$C$9:$C$900=$E19)*(Calculs_CABS!$B$9:$B$900=U$8),0),1),"")</f>
        <v/>
      </c>
      <c r="V19" s="335" t="str">
        <f t="array" ref="V19">IFERROR(INDEX(Calculs_CABS!$D$9:$E$900,MATCH(1,(Calculs_CABS!$C$9:$C$900=$E19)*(Calculs_CABS!$B$9:$B$900=U$8),0),2),"")</f>
        <v/>
      </c>
      <c r="W19" s="444"/>
      <c r="X19" s="337" t="str">
        <f t="shared" si="1"/>
        <v/>
      </c>
    </row>
    <row r="20" spans="1:24" ht="15.5">
      <c r="A20" s="431"/>
      <c r="B20" s="434"/>
      <c r="C20" s="434"/>
      <c r="D20" s="427"/>
      <c r="E20" s="432"/>
      <c r="F20" s="433"/>
      <c r="G20" s="429"/>
      <c r="H20" s="430"/>
      <c r="I20" s="333" t="str">
        <f t="shared" si="0"/>
        <v/>
      </c>
      <c r="J20" s="334" t="str">
        <f>IFERROR(INDEX(Calculs_CABS!$F$7:$AI$7,1,ROW(E20)-ROW($E$8)),"")</f>
        <v/>
      </c>
      <c r="K20" s="335" t="str">
        <f t="array" ref="K20">IFERROR(INDEX(Calculs_CABS!$D$9:$E$900,MATCH(1,(Calculs_CABS!$C$9:$C$900=$E20)*(Calculs_CABS!$B$9:$B$900=K$8),0),2),"")</f>
        <v/>
      </c>
      <c r="L20" s="335" t="str">
        <f t="array" ref="L20">IFERROR(INDEX(Calculs_CABS!$D$9:$E$900,MATCH(1,(Calculs_CABS!$C$9:$C$900=$E20)*(Calculs_CABS!$B$9:$B$900=L$8),0),2),"")</f>
        <v/>
      </c>
      <c r="M20" s="335" t="str">
        <f t="array" ref="M20">IFERROR(INDEX(Calculs_CABS!$D$9:$E$900,MATCH(1,(Calculs_CABS!$C$9:$C$900=$E20)*(Calculs_CABS!$B$9:$B$900=M$8),0),2),"")</f>
        <v/>
      </c>
      <c r="N20" s="336" t="str">
        <f t="array" ref="N20">IFERROR(INDEX(Calculs_CABS!$D$9:$E$900,MATCH(1,(Calculs_CABS!$C$9:$C$900=$E20)*(Calculs_CABS!$B$9:$B$900=N$8),0),2),"")</f>
        <v/>
      </c>
      <c r="O20" s="335" t="str">
        <f t="array" ref="O20">IFERROR(INDEX(Calculs_CABS!$D$9:$E$900,MATCH(1,(Calculs_CABS!$C$9:$C$900=$E20)*(Calculs_CABS!$B$9:$B$900=O$8),0),1),"")</f>
        <v/>
      </c>
      <c r="P20" s="335" t="str">
        <f t="array" ref="P20">IFERROR(INDEX(Calculs_CABS!$D$9:$E911,MATCH(1,(Calculs_CABS!$C$9:$C$900=$E20)*(Calculs_CABS!$B$9:$B$900=O$8),0),2),"")</f>
        <v/>
      </c>
      <c r="Q20" s="444"/>
      <c r="R20" s="335" t="str">
        <f t="array" ref="R20">IFERROR(INDEX(Calculs_CABS!$D$9:$E$900,MATCH(1,(Calculs_CABS!$C$9:$C$900=$E20)*(Calculs_CABS!$B$9:$B$900=R$8),0),1),"")</f>
        <v/>
      </c>
      <c r="S20" s="335" t="str">
        <f t="array" ref="S20">IFERROR(INDEX(Calculs_CABS!$D$9:$E$900,MATCH(1,(Calculs_CABS!$C$9:$C$900=$E20)*(Calculs_CABS!$B$9:$B$900=R$8),0),2),"")</f>
        <v/>
      </c>
      <c r="T20" s="444"/>
      <c r="U20" s="335" t="str">
        <f t="array" ref="U20">IFERROR(INDEX(Calculs_CABS!$D$9:$E$900,MATCH(1,(Calculs_CABS!$C$9:$C$900=$E20)*(Calculs_CABS!$B$9:$B$900=U$8),0),1),"")</f>
        <v/>
      </c>
      <c r="V20" s="335" t="str">
        <f t="array" ref="V20">IFERROR(INDEX(Calculs_CABS!$D$9:$E$900,MATCH(1,(Calculs_CABS!$C$9:$C$900=$E20)*(Calculs_CABS!$B$9:$B$900=U$8),0),2),"")</f>
        <v/>
      </c>
      <c r="W20" s="444"/>
      <c r="X20" s="337" t="str">
        <f t="shared" si="1"/>
        <v/>
      </c>
    </row>
    <row r="21" spans="1:24" ht="15.5">
      <c r="A21" s="431"/>
      <c r="B21" s="434"/>
      <c r="C21" s="434"/>
      <c r="D21" s="427"/>
      <c r="E21" s="432"/>
      <c r="F21" s="433"/>
      <c r="G21" s="429"/>
      <c r="H21" s="430"/>
      <c r="I21" s="333" t="str">
        <f t="shared" si="0"/>
        <v/>
      </c>
      <c r="J21" s="334" t="str">
        <f>IFERROR(INDEX(Calculs_CABS!$F$7:$AI$7,1,ROW(E21)-ROW($E$8)),"")</f>
        <v/>
      </c>
      <c r="K21" s="335" t="str">
        <f t="array" ref="K21">IFERROR(INDEX(Calculs_CABS!$D$9:$E$900,MATCH(1,(Calculs_CABS!$C$9:$C$900=$E21)*(Calculs_CABS!$B$9:$B$900=K$8),0),2),"")</f>
        <v/>
      </c>
      <c r="L21" s="335" t="str">
        <f t="array" ref="L21">IFERROR(INDEX(Calculs_CABS!$D$9:$E$900,MATCH(1,(Calculs_CABS!$C$9:$C$900=$E21)*(Calculs_CABS!$B$9:$B$900=L$8),0),2),"")</f>
        <v/>
      </c>
      <c r="M21" s="335" t="str">
        <f t="array" ref="M21">IFERROR(INDEX(Calculs_CABS!$D$9:$E$900,MATCH(1,(Calculs_CABS!$C$9:$C$900=$E21)*(Calculs_CABS!$B$9:$B$900=M$8),0),2),"")</f>
        <v/>
      </c>
      <c r="N21" s="336" t="str">
        <f t="array" ref="N21">IFERROR(INDEX(Calculs_CABS!$D$9:$E$900,MATCH(1,(Calculs_CABS!$C$9:$C$900=$E21)*(Calculs_CABS!$B$9:$B$900=N$8),0),2),"")</f>
        <v/>
      </c>
      <c r="O21" s="335" t="str">
        <f t="array" ref="O21">IFERROR(INDEX(Calculs_CABS!$D$9:$E$900,MATCH(1,(Calculs_CABS!$C$9:$C$900=$E21)*(Calculs_CABS!$B$9:$B$900=O$8),0),1),"")</f>
        <v/>
      </c>
      <c r="P21" s="335" t="str">
        <f t="array" ref="P21">IFERROR(INDEX(Calculs_CABS!$D$9:$E912,MATCH(1,(Calculs_CABS!$C$9:$C$900=$E21)*(Calculs_CABS!$B$9:$B$900=O$8),0),2),"")</f>
        <v/>
      </c>
      <c r="Q21" s="444"/>
      <c r="R21" s="335" t="str">
        <f t="array" ref="R21">IFERROR(INDEX(Calculs_CABS!$D$9:$E$900,MATCH(1,(Calculs_CABS!$C$9:$C$900=$E21)*(Calculs_CABS!$B$9:$B$900=R$8),0),1),"")</f>
        <v/>
      </c>
      <c r="S21" s="335" t="str">
        <f t="array" ref="S21">IFERROR(INDEX(Calculs_CABS!$D$9:$E$900,MATCH(1,(Calculs_CABS!$C$9:$C$900=$E21)*(Calculs_CABS!$B$9:$B$900=R$8),0),2),"")</f>
        <v/>
      </c>
      <c r="T21" s="444"/>
      <c r="U21" s="335" t="str">
        <f t="array" ref="U21">IFERROR(INDEX(Calculs_CABS!$D$9:$E$900,MATCH(1,(Calculs_CABS!$C$9:$C$900=$E21)*(Calculs_CABS!$B$9:$B$900=U$8),0),1),"")</f>
        <v/>
      </c>
      <c r="V21" s="335" t="str">
        <f t="array" ref="V21">IFERROR(INDEX(Calculs_CABS!$D$9:$E$900,MATCH(1,(Calculs_CABS!$C$9:$C$900=$E21)*(Calculs_CABS!$B$9:$B$900=U$8),0),2),"")</f>
        <v/>
      </c>
      <c r="W21" s="444"/>
      <c r="X21" s="337" t="str">
        <f t="shared" si="1"/>
        <v/>
      </c>
    </row>
    <row r="22" spans="1:24" ht="15.5">
      <c r="A22" s="431"/>
      <c r="B22" s="434"/>
      <c r="C22" s="434"/>
      <c r="D22" s="427"/>
      <c r="E22" s="432"/>
      <c r="F22" s="433"/>
      <c r="G22" s="429"/>
      <c r="H22" s="430"/>
      <c r="I22" s="333" t="str">
        <f t="shared" si="0"/>
        <v/>
      </c>
      <c r="J22" s="334" t="str">
        <f>IFERROR(INDEX(Calculs_CABS!$F$7:$AI$7,1,ROW(E22)-ROW($E$8)),"")</f>
        <v/>
      </c>
      <c r="K22" s="335" t="str">
        <f t="array" ref="K22">IFERROR(INDEX(Calculs_CABS!$D$9:$E$900,MATCH(1,(Calculs_CABS!$C$9:$C$900=$E22)*(Calculs_CABS!$B$9:$B$900=K$8),0),2),"")</f>
        <v/>
      </c>
      <c r="L22" s="335" t="str">
        <f t="array" ref="L22">IFERROR(INDEX(Calculs_CABS!$D$9:$E$900,MATCH(1,(Calculs_CABS!$C$9:$C$900=$E22)*(Calculs_CABS!$B$9:$B$900=L$8),0),2),"")</f>
        <v/>
      </c>
      <c r="M22" s="335" t="str">
        <f t="array" ref="M22">IFERROR(INDEX(Calculs_CABS!$D$9:$E$900,MATCH(1,(Calculs_CABS!$C$9:$C$900=$E22)*(Calculs_CABS!$B$9:$B$900=M$8),0),2),"")</f>
        <v/>
      </c>
      <c r="N22" s="336" t="str">
        <f t="array" ref="N22">IFERROR(INDEX(Calculs_CABS!$D$9:$E$900,MATCH(1,(Calculs_CABS!$C$9:$C$900=$E22)*(Calculs_CABS!$B$9:$B$900=N$8),0),2),"")</f>
        <v/>
      </c>
      <c r="O22" s="335" t="str">
        <f t="array" ref="O22">IFERROR(INDEX(Calculs_CABS!$D$9:$E$900,MATCH(1,(Calculs_CABS!$C$9:$C$900=$E22)*(Calculs_CABS!$B$9:$B$900=O$8),0),1),"")</f>
        <v/>
      </c>
      <c r="P22" s="335" t="str">
        <f t="array" ref="P22">IFERROR(INDEX(Calculs_CABS!$D$9:$E913,MATCH(1,(Calculs_CABS!$C$9:$C$900=$E22)*(Calculs_CABS!$B$9:$B$900=O$8),0),2),"")</f>
        <v/>
      </c>
      <c r="Q22" s="445"/>
      <c r="R22" s="335" t="str">
        <f t="array" ref="R22">IFERROR(INDEX(Calculs_CABS!$D$9:$E$900,MATCH(1,(Calculs_CABS!$C$9:$C$900=$E22)*(Calculs_CABS!$B$9:$B$900=R$8),0),1),"")</f>
        <v/>
      </c>
      <c r="S22" s="335" t="str">
        <f t="array" ref="S22">IFERROR(INDEX(Calculs_CABS!$D$9:$E$900,MATCH(1,(Calculs_CABS!$C$9:$C$900=$E22)*(Calculs_CABS!$B$9:$B$900=R$8),0),2),"")</f>
        <v/>
      </c>
      <c r="T22" s="444"/>
      <c r="U22" s="335" t="str">
        <f t="array" ref="U22">IFERROR(INDEX(Calculs_CABS!$D$9:$E$900,MATCH(1,(Calculs_CABS!$C$9:$C$900=$E22)*(Calculs_CABS!$B$9:$B$900=U$8),0),1),"")</f>
        <v/>
      </c>
      <c r="V22" s="335" t="str">
        <f t="array" ref="V22">IFERROR(INDEX(Calculs_CABS!$D$9:$E$900,MATCH(1,(Calculs_CABS!$C$9:$C$900=$E22)*(Calculs_CABS!$B$9:$B$900=U$8),0),2),"")</f>
        <v/>
      </c>
      <c r="W22" s="444"/>
      <c r="X22" s="337" t="str">
        <f t="shared" si="1"/>
        <v/>
      </c>
    </row>
    <row r="23" spans="1:24" ht="15.5">
      <c r="A23" s="431"/>
      <c r="B23" s="434"/>
      <c r="C23" s="434"/>
      <c r="D23" s="427"/>
      <c r="E23" s="432"/>
      <c r="F23" s="433"/>
      <c r="G23" s="429"/>
      <c r="H23" s="430"/>
      <c r="I23" s="333" t="str">
        <f t="shared" si="0"/>
        <v/>
      </c>
      <c r="J23" s="334" t="str">
        <f>IFERROR(INDEX(Calculs_CABS!$F$7:$AI$7,1,ROW(E23)-ROW($E$8)),"")</f>
        <v/>
      </c>
      <c r="K23" s="335" t="str">
        <f t="array" ref="K23">IFERROR(INDEX(Calculs_CABS!$D$9:$E$900,MATCH(1,(Calculs_CABS!$C$9:$C$900=$E23)*(Calculs_CABS!$B$9:$B$900=K$8),0),2),"")</f>
        <v/>
      </c>
      <c r="L23" s="335" t="str">
        <f t="array" ref="L23">IFERROR(INDEX(Calculs_CABS!$D$9:$E$900,MATCH(1,(Calculs_CABS!$C$9:$C$900=$E23)*(Calculs_CABS!$B$9:$B$900=L$8),0),2),"")</f>
        <v/>
      </c>
      <c r="M23" s="335" t="str">
        <f t="array" ref="M23">IFERROR(INDEX(Calculs_CABS!$D$9:$E$900,MATCH(1,(Calculs_CABS!$C$9:$C$900=$E23)*(Calculs_CABS!$B$9:$B$900=M$8),0),2),"")</f>
        <v/>
      </c>
      <c r="N23" s="336" t="str">
        <f t="array" ref="N23">IFERROR(INDEX(Calculs_CABS!$D$9:$E$900,MATCH(1,(Calculs_CABS!$C$9:$C$900=$E23)*(Calculs_CABS!$B$9:$B$900=N$8),0),2),"")</f>
        <v/>
      </c>
      <c r="O23" s="335" t="str">
        <f t="array" ref="O23">IFERROR(INDEX(Calculs_CABS!$D$9:$E$900,MATCH(1,(Calculs_CABS!$C$9:$C$900=$E23)*(Calculs_CABS!$B$9:$B$900=O$8),0),1),"")</f>
        <v/>
      </c>
      <c r="P23" s="335" t="str">
        <f t="array" ref="P23">IFERROR(INDEX(Calculs_CABS!$D$9:$E914,MATCH(1,(Calculs_CABS!$C$9:$C$900=$E23)*(Calculs_CABS!$B$9:$B$900=O$8),0),2),"")</f>
        <v/>
      </c>
      <c r="Q23" s="444"/>
      <c r="R23" s="335" t="str">
        <f t="array" ref="R23">IFERROR(INDEX(Calculs_CABS!$D$9:$E$900,MATCH(1,(Calculs_CABS!$C$9:$C$900=$E23)*(Calculs_CABS!$B$9:$B$900=R$8),0),1),"")</f>
        <v/>
      </c>
      <c r="S23" s="335" t="str">
        <f t="array" ref="S23">IFERROR(INDEX(Calculs_CABS!$D$9:$E$900,MATCH(1,(Calculs_CABS!$C$9:$C$900=$E23)*(Calculs_CABS!$B$9:$B$900=R$8),0),2),"")</f>
        <v/>
      </c>
      <c r="T23" s="444"/>
      <c r="U23" s="335" t="str">
        <f t="array" ref="U23">IFERROR(INDEX(Calculs_CABS!$D$9:$E$900,MATCH(1,(Calculs_CABS!$C$9:$C$900=$E23)*(Calculs_CABS!$B$9:$B$900=U$8),0),1),"")</f>
        <v/>
      </c>
      <c r="V23" s="335" t="str">
        <f t="array" ref="V23">IFERROR(INDEX(Calculs_CABS!$D$9:$E$900,MATCH(1,(Calculs_CABS!$C$9:$C$900=$E23)*(Calculs_CABS!$B$9:$B$900=U$8),0),2),"")</f>
        <v/>
      </c>
      <c r="W23" s="444"/>
      <c r="X23" s="337" t="str">
        <f t="shared" si="1"/>
        <v/>
      </c>
    </row>
    <row r="24" spans="1:24" ht="15.5">
      <c r="A24" s="431"/>
      <c r="B24" s="434"/>
      <c r="C24" s="434"/>
      <c r="D24" s="427"/>
      <c r="E24" s="432"/>
      <c r="F24" s="433"/>
      <c r="G24" s="429"/>
      <c r="H24" s="430"/>
      <c r="I24" s="333" t="str">
        <f t="shared" si="0"/>
        <v/>
      </c>
      <c r="J24" s="334" t="str">
        <f>IFERROR(INDEX(Calculs_CABS!$F$7:$AI$7,1,ROW(E24)-ROW($E$8)),"")</f>
        <v/>
      </c>
      <c r="K24" s="335" t="str">
        <f t="array" ref="K24">IFERROR(INDEX(Calculs_CABS!$D$9:$E$900,MATCH(1,(Calculs_CABS!$C$9:$C$900=$E24)*(Calculs_CABS!$B$9:$B$900=K$8),0),2),"")</f>
        <v/>
      </c>
      <c r="L24" s="335" t="str">
        <f t="array" ref="L24">IFERROR(INDEX(Calculs_CABS!$D$9:$E$900,MATCH(1,(Calculs_CABS!$C$9:$C$900=$E24)*(Calculs_CABS!$B$9:$B$900=L$8),0),2),"")</f>
        <v/>
      </c>
      <c r="M24" s="335" t="str">
        <f t="array" ref="M24">IFERROR(INDEX(Calculs_CABS!$D$9:$E$900,MATCH(1,(Calculs_CABS!$C$9:$C$900=$E24)*(Calculs_CABS!$B$9:$B$900=M$8),0),2),"")</f>
        <v/>
      </c>
      <c r="N24" s="336" t="str">
        <f t="array" ref="N24">IFERROR(INDEX(Calculs_CABS!$D$9:$E$900,MATCH(1,(Calculs_CABS!$C$9:$C$900=$E24)*(Calculs_CABS!$B$9:$B$900=N$8),0),2),"")</f>
        <v/>
      </c>
      <c r="O24" s="335" t="str">
        <f t="array" ref="O24">IFERROR(INDEX(Calculs_CABS!$D$9:$E$900,MATCH(1,(Calculs_CABS!$C$9:$C$900=$E24)*(Calculs_CABS!$B$9:$B$900=O$8),0),1),"")</f>
        <v/>
      </c>
      <c r="P24" s="335" t="str">
        <f t="array" ref="P24">IFERROR(INDEX(Calculs_CABS!$D$9:$E915,MATCH(1,(Calculs_CABS!$C$9:$C$900=$E24)*(Calculs_CABS!$B$9:$B$900=O$8),0),2),"")</f>
        <v/>
      </c>
      <c r="Q24" s="444"/>
      <c r="R24" s="335" t="str">
        <f t="array" ref="R24">IFERROR(INDEX(Calculs_CABS!$D$9:$E$900,MATCH(1,(Calculs_CABS!$C$9:$C$900=$E24)*(Calculs_CABS!$B$9:$B$900=R$8),0),1),"")</f>
        <v/>
      </c>
      <c r="S24" s="335" t="str">
        <f t="array" ref="S24">IFERROR(INDEX(Calculs_CABS!$D$9:$E$900,MATCH(1,(Calculs_CABS!$C$9:$C$900=$E24)*(Calculs_CABS!$B$9:$B$900=R$8),0),2),"")</f>
        <v/>
      </c>
      <c r="T24" s="444"/>
      <c r="U24" s="335" t="str">
        <f t="array" ref="U24">IFERROR(INDEX(Calculs_CABS!$D$9:$E$900,MATCH(1,(Calculs_CABS!$C$9:$C$900=$E24)*(Calculs_CABS!$B$9:$B$900=U$8),0),1),"")</f>
        <v/>
      </c>
      <c r="V24" s="335" t="str">
        <f t="array" ref="V24">IFERROR(INDEX(Calculs_CABS!$D$9:$E$900,MATCH(1,(Calculs_CABS!$C$9:$C$900=$E24)*(Calculs_CABS!$B$9:$B$900=U$8),0),2),"")</f>
        <v/>
      </c>
      <c r="W24" s="444"/>
      <c r="X24" s="337" t="str">
        <f t="shared" si="1"/>
        <v/>
      </c>
    </row>
    <row r="25" spans="1:24" ht="15.5">
      <c r="A25" s="431"/>
      <c r="B25" s="434"/>
      <c r="C25" s="434"/>
      <c r="D25" s="427"/>
      <c r="E25" s="432"/>
      <c r="F25" s="433"/>
      <c r="G25" s="429"/>
      <c r="H25" s="435"/>
      <c r="I25" s="333" t="str">
        <f t="shared" si="0"/>
        <v/>
      </c>
      <c r="J25" s="334" t="str">
        <f>IFERROR(INDEX(Calculs_CABS!$F$7:$AI$7,1,ROW(E25)-ROW($E$8)),"")</f>
        <v/>
      </c>
      <c r="K25" s="335" t="str">
        <f t="array" ref="K25">IFERROR(INDEX(Calculs_CABS!$D$9:$E$900,MATCH(1,(Calculs_CABS!$C$9:$C$900=$E25)*(Calculs_CABS!$B$9:$B$900=K$8),0),2),"")</f>
        <v/>
      </c>
      <c r="L25" s="335" t="str">
        <f t="array" ref="L25">IFERROR(INDEX(Calculs_CABS!$D$9:$E$900,MATCH(1,(Calculs_CABS!$C$9:$C$900=$E25)*(Calculs_CABS!$B$9:$B$900=L$8),0),2),"")</f>
        <v/>
      </c>
      <c r="M25" s="335" t="str">
        <f t="array" ref="M25">IFERROR(INDEX(Calculs_CABS!$D$9:$E$900,MATCH(1,(Calculs_CABS!$C$9:$C$900=$E25)*(Calculs_CABS!$B$9:$B$900=M$8),0),2),"")</f>
        <v/>
      </c>
      <c r="N25" s="336" t="str">
        <f t="array" ref="N25">IFERROR(INDEX(Calculs_CABS!$D$9:$E$900,MATCH(1,(Calculs_CABS!$C$9:$C$900=$E25)*(Calculs_CABS!$B$9:$B$900=N$8),0),2),"")</f>
        <v/>
      </c>
      <c r="O25" s="335" t="str">
        <f t="array" ref="O25">IFERROR(INDEX(Calculs_CABS!$D$9:$E$900,MATCH(1,(Calculs_CABS!$C$9:$C$900=$E25)*(Calculs_CABS!$B$9:$B$900=O$8),0),1),"")</f>
        <v/>
      </c>
      <c r="P25" s="335" t="str">
        <f t="array" ref="P25">IFERROR(INDEX(Calculs_CABS!$D$9:$E916,MATCH(1,(Calculs_CABS!$C$9:$C$900=$E25)*(Calculs_CABS!$B$9:$B$900=O$8),0),2),"")</f>
        <v/>
      </c>
      <c r="Q25" s="444"/>
      <c r="R25" s="335" t="str">
        <f t="array" ref="R25">IFERROR(INDEX(Calculs_CABS!$D$9:$E$900,MATCH(1,(Calculs_CABS!$C$9:$C$900=$E25)*(Calculs_CABS!$B$9:$B$900=R$8),0),1),"")</f>
        <v/>
      </c>
      <c r="S25" s="335" t="str">
        <f t="array" ref="S25">IFERROR(INDEX(Calculs_CABS!$D$9:$E$900,MATCH(1,(Calculs_CABS!$C$9:$C$900=$E25)*(Calculs_CABS!$B$9:$B$900=R$8),0),2),"")</f>
        <v/>
      </c>
      <c r="T25" s="444"/>
      <c r="U25" s="335" t="str">
        <f t="array" ref="U25">IFERROR(INDEX(Calculs_CABS!$D$9:$E$900,MATCH(1,(Calculs_CABS!$C$9:$C$900=$E25)*(Calculs_CABS!$B$9:$B$900=U$8),0),1),"")</f>
        <v/>
      </c>
      <c r="V25" s="335" t="str">
        <f t="array" ref="V25">IFERROR(INDEX(Calculs_CABS!$D$9:$E$900,MATCH(1,(Calculs_CABS!$C$9:$C$900=$E25)*(Calculs_CABS!$B$9:$B$900=U$8),0),2),"")</f>
        <v/>
      </c>
      <c r="W25" s="444"/>
      <c r="X25" s="337" t="str">
        <f t="shared" si="1"/>
        <v/>
      </c>
    </row>
    <row r="26" spans="1:24" ht="15.5">
      <c r="A26" s="431"/>
      <c r="B26" s="434"/>
      <c r="C26" s="434"/>
      <c r="D26" s="427"/>
      <c r="E26" s="432"/>
      <c r="F26" s="433"/>
      <c r="G26" s="429"/>
      <c r="H26" s="435"/>
      <c r="I26" s="333" t="str">
        <f t="shared" si="0"/>
        <v/>
      </c>
      <c r="J26" s="334" t="str">
        <f>IFERROR(INDEX(Calculs_CABS!$F$7:$AI$7,1,ROW(E26)-ROW($E$8)),"")</f>
        <v/>
      </c>
      <c r="K26" s="335" t="str">
        <f t="array" ref="K26">IFERROR(INDEX(Calculs_CABS!$D$9:$E$900,MATCH(1,(Calculs_CABS!$C$9:$C$900=$E26)*(Calculs_CABS!$B$9:$B$900=K$8),0),2),"")</f>
        <v/>
      </c>
      <c r="L26" s="335" t="str">
        <f t="array" ref="L26">IFERROR(INDEX(Calculs_CABS!$D$9:$E$900,MATCH(1,(Calculs_CABS!$C$9:$C$900=$E26)*(Calculs_CABS!$B$9:$B$900=L$8),0),2),"")</f>
        <v/>
      </c>
      <c r="M26" s="335" t="str">
        <f t="array" ref="M26">IFERROR(INDEX(Calculs_CABS!$D$9:$E$900,MATCH(1,(Calculs_CABS!$C$9:$C$900=$E26)*(Calculs_CABS!$B$9:$B$900=M$8),0),2),"")</f>
        <v/>
      </c>
      <c r="N26" s="336" t="str">
        <f t="array" ref="N26">IFERROR(INDEX(Calculs_CABS!$D$9:$E$900,MATCH(1,(Calculs_CABS!$C$9:$C$900=$E26)*(Calculs_CABS!$B$9:$B$900=N$8),0),2),"")</f>
        <v/>
      </c>
      <c r="O26" s="335" t="str">
        <f t="array" ref="O26">IFERROR(INDEX(Calculs_CABS!$D$9:$E$900,MATCH(1,(Calculs_CABS!$C$9:$C$900=$E26)*(Calculs_CABS!$B$9:$B$900=O$8),0),1),"")</f>
        <v/>
      </c>
      <c r="P26" s="335" t="str">
        <f t="array" ref="P26">IFERROR(INDEX(Calculs_CABS!$D$9:$E917,MATCH(1,(Calculs_CABS!$C$9:$C$900=$E26)*(Calculs_CABS!$B$9:$B$900=O$8),0),2),"")</f>
        <v/>
      </c>
      <c r="Q26" s="444"/>
      <c r="R26" s="335" t="str">
        <f t="array" ref="R26">IFERROR(INDEX(Calculs_CABS!$D$9:$E$900,MATCH(1,(Calculs_CABS!$C$9:$C$900=$E26)*(Calculs_CABS!$B$9:$B$900=R$8),0),1),"")</f>
        <v/>
      </c>
      <c r="S26" s="335" t="str">
        <f t="array" ref="S26">IFERROR(INDEX(Calculs_CABS!$D$9:$E$900,MATCH(1,(Calculs_CABS!$C$9:$C$900=$E26)*(Calculs_CABS!$B$9:$B$900=R$8),0),2),"")</f>
        <v/>
      </c>
      <c r="T26" s="444"/>
      <c r="U26" s="335" t="str">
        <f t="array" ref="U26">IFERROR(INDEX(Calculs_CABS!$D$9:$E$900,MATCH(1,(Calculs_CABS!$C$9:$C$900=$E26)*(Calculs_CABS!$B$9:$B$900=U$8),0),1),"")</f>
        <v/>
      </c>
      <c r="V26" s="335" t="str">
        <f t="array" ref="V26">IFERROR(INDEX(Calculs_CABS!$D$9:$E$900,MATCH(1,(Calculs_CABS!$C$9:$C$900=$E26)*(Calculs_CABS!$B$9:$B$900=U$8),0),2),"")</f>
        <v/>
      </c>
      <c r="W26" s="444"/>
      <c r="X26" s="337" t="str">
        <f t="shared" si="1"/>
        <v/>
      </c>
    </row>
    <row r="27" spans="1:24" ht="15.5">
      <c r="A27" s="431"/>
      <c r="B27" s="434"/>
      <c r="C27" s="434"/>
      <c r="D27" s="427"/>
      <c r="E27" s="432"/>
      <c r="F27" s="433"/>
      <c r="G27" s="429"/>
      <c r="H27" s="435"/>
      <c r="I27" s="333" t="str">
        <f t="shared" si="0"/>
        <v/>
      </c>
      <c r="J27" s="334" t="str">
        <f>IFERROR(INDEX(Calculs_CABS!$F$7:$AI$7,1,ROW(E27)-ROW($E$8)),"")</f>
        <v/>
      </c>
      <c r="K27" s="335" t="str">
        <f t="array" ref="K27">IFERROR(INDEX(Calculs_CABS!$D$9:$E$900,MATCH(1,(Calculs_CABS!$C$9:$C$900=$E27)*(Calculs_CABS!$B$9:$B$900=K$8),0),2),"")</f>
        <v/>
      </c>
      <c r="L27" s="335" t="str">
        <f t="array" ref="L27">IFERROR(INDEX(Calculs_CABS!$D$9:$E$900,MATCH(1,(Calculs_CABS!$C$9:$C$900=$E27)*(Calculs_CABS!$B$9:$B$900=L$8),0),2),"")</f>
        <v/>
      </c>
      <c r="M27" s="335" t="str">
        <f t="array" ref="M27">IFERROR(INDEX(Calculs_CABS!$D$9:$E$900,MATCH(1,(Calculs_CABS!$C$9:$C$900=$E27)*(Calculs_CABS!$B$9:$B$900=M$8),0),2),"")</f>
        <v/>
      </c>
      <c r="N27" s="336" t="str">
        <f t="array" ref="N27">IFERROR(INDEX(Calculs_CABS!$D$9:$E$900,MATCH(1,(Calculs_CABS!$C$9:$C$900=$E27)*(Calculs_CABS!$B$9:$B$900=N$8),0),2),"")</f>
        <v/>
      </c>
      <c r="O27" s="335" t="str">
        <f t="array" ref="O27">IFERROR(INDEX(Calculs_CABS!$D$9:$E$900,MATCH(1,(Calculs_CABS!$C$9:$C$900=$E27)*(Calculs_CABS!$B$9:$B$900=O$8),0),1),"")</f>
        <v/>
      </c>
      <c r="P27" s="335" t="str">
        <f t="array" ref="P27">IFERROR(INDEX(Calculs_CABS!$D$9:$E918,MATCH(1,(Calculs_CABS!$C$9:$C$900=$E27)*(Calculs_CABS!$B$9:$B$900=O$8),0),2),"")</f>
        <v/>
      </c>
      <c r="Q27" s="444"/>
      <c r="R27" s="335" t="str">
        <f t="array" ref="R27">IFERROR(INDEX(Calculs_CABS!$D$9:$E$900,MATCH(1,(Calculs_CABS!$C$9:$C$900=$E27)*(Calculs_CABS!$B$9:$B$900=R$8),0),1),"")</f>
        <v/>
      </c>
      <c r="S27" s="335" t="str">
        <f t="array" ref="S27">IFERROR(INDEX(Calculs_CABS!$D$9:$E$900,MATCH(1,(Calculs_CABS!$C$9:$C$900=$E27)*(Calculs_CABS!$B$9:$B$900=R$8),0),2),"")</f>
        <v/>
      </c>
      <c r="T27" s="444"/>
      <c r="U27" s="335" t="str">
        <f t="array" ref="U27">IFERROR(INDEX(Calculs_CABS!$D$9:$E$900,MATCH(1,(Calculs_CABS!$C$9:$C$900=$E27)*(Calculs_CABS!$B$9:$B$900=U$8),0),1),"")</f>
        <v/>
      </c>
      <c r="V27" s="335" t="str">
        <f t="array" ref="V27">IFERROR(INDEX(Calculs_CABS!$D$9:$E$900,MATCH(1,(Calculs_CABS!$C$9:$C$900=$E27)*(Calculs_CABS!$B$9:$B$900=U$8),0),2),"")</f>
        <v/>
      </c>
      <c r="W27" s="444"/>
      <c r="X27" s="337" t="str">
        <f t="shared" si="1"/>
        <v/>
      </c>
    </row>
    <row r="28" spans="1:24" ht="15.5">
      <c r="A28" s="431"/>
      <c r="B28" s="434"/>
      <c r="C28" s="434"/>
      <c r="D28" s="427"/>
      <c r="E28" s="432"/>
      <c r="F28" s="433"/>
      <c r="G28" s="429"/>
      <c r="H28" s="435"/>
      <c r="I28" s="333" t="str">
        <f t="shared" si="0"/>
        <v/>
      </c>
      <c r="J28" s="334" t="str">
        <f>IFERROR(INDEX(Calculs_CABS!$F$7:$AI$7,1,ROW(E28)-ROW($E$8)),"")</f>
        <v/>
      </c>
      <c r="K28" s="335" t="str">
        <f t="array" ref="K28">IFERROR(INDEX(Calculs_CABS!$D$9:$E$900,MATCH(1,(Calculs_CABS!$C$9:$C$900=$E28)*(Calculs_CABS!$B$9:$B$900=K$8),0),2),"")</f>
        <v/>
      </c>
      <c r="L28" s="335" t="str">
        <f t="array" ref="L28">IFERROR(INDEX(Calculs_CABS!$D$9:$E$900,MATCH(1,(Calculs_CABS!$C$9:$C$900=$E28)*(Calculs_CABS!$B$9:$B$900=L$8),0),2),"")</f>
        <v/>
      </c>
      <c r="M28" s="335" t="str">
        <f t="array" ref="M28">IFERROR(INDEX(Calculs_CABS!$D$9:$E$900,MATCH(1,(Calculs_CABS!$C$9:$C$900=$E28)*(Calculs_CABS!$B$9:$B$900=M$8),0),2),"")</f>
        <v/>
      </c>
      <c r="N28" s="336" t="str">
        <f t="array" ref="N28">IFERROR(INDEX(Calculs_CABS!$D$9:$E$900,MATCH(1,(Calculs_CABS!$C$9:$C$900=$E28)*(Calculs_CABS!$B$9:$B$900=N$8),0),2),"")</f>
        <v/>
      </c>
      <c r="O28" s="335" t="str">
        <f t="array" ref="O28">IFERROR(INDEX(Calculs_CABS!$D$9:$E$900,MATCH(1,(Calculs_CABS!$C$9:$C$900=$E28)*(Calculs_CABS!$B$9:$B$900=O$8),0),1),"")</f>
        <v/>
      </c>
      <c r="P28" s="335" t="str">
        <f t="array" ref="P28">IFERROR(INDEX(Calculs_CABS!$D$9:$E919,MATCH(1,(Calculs_CABS!$C$9:$C$900=$E28)*(Calculs_CABS!$B$9:$B$900=O$8),0),2),"")</f>
        <v/>
      </c>
      <c r="Q28" s="444"/>
      <c r="R28" s="335" t="str">
        <f t="array" ref="R28">IFERROR(INDEX(Calculs_CABS!$D$9:$E$900,MATCH(1,(Calculs_CABS!$C$9:$C$900=$E28)*(Calculs_CABS!$B$9:$B$900=R$8),0),1),"")</f>
        <v/>
      </c>
      <c r="S28" s="335" t="str">
        <f t="array" ref="S28">IFERROR(INDEX(Calculs_CABS!$D$9:$E$900,MATCH(1,(Calculs_CABS!$C$9:$C$900=$E28)*(Calculs_CABS!$B$9:$B$900=R$8),0),2),"")</f>
        <v/>
      </c>
      <c r="T28" s="444"/>
      <c r="U28" s="335" t="str">
        <f t="array" ref="U28">IFERROR(INDEX(Calculs_CABS!$D$9:$E$900,MATCH(1,(Calculs_CABS!$C$9:$C$900=$E28)*(Calculs_CABS!$B$9:$B$900=U$8),0),1),"")</f>
        <v/>
      </c>
      <c r="V28" s="335" t="str">
        <f t="array" ref="V28">IFERROR(INDEX(Calculs_CABS!$D$9:$E$900,MATCH(1,(Calculs_CABS!$C$9:$C$900=$E28)*(Calculs_CABS!$B$9:$B$900=U$8),0),2),"")</f>
        <v/>
      </c>
      <c r="W28" s="444"/>
      <c r="X28" s="337" t="str">
        <f t="shared" si="1"/>
        <v/>
      </c>
    </row>
    <row r="29" spans="1:24" ht="15.5">
      <c r="A29" s="431"/>
      <c r="B29" s="434"/>
      <c r="C29" s="434"/>
      <c r="D29" s="427"/>
      <c r="E29" s="432"/>
      <c r="F29" s="433"/>
      <c r="G29" s="429"/>
      <c r="H29" s="435"/>
      <c r="I29" s="333" t="str">
        <f t="shared" si="0"/>
        <v/>
      </c>
      <c r="J29" s="334" t="str">
        <f>IFERROR(INDEX(Calculs_CABS!$F$7:$AI$7,1,ROW(E29)-ROW($E$8)),"")</f>
        <v/>
      </c>
      <c r="K29" s="335" t="str">
        <f t="array" ref="K29">IFERROR(INDEX(Calculs_CABS!$D$9:$E$900,MATCH(1,(Calculs_CABS!$C$9:$C$900=$E29)*(Calculs_CABS!$B$9:$B$900=K$8),0),2),"")</f>
        <v/>
      </c>
      <c r="L29" s="335" t="str">
        <f t="array" ref="L29">IFERROR(INDEX(Calculs_CABS!$D$9:$E$900,MATCH(1,(Calculs_CABS!$C$9:$C$900=$E29)*(Calculs_CABS!$B$9:$B$900=L$8),0),2),"")</f>
        <v/>
      </c>
      <c r="M29" s="335" t="str">
        <f t="array" ref="M29">IFERROR(INDEX(Calculs_CABS!$D$9:$E$900,MATCH(1,(Calculs_CABS!$C$9:$C$900=$E29)*(Calculs_CABS!$B$9:$B$900=M$8),0),2),"")</f>
        <v/>
      </c>
      <c r="N29" s="336" t="str">
        <f t="array" ref="N29">IFERROR(INDEX(Calculs_CABS!$D$9:$E$900,MATCH(1,(Calculs_CABS!$C$9:$C$900=$E29)*(Calculs_CABS!$B$9:$B$900=N$8),0),2),"")</f>
        <v/>
      </c>
      <c r="O29" s="335" t="str">
        <f t="array" ref="O29">IFERROR(INDEX(Calculs_CABS!$D$9:$E$900,MATCH(1,(Calculs_CABS!$C$9:$C$900=$E29)*(Calculs_CABS!$B$9:$B$900=O$8),0),1),"")</f>
        <v/>
      </c>
      <c r="P29" s="335" t="str">
        <f t="array" ref="P29">IFERROR(INDEX(Calculs_CABS!$D$9:$E920,MATCH(1,(Calculs_CABS!$C$9:$C$900=$E29)*(Calculs_CABS!$B$9:$B$900=O$8),0),2),"")</f>
        <v/>
      </c>
      <c r="Q29" s="444"/>
      <c r="R29" s="335" t="str">
        <f t="array" ref="R29">IFERROR(INDEX(Calculs_CABS!$D$9:$E$900,MATCH(1,(Calculs_CABS!$C$9:$C$900=$E29)*(Calculs_CABS!$B$9:$B$900=R$8),0),1),"")</f>
        <v/>
      </c>
      <c r="S29" s="335" t="str">
        <f t="array" ref="S29">IFERROR(INDEX(Calculs_CABS!$D$9:$E$900,MATCH(1,(Calculs_CABS!$C$9:$C$900=$E29)*(Calculs_CABS!$B$9:$B$900=R$8),0),2),"")</f>
        <v/>
      </c>
      <c r="T29" s="444"/>
      <c r="U29" s="335" t="str">
        <f t="array" ref="U29">IFERROR(INDEX(Calculs_CABS!$D$9:$E$900,MATCH(1,(Calculs_CABS!$C$9:$C$900=$E29)*(Calculs_CABS!$B$9:$B$900=U$8),0),1),"")</f>
        <v/>
      </c>
      <c r="V29" s="335" t="str">
        <f t="array" ref="V29">IFERROR(INDEX(Calculs_CABS!$D$9:$E$900,MATCH(1,(Calculs_CABS!$C$9:$C$900=$E29)*(Calculs_CABS!$B$9:$B$900=U$8),0),2),"")</f>
        <v/>
      </c>
      <c r="W29" s="444"/>
      <c r="X29" s="337" t="str">
        <f t="shared" si="1"/>
        <v/>
      </c>
    </row>
    <row r="30" spans="1:24" ht="15.5">
      <c r="A30" s="431"/>
      <c r="B30" s="434"/>
      <c r="C30" s="434"/>
      <c r="D30" s="427"/>
      <c r="E30" s="432"/>
      <c r="F30" s="433"/>
      <c r="G30" s="429"/>
      <c r="H30" s="435"/>
      <c r="I30" s="333" t="str">
        <f t="shared" si="0"/>
        <v/>
      </c>
      <c r="J30" s="334" t="str">
        <f>IFERROR(INDEX(Calculs_CABS!$F$7:$AI$7,1,ROW(E30)-ROW($E$8)),"")</f>
        <v/>
      </c>
      <c r="K30" s="335" t="str">
        <f t="array" ref="K30">IFERROR(INDEX(Calculs_CABS!$D$9:$E$900,MATCH(1,(Calculs_CABS!$C$9:$C$900=$E30)*(Calculs_CABS!$B$9:$B$900=K$8),0),2),"")</f>
        <v/>
      </c>
      <c r="L30" s="335" t="str">
        <f t="array" ref="L30">IFERROR(INDEX(Calculs_CABS!$D$9:$E$900,MATCH(1,(Calculs_CABS!$C$9:$C$900=$E30)*(Calculs_CABS!$B$9:$B$900=L$8),0),2),"")</f>
        <v/>
      </c>
      <c r="M30" s="335" t="str">
        <f t="array" ref="M30">IFERROR(INDEX(Calculs_CABS!$D$9:$E$900,MATCH(1,(Calculs_CABS!$C$9:$C$900=$E30)*(Calculs_CABS!$B$9:$B$900=M$8),0),2),"")</f>
        <v/>
      </c>
      <c r="N30" s="336" t="str">
        <f t="array" ref="N30">IFERROR(INDEX(Calculs_CABS!$D$9:$E$900,MATCH(1,(Calculs_CABS!$C$9:$C$900=$E30)*(Calculs_CABS!$B$9:$B$900=N$8),0),2),"")</f>
        <v/>
      </c>
      <c r="O30" s="335" t="str">
        <f t="array" ref="O30">IFERROR(INDEX(Calculs_CABS!$D$9:$E$900,MATCH(1,(Calculs_CABS!$C$9:$C$900=$E30)*(Calculs_CABS!$B$9:$B$900=O$8),0),1),"")</f>
        <v/>
      </c>
      <c r="P30" s="335" t="str">
        <f t="array" ref="P30">IFERROR(INDEX(Calculs_CABS!$D$9:$E921,MATCH(1,(Calculs_CABS!$C$9:$C$900=$E30)*(Calculs_CABS!$B$9:$B$900=O$8),0),2),"")</f>
        <v/>
      </c>
      <c r="Q30" s="444"/>
      <c r="R30" s="335" t="str">
        <f t="array" ref="R30">IFERROR(INDEX(Calculs_CABS!$D$9:$E$900,MATCH(1,(Calculs_CABS!$C$9:$C$900=$E30)*(Calculs_CABS!$B$9:$B$900=R$8),0),1),"")</f>
        <v/>
      </c>
      <c r="S30" s="335" t="str">
        <f t="array" ref="S30">IFERROR(INDEX(Calculs_CABS!$D$9:$E$900,MATCH(1,(Calculs_CABS!$C$9:$C$900=$E30)*(Calculs_CABS!$B$9:$B$900=R$8),0),2),"")</f>
        <v/>
      </c>
      <c r="T30" s="444"/>
      <c r="U30" s="335" t="str">
        <f t="array" ref="U30">IFERROR(INDEX(Calculs_CABS!$D$9:$E$900,MATCH(1,(Calculs_CABS!$C$9:$C$900=$E30)*(Calculs_CABS!$B$9:$B$900=U$8),0),1),"")</f>
        <v/>
      </c>
      <c r="V30" s="335" t="str">
        <f t="array" ref="V30">IFERROR(INDEX(Calculs_CABS!$D$9:$E$900,MATCH(1,(Calculs_CABS!$C$9:$C$900=$E30)*(Calculs_CABS!$B$9:$B$900=U$8),0),2),"")</f>
        <v/>
      </c>
      <c r="W30" s="444"/>
      <c r="X30" s="337" t="str">
        <f t="shared" si="1"/>
        <v/>
      </c>
    </row>
    <row r="31" spans="1:24" ht="15.5">
      <c r="A31" s="431"/>
      <c r="B31" s="434"/>
      <c r="C31" s="434"/>
      <c r="D31" s="427"/>
      <c r="E31" s="432"/>
      <c r="F31" s="433"/>
      <c r="G31" s="429"/>
      <c r="H31" s="435"/>
      <c r="I31" s="333" t="str">
        <f t="shared" si="0"/>
        <v/>
      </c>
      <c r="J31" s="334" t="str">
        <f>IFERROR(INDEX(Calculs_CABS!$F$7:$AI$7,1,ROW(E31)-ROW($E$8)),"")</f>
        <v/>
      </c>
      <c r="K31" s="335" t="str">
        <f t="array" ref="K31">IFERROR(INDEX(Calculs_CABS!$D$9:$E$900,MATCH(1,(Calculs_CABS!$C$9:$C$900=$E31)*(Calculs_CABS!$B$9:$B$900=K$8),0),2),"")</f>
        <v/>
      </c>
      <c r="L31" s="335" t="str">
        <f t="array" ref="L31">IFERROR(INDEX(Calculs_CABS!$D$9:$E$900,MATCH(1,(Calculs_CABS!$C$9:$C$900=$E31)*(Calculs_CABS!$B$9:$B$900=L$8),0),2),"")</f>
        <v/>
      </c>
      <c r="M31" s="335" t="str">
        <f t="array" ref="M31">IFERROR(INDEX(Calculs_CABS!$D$9:$E$900,MATCH(1,(Calculs_CABS!$C$9:$C$900=$E31)*(Calculs_CABS!$B$9:$B$900=M$8),0),2),"")</f>
        <v/>
      </c>
      <c r="N31" s="336" t="str">
        <f t="array" ref="N31">IFERROR(INDEX(Calculs_CABS!$D$9:$E$900,MATCH(1,(Calculs_CABS!$C$9:$C$900=$E31)*(Calculs_CABS!$B$9:$B$900=N$8),0),2),"")</f>
        <v/>
      </c>
      <c r="O31" s="335" t="str">
        <f t="array" ref="O31">IFERROR(INDEX(Calculs_CABS!$D$9:$E$900,MATCH(1,(Calculs_CABS!$C$9:$C$900=$E31)*(Calculs_CABS!$B$9:$B$900=O$8),0),1),"")</f>
        <v/>
      </c>
      <c r="P31" s="335" t="str">
        <f t="array" ref="P31">IFERROR(INDEX(Calculs_CABS!$D$9:$E922,MATCH(1,(Calculs_CABS!$C$9:$C$900=$E31)*(Calculs_CABS!$B$9:$B$900=O$8),0),2),"")</f>
        <v/>
      </c>
      <c r="Q31" s="444"/>
      <c r="R31" s="335" t="str">
        <f t="array" ref="R31">IFERROR(INDEX(Calculs_CABS!$D$9:$E$900,MATCH(1,(Calculs_CABS!$C$9:$C$900=$E31)*(Calculs_CABS!$B$9:$B$900=R$8),0),1),"")</f>
        <v/>
      </c>
      <c r="S31" s="335" t="str">
        <f t="array" ref="S31">IFERROR(INDEX(Calculs_CABS!$D$9:$E$900,MATCH(1,(Calculs_CABS!$C$9:$C$900=$E31)*(Calculs_CABS!$B$9:$B$900=R$8),0),2),"")</f>
        <v/>
      </c>
      <c r="T31" s="444"/>
      <c r="U31" s="335" t="str">
        <f t="array" ref="U31">IFERROR(INDEX(Calculs_CABS!$D$9:$E$900,MATCH(1,(Calculs_CABS!$C$9:$C$900=$E31)*(Calculs_CABS!$B$9:$B$900=U$8),0),1),"")</f>
        <v/>
      </c>
      <c r="V31" s="335" t="str">
        <f t="array" ref="V31">IFERROR(INDEX(Calculs_CABS!$D$9:$E$900,MATCH(1,(Calculs_CABS!$C$9:$C$900=$E31)*(Calculs_CABS!$B$9:$B$900=U$8),0),2),"")</f>
        <v/>
      </c>
      <c r="W31" s="444"/>
      <c r="X31" s="337" t="str">
        <f t="shared" si="1"/>
        <v/>
      </c>
    </row>
    <row r="32" spans="1:24" ht="15.5">
      <c r="A32" s="431"/>
      <c r="B32" s="434"/>
      <c r="C32" s="434"/>
      <c r="D32" s="427"/>
      <c r="E32" s="432"/>
      <c r="F32" s="433"/>
      <c r="G32" s="429"/>
      <c r="H32" s="435"/>
      <c r="I32" s="333" t="str">
        <f t="shared" si="0"/>
        <v/>
      </c>
      <c r="J32" s="334" t="str">
        <f>IFERROR(INDEX(Calculs_CABS!$F$7:$AI$7,1,ROW(E32)-ROW($E$8)),"")</f>
        <v/>
      </c>
      <c r="K32" s="335" t="str">
        <f t="array" ref="K32">IFERROR(INDEX(Calculs_CABS!$D$9:$E$900,MATCH(1,(Calculs_CABS!$C$9:$C$900=$E32)*(Calculs_CABS!$B$9:$B$900=K$8),0),2),"")</f>
        <v/>
      </c>
      <c r="L32" s="335" t="str">
        <f t="array" ref="L32">IFERROR(INDEX(Calculs_CABS!$D$9:$E$900,MATCH(1,(Calculs_CABS!$C$9:$C$900=$E32)*(Calculs_CABS!$B$9:$B$900=L$8),0),2),"")</f>
        <v/>
      </c>
      <c r="M32" s="335" t="str">
        <f t="array" ref="M32">IFERROR(INDEX(Calculs_CABS!$D$9:$E$900,MATCH(1,(Calculs_CABS!$C$9:$C$900=$E32)*(Calculs_CABS!$B$9:$B$900=M$8),0),2),"")</f>
        <v/>
      </c>
      <c r="N32" s="336" t="str">
        <f t="array" ref="N32">IFERROR(INDEX(Calculs_CABS!$D$9:$E$900,MATCH(1,(Calculs_CABS!$C$9:$C$900=$E32)*(Calculs_CABS!$B$9:$B$900=N$8),0),2),"")</f>
        <v/>
      </c>
      <c r="O32" s="335" t="str">
        <f t="array" ref="O32">IFERROR(INDEX(Calculs_CABS!$D$9:$E$900,MATCH(1,(Calculs_CABS!$C$9:$C$900=$E32)*(Calculs_CABS!$B$9:$B$900=O$8),0),1),"")</f>
        <v/>
      </c>
      <c r="P32" s="335" t="str">
        <f t="array" ref="P32">IFERROR(INDEX(Calculs_CABS!$D$9:$E923,MATCH(1,(Calculs_CABS!$C$9:$C$900=$E32)*(Calculs_CABS!$B$9:$B$900=O$8),0),2),"")</f>
        <v/>
      </c>
      <c r="Q32" s="444"/>
      <c r="R32" s="335" t="str">
        <f t="array" ref="R32">IFERROR(INDEX(Calculs_CABS!$D$9:$E$900,MATCH(1,(Calculs_CABS!$C$9:$C$900=$E32)*(Calculs_CABS!$B$9:$B$900=R$8),0),1),"")</f>
        <v/>
      </c>
      <c r="S32" s="335" t="str">
        <f t="array" ref="S32">IFERROR(INDEX(Calculs_CABS!$D$9:$E$900,MATCH(1,(Calculs_CABS!$C$9:$C$900=$E32)*(Calculs_CABS!$B$9:$B$900=R$8),0),2),"")</f>
        <v/>
      </c>
      <c r="T32" s="444"/>
      <c r="U32" s="335" t="str">
        <f t="array" ref="U32">IFERROR(INDEX(Calculs_CABS!$D$9:$E$900,MATCH(1,(Calculs_CABS!$C$9:$C$900=$E32)*(Calculs_CABS!$B$9:$B$900=U$8),0),1),"")</f>
        <v/>
      </c>
      <c r="V32" s="335" t="str">
        <f t="array" ref="V32">IFERROR(INDEX(Calculs_CABS!$D$9:$E$900,MATCH(1,(Calculs_CABS!$C$9:$C$900=$E32)*(Calculs_CABS!$B$9:$B$900=U$8),0),2),"")</f>
        <v/>
      </c>
      <c r="W32" s="444"/>
      <c r="X32" s="337" t="str">
        <f t="shared" si="1"/>
        <v/>
      </c>
    </row>
    <row r="33" spans="1:24" ht="15.5">
      <c r="A33" s="431"/>
      <c r="B33" s="434"/>
      <c r="C33" s="434"/>
      <c r="D33" s="427"/>
      <c r="E33" s="432"/>
      <c r="F33" s="433"/>
      <c r="G33" s="429"/>
      <c r="H33" s="435"/>
      <c r="I33" s="333" t="str">
        <f t="shared" si="0"/>
        <v/>
      </c>
      <c r="J33" s="334" t="str">
        <f>IFERROR(INDEX(Calculs_CABS!$F$7:$AI$7,1,ROW(E33)-ROW($E$8)),"")</f>
        <v/>
      </c>
      <c r="K33" s="335" t="str">
        <f t="array" ref="K33">IFERROR(INDEX(Calculs_CABS!$D$9:$E$900,MATCH(1,(Calculs_CABS!$C$9:$C$900=$E33)*(Calculs_CABS!$B$9:$B$900=K$8),0),2),"")</f>
        <v/>
      </c>
      <c r="L33" s="335" t="str">
        <f t="array" ref="L33">IFERROR(INDEX(Calculs_CABS!$D$9:$E$900,MATCH(1,(Calculs_CABS!$C$9:$C$900=$E33)*(Calculs_CABS!$B$9:$B$900=L$8),0),2),"")</f>
        <v/>
      </c>
      <c r="M33" s="335" t="str">
        <f t="array" ref="M33">IFERROR(INDEX(Calculs_CABS!$D$9:$E$900,MATCH(1,(Calculs_CABS!$C$9:$C$900=$E33)*(Calculs_CABS!$B$9:$B$900=M$8),0),2),"")</f>
        <v/>
      </c>
      <c r="N33" s="336" t="str">
        <f t="array" ref="N33">IFERROR(INDEX(Calculs_CABS!$D$9:$E$900,MATCH(1,(Calculs_CABS!$C$9:$C$900=$E33)*(Calculs_CABS!$B$9:$B$900=N$8),0),2),"")</f>
        <v/>
      </c>
      <c r="O33" s="335" t="str">
        <f t="array" ref="O33">IFERROR(INDEX(Calculs_CABS!$D$9:$E$900,MATCH(1,(Calculs_CABS!$C$9:$C$900=$E33)*(Calculs_CABS!$B$9:$B$900=O$8),0),1),"")</f>
        <v/>
      </c>
      <c r="P33" s="335" t="str">
        <f t="array" ref="P33">IFERROR(INDEX(Calculs_CABS!$D$9:$E924,MATCH(1,(Calculs_CABS!$C$9:$C$900=$E33)*(Calculs_CABS!$B$9:$B$900=O$8),0),2),"")</f>
        <v/>
      </c>
      <c r="Q33" s="444"/>
      <c r="R33" s="335" t="str">
        <f t="array" ref="R33">IFERROR(INDEX(Calculs_CABS!$D$9:$E$900,MATCH(1,(Calculs_CABS!$C$9:$C$900=$E33)*(Calculs_CABS!$B$9:$B$900=R$8),0),1),"")</f>
        <v/>
      </c>
      <c r="S33" s="335" t="str">
        <f t="array" ref="S33">IFERROR(INDEX(Calculs_CABS!$D$9:$E$900,MATCH(1,(Calculs_CABS!$C$9:$C$900=$E33)*(Calculs_CABS!$B$9:$B$900=R$8),0),2),"")</f>
        <v/>
      </c>
      <c r="T33" s="444"/>
      <c r="U33" s="335" t="str">
        <f t="array" ref="U33">IFERROR(INDEX(Calculs_CABS!$D$9:$E$900,MATCH(1,(Calculs_CABS!$C$9:$C$900=$E33)*(Calculs_CABS!$B$9:$B$900=U$8),0),1),"")</f>
        <v/>
      </c>
      <c r="V33" s="335" t="str">
        <f t="array" ref="V33">IFERROR(INDEX(Calculs_CABS!$D$9:$E$900,MATCH(1,(Calculs_CABS!$C$9:$C$900=$E33)*(Calculs_CABS!$B$9:$B$900=U$8),0),2),"")</f>
        <v/>
      </c>
      <c r="W33" s="444"/>
      <c r="X33" s="337" t="str">
        <f t="shared" si="1"/>
        <v/>
      </c>
    </row>
    <row r="34" spans="1:24" ht="15.5">
      <c r="A34" s="431"/>
      <c r="B34" s="434"/>
      <c r="C34" s="434"/>
      <c r="D34" s="427"/>
      <c r="E34" s="432"/>
      <c r="F34" s="433"/>
      <c r="G34" s="429"/>
      <c r="H34" s="435"/>
      <c r="I34" s="333" t="str">
        <f t="shared" si="0"/>
        <v/>
      </c>
      <c r="J34" s="334" t="str">
        <f>IFERROR(INDEX(Calculs_CABS!$F$7:$AI$7,1,ROW(E34)-ROW($E$8)),"")</f>
        <v/>
      </c>
      <c r="K34" s="335" t="str">
        <f t="array" ref="K34">IFERROR(INDEX(Calculs_CABS!$D$9:$E$900,MATCH(1,(Calculs_CABS!$C$9:$C$900=$E34)*(Calculs_CABS!$B$9:$B$900=K$8),0),2),"")</f>
        <v/>
      </c>
      <c r="L34" s="335" t="str">
        <f t="array" ref="L34">IFERROR(INDEX(Calculs_CABS!$D$9:$E$900,MATCH(1,(Calculs_CABS!$C$9:$C$900=$E34)*(Calculs_CABS!$B$9:$B$900=L$8),0),2),"")</f>
        <v/>
      </c>
      <c r="M34" s="335" t="str">
        <f t="array" ref="M34">IFERROR(INDEX(Calculs_CABS!$D$9:$E$900,MATCH(1,(Calculs_CABS!$C$9:$C$900=$E34)*(Calculs_CABS!$B$9:$B$900=M$8),0),2),"")</f>
        <v/>
      </c>
      <c r="N34" s="336" t="str">
        <f t="array" ref="N34">IFERROR(INDEX(Calculs_CABS!$D$9:$E$900,MATCH(1,(Calculs_CABS!$C$9:$C$900=$E34)*(Calculs_CABS!$B$9:$B$900=N$8),0),2),"")</f>
        <v/>
      </c>
      <c r="O34" s="335" t="str">
        <f t="array" ref="O34">IFERROR(INDEX(Calculs_CABS!$D$9:$E$900,MATCH(1,(Calculs_CABS!$C$9:$C$900=$E34)*(Calculs_CABS!$B$9:$B$900=O$8),0),1),"")</f>
        <v/>
      </c>
      <c r="P34" s="335" t="str">
        <f t="array" ref="P34">IFERROR(INDEX(Calculs_CABS!$D$9:$E925,MATCH(1,(Calculs_CABS!$C$9:$C$900=$E34)*(Calculs_CABS!$B$9:$B$900=O$8),0),2),"")</f>
        <v/>
      </c>
      <c r="Q34" s="444"/>
      <c r="R34" s="335" t="str">
        <f t="array" ref="R34">IFERROR(INDEX(Calculs_CABS!$D$9:$E$900,MATCH(1,(Calculs_CABS!$C$9:$C$900=$E34)*(Calculs_CABS!$B$9:$B$900=R$8),0),1),"")</f>
        <v/>
      </c>
      <c r="S34" s="335" t="str">
        <f t="array" ref="S34">IFERROR(INDEX(Calculs_CABS!$D$9:$E$900,MATCH(1,(Calculs_CABS!$C$9:$C$900=$E34)*(Calculs_CABS!$B$9:$B$900=R$8),0),2),"")</f>
        <v/>
      </c>
      <c r="T34" s="444"/>
      <c r="U34" s="335" t="str">
        <f t="array" ref="U34">IFERROR(INDEX(Calculs_CABS!$D$9:$E$900,MATCH(1,(Calculs_CABS!$C$9:$C$900=$E34)*(Calculs_CABS!$B$9:$B$900=U$8),0),1),"")</f>
        <v/>
      </c>
      <c r="V34" s="335" t="str">
        <f t="array" ref="V34">IFERROR(INDEX(Calculs_CABS!$D$9:$E$900,MATCH(1,(Calculs_CABS!$C$9:$C$900=$E34)*(Calculs_CABS!$B$9:$B$900=U$8),0),2),"")</f>
        <v/>
      </c>
      <c r="W34" s="444"/>
      <c r="X34" s="337" t="str">
        <f t="shared" si="1"/>
        <v/>
      </c>
    </row>
    <row r="35" spans="1:24" ht="15.5">
      <c r="A35" s="431"/>
      <c r="B35" s="434"/>
      <c r="C35" s="434"/>
      <c r="D35" s="427"/>
      <c r="E35" s="432"/>
      <c r="F35" s="433"/>
      <c r="G35" s="429"/>
      <c r="H35" s="435"/>
      <c r="I35" s="333" t="str">
        <f t="shared" si="0"/>
        <v/>
      </c>
      <c r="J35" s="334" t="str">
        <f>IFERROR(INDEX(Calculs_CABS!$F$7:$AI$7,1,ROW(E35)-ROW($E$8)),"")</f>
        <v/>
      </c>
      <c r="K35" s="335" t="str">
        <f t="array" ref="K35">IFERROR(INDEX(Calculs_CABS!$D$9:$E$900,MATCH(1,(Calculs_CABS!$C$9:$C$900=$E35)*(Calculs_CABS!$B$9:$B$900=K$8),0),2),"")</f>
        <v/>
      </c>
      <c r="L35" s="335" t="str">
        <f t="array" ref="L35">IFERROR(INDEX(Calculs_CABS!$D$9:$E$900,MATCH(1,(Calculs_CABS!$C$9:$C$900=$E35)*(Calculs_CABS!$B$9:$B$900=L$8),0),2),"")</f>
        <v/>
      </c>
      <c r="M35" s="335" t="str">
        <f t="array" ref="M35">IFERROR(INDEX(Calculs_CABS!$D$9:$E$900,MATCH(1,(Calculs_CABS!$C$9:$C$900=$E35)*(Calculs_CABS!$B$9:$B$900=M$8),0),2),"")</f>
        <v/>
      </c>
      <c r="N35" s="336" t="str">
        <f t="array" ref="N35">IFERROR(INDEX(Calculs_CABS!$D$9:$E$900,MATCH(1,(Calculs_CABS!$C$9:$C$900=$E35)*(Calculs_CABS!$B$9:$B$900=N$8),0),2),"")</f>
        <v/>
      </c>
      <c r="O35" s="335" t="str">
        <f t="array" ref="O35">IFERROR(INDEX(Calculs_CABS!$D$9:$E$900,MATCH(1,(Calculs_CABS!$C$9:$C$900=$E35)*(Calculs_CABS!$B$9:$B$900=O$8),0),1),"")</f>
        <v/>
      </c>
      <c r="P35" s="335" t="str">
        <f t="array" ref="P35">IFERROR(INDEX(Calculs_CABS!$D$9:$E926,MATCH(1,(Calculs_CABS!$C$9:$C$900=$E35)*(Calculs_CABS!$B$9:$B$900=O$8),0),2),"")</f>
        <v/>
      </c>
      <c r="Q35" s="444"/>
      <c r="R35" s="335" t="str">
        <f t="array" ref="R35">IFERROR(INDEX(Calculs_CABS!$D$9:$E$900,MATCH(1,(Calculs_CABS!$C$9:$C$900=$E35)*(Calculs_CABS!$B$9:$B$900=R$8),0),1),"")</f>
        <v/>
      </c>
      <c r="S35" s="335" t="str">
        <f t="array" ref="S35">IFERROR(INDEX(Calculs_CABS!$D$9:$E$900,MATCH(1,(Calculs_CABS!$C$9:$C$900=$E35)*(Calculs_CABS!$B$9:$B$900=R$8),0),2),"")</f>
        <v/>
      </c>
      <c r="T35" s="444"/>
      <c r="U35" s="335" t="str">
        <f t="array" ref="U35">IFERROR(INDEX(Calculs_CABS!$D$9:$E$900,MATCH(1,(Calculs_CABS!$C$9:$C$900=$E35)*(Calculs_CABS!$B$9:$B$900=U$8),0),1),"")</f>
        <v/>
      </c>
      <c r="V35" s="335" t="str">
        <f t="array" ref="V35">IFERROR(INDEX(Calculs_CABS!$D$9:$E$900,MATCH(1,(Calculs_CABS!$C$9:$C$900=$E35)*(Calculs_CABS!$B$9:$B$900=U$8),0),2),"")</f>
        <v/>
      </c>
      <c r="W35" s="444"/>
      <c r="X35" s="337" t="str">
        <f t="shared" si="1"/>
        <v/>
      </c>
    </row>
    <row r="36" spans="1:24" ht="15.5">
      <c r="A36" s="431"/>
      <c r="B36" s="434"/>
      <c r="C36" s="434"/>
      <c r="D36" s="427"/>
      <c r="E36" s="432"/>
      <c r="F36" s="433"/>
      <c r="G36" s="429"/>
      <c r="H36" s="435"/>
      <c r="I36" s="333" t="str">
        <f t="shared" si="0"/>
        <v/>
      </c>
      <c r="J36" s="334" t="str">
        <f>IFERROR(INDEX(Calculs_CABS!$F$7:$AI$7,1,ROW(E36)-ROW($E$8)),"")</f>
        <v/>
      </c>
      <c r="K36" s="335" t="str">
        <f t="array" ref="K36">IFERROR(INDEX(Calculs_CABS!$D$9:$E$900,MATCH(1,(Calculs_CABS!$C$9:$C$900=$E36)*(Calculs_CABS!$B$9:$B$900=K$8),0),2),"")</f>
        <v/>
      </c>
      <c r="L36" s="335" t="str">
        <f t="array" ref="L36">IFERROR(INDEX(Calculs_CABS!$D$9:$E$900,MATCH(1,(Calculs_CABS!$C$9:$C$900=$E36)*(Calculs_CABS!$B$9:$B$900=L$8),0),2),"")</f>
        <v/>
      </c>
      <c r="M36" s="335" t="str">
        <f t="array" ref="M36">IFERROR(INDEX(Calculs_CABS!$D$9:$E$900,MATCH(1,(Calculs_CABS!$C$9:$C$900=$E36)*(Calculs_CABS!$B$9:$B$900=M$8),0),2),"")</f>
        <v/>
      </c>
      <c r="N36" s="336" t="str">
        <f t="array" ref="N36">IFERROR(INDEX(Calculs_CABS!$D$9:$E$900,MATCH(1,(Calculs_CABS!$C$9:$C$900=$E36)*(Calculs_CABS!$B$9:$B$900=N$8),0),2),"")</f>
        <v/>
      </c>
      <c r="O36" s="335" t="str">
        <f t="array" ref="O36">IFERROR(INDEX(Calculs_CABS!$D$9:$E$900,MATCH(1,(Calculs_CABS!$C$9:$C$900=$E36)*(Calculs_CABS!$B$9:$B$900=O$8),0),1),"")</f>
        <v/>
      </c>
      <c r="P36" s="335" t="str">
        <f t="array" ref="P36">IFERROR(INDEX(Calculs_CABS!$D$9:$E927,MATCH(1,(Calculs_CABS!$C$9:$C$900=$E36)*(Calculs_CABS!$B$9:$B$900=O$8),0),2),"")</f>
        <v/>
      </c>
      <c r="Q36" s="444"/>
      <c r="R36" s="335" t="str">
        <f t="array" ref="R36">IFERROR(INDEX(Calculs_CABS!$D$9:$E$900,MATCH(1,(Calculs_CABS!$C$9:$C$900=$E36)*(Calculs_CABS!$B$9:$B$900=R$8),0),1),"")</f>
        <v/>
      </c>
      <c r="S36" s="335" t="str">
        <f t="array" ref="S36">IFERROR(INDEX(Calculs_CABS!$D$9:$E$900,MATCH(1,(Calculs_CABS!$C$9:$C$900=$E36)*(Calculs_CABS!$B$9:$B$900=R$8),0),2),"")</f>
        <v/>
      </c>
      <c r="T36" s="444"/>
      <c r="U36" s="335" t="str">
        <f t="array" ref="U36">IFERROR(INDEX(Calculs_CABS!$D$9:$E$900,MATCH(1,(Calculs_CABS!$C$9:$C$900=$E36)*(Calculs_CABS!$B$9:$B$900=U$8),0),1),"")</f>
        <v/>
      </c>
      <c r="V36" s="335" t="str">
        <f t="array" ref="V36">IFERROR(INDEX(Calculs_CABS!$D$9:$E$900,MATCH(1,(Calculs_CABS!$C$9:$C$900=$E36)*(Calculs_CABS!$B$9:$B$900=U$8),0),2),"")</f>
        <v/>
      </c>
      <c r="W36" s="444"/>
      <c r="X36" s="337" t="str">
        <f t="shared" si="1"/>
        <v/>
      </c>
    </row>
    <row r="37" spans="1:24" ht="15.5">
      <c r="A37" s="431"/>
      <c r="B37" s="434"/>
      <c r="C37" s="434"/>
      <c r="D37" s="427"/>
      <c r="E37" s="432"/>
      <c r="F37" s="433"/>
      <c r="G37" s="429"/>
      <c r="H37" s="435"/>
      <c r="I37" s="333" t="str">
        <f t="shared" si="0"/>
        <v/>
      </c>
      <c r="J37" s="334" t="str">
        <f>IFERROR(INDEX(Calculs_CABS!$F$7:$AI$7,1,ROW(E37)-ROW($E$8)),"")</f>
        <v/>
      </c>
      <c r="K37" s="335" t="str">
        <f t="array" ref="K37">IFERROR(INDEX(Calculs_CABS!$D$9:$E$900,MATCH(1,(Calculs_CABS!$C$9:$C$900=$E37)*(Calculs_CABS!$B$9:$B$900=K$8),0),2),"")</f>
        <v/>
      </c>
      <c r="L37" s="335" t="str">
        <f t="array" ref="L37">IFERROR(INDEX(Calculs_CABS!$D$9:$E$900,MATCH(1,(Calculs_CABS!$C$9:$C$900=$E37)*(Calculs_CABS!$B$9:$B$900=L$8),0),2),"")</f>
        <v/>
      </c>
      <c r="M37" s="335" t="str">
        <f t="array" ref="M37">IFERROR(INDEX(Calculs_CABS!$D$9:$E$900,MATCH(1,(Calculs_CABS!$C$9:$C$900=$E37)*(Calculs_CABS!$B$9:$B$900=M$8),0),2),"")</f>
        <v/>
      </c>
      <c r="N37" s="336" t="str">
        <f t="array" ref="N37">IFERROR(INDEX(Calculs_CABS!$D$9:$E$900,MATCH(1,(Calculs_CABS!$C$9:$C$900=$E37)*(Calculs_CABS!$B$9:$B$900=N$8),0),2),"")</f>
        <v/>
      </c>
      <c r="O37" s="335" t="str">
        <f t="array" ref="O37">IFERROR(INDEX(Calculs_CABS!$D$9:$E$900,MATCH(1,(Calculs_CABS!$C$9:$C$900=$E37)*(Calculs_CABS!$B$9:$B$900=O$8),0),1),"")</f>
        <v/>
      </c>
      <c r="P37" s="335" t="str">
        <f t="array" ref="P37">IFERROR(INDEX(Calculs_CABS!$D$9:$E928,MATCH(1,(Calculs_CABS!$C$9:$C$900=$E37)*(Calculs_CABS!$B$9:$B$900=O$8),0),2),"")</f>
        <v/>
      </c>
      <c r="Q37" s="444"/>
      <c r="R37" s="335" t="str">
        <f t="array" ref="R37">IFERROR(INDEX(Calculs_CABS!$D$9:$E$900,MATCH(1,(Calculs_CABS!$C$9:$C$900=$E37)*(Calculs_CABS!$B$9:$B$900=R$8),0),1),"")</f>
        <v/>
      </c>
      <c r="S37" s="335" t="str">
        <f t="array" ref="S37">IFERROR(INDEX(Calculs_CABS!$D$9:$E$900,MATCH(1,(Calculs_CABS!$C$9:$C$900=$E37)*(Calculs_CABS!$B$9:$B$900=R$8),0),2),"")</f>
        <v/>
      </c>
      <c r="T37" s="444"/>
      <c r="U37" s="335" t="str">
        <f t="array" ref="U37">IFERROR(INDEX(Calculs_CABS!$D$9:$E$900,MATCH(1,(Calculs_CABS!$C$9:$C$900=$E37)*(Calculs_CABS!$B$9:$B$900=U$8),0),1),"")</f>
        <v/>
      </c>
      <c r="V37" s="335" t="str">
        <f t="array" ref="V37">IFERROR(INDEX(Calculs_CABS!$D$9:$E$900,MATCH(1,(Calculs_CABS!$C$9:$C$900=$E37)*(Calculs_CABS!$B$9:$B$900=U$8),0),2),"")</f>
        <v/>
      </c>
      <c r="W37" s="444"/>
      <c r="X37" s="337" t="str">
        <f t="shared" si="1"/>
        <v/>
      </c>
    </row>
    <row r="38" spans="1:24" ht="16" thickBot="1">
      <c r="A38" s="436"/>
      <c r="B38" s="437"/>
      <c r="C38" s="437"/>
      <c r="D38" s="438"/>
      <c r="E38" s="439"/>
      <c r="F38" s="440"/>
      <c r="G38" s="441"/>
      <c r="H38" s="442"/>
      <c r="I38" s="338" t="str">
        <f t="shared" si="0"/>
        <v/>
      </c>
      <c r="J38" s="339" t="str">
        <f>IFERROR(INDEX(Calculs_CABS!$F$7:$AI$7,1,ROW(E38)-ROW($E$8)),"")</f>
        <v/>
      </c>
      <c r="K38" s="340" t="str">
        <f t="array" ref="K38">IFERROR(INDEX(Calculs_CABS!$D$9:$E$900,MATCH(1,(Calculs_CABS!$C$9:$C$900=$E38)*(Calculs_CABS!$B$9:$B$900=K$8),0),2),"")</f>
        <v/>
      </c>
      <c r="L38" s="340" t="str">
        <f t="array" ref="L38">IFERROR(INDEX(Calculs_CABS!$D$9:$E$900,MATCH(1,(Calculs_CABS!$C$9:$C$900=$E38)*(Calculs_CABS!$B$9:$B$900=L$8),0),2),"")</f>
        <v/>
      </c>
      <c r="M38" s="340" t="str">
        <f t="array" ref="M38">IFERROR(INDEX(Calculs_CABS!$D$9:$E$900,MATCH(1,(Calculs_CABS!$C$9:$C$900=$E38)*(Calculs_CABS!$B$9:$B$900=M$8),0),2),"")</f>
        <v/>
      </c>
      <c r="N38" s="341" t="str">
        <f t="array" ref="N38">IFERROR(INDEX(Calculs_CABS!$D$9:$E$900,MATCH(1,(Calculs_CABS!$C$9:$C$900=$E38)*(Calculs_CABS!$B$9:$B$900=N$8),0),2),"")</f>
        <v/>
      </c>
      <c r="O38" s="340" t="str">
        <f t="array" ref="O38">IFERROR(INDEX(Calculs_CABS!$D$9:$E$900,MATCH(1,(Calculs_CABS!$C$9:$C$900=$E38)*(Calculs_CABS!$B$9:$B$900=O$8),0),1),"")</f>
        <v/>
      </c>
      <c r="P38" s="340" t="str">
        <f t="array" ref="P38">IFERROR(INDEX(Calculs_CABS!$D$9:$E929,MATCH(1,(Calculs_CABS!$C$9:$C$900=$E38)*(Calculs_CABS!$B$9:$B$900=O$8),0),2),"")</f>
        <v/>
      </c>
      <c r="Q38" s="446"/>
      <c r="R38" s="340" t="str">
        <f t="array" ref="R38">IFERROR(INDEX(Calculs_CABS!$D$9:$E$900,MATCH(1,(Calculs_CABS!$C$9:$C$900=$E38)*(Calculs_CABS!$B$9:$B$900=R$8),0),1),"")</f>
        <v/>
      </c>
      <c r="S38" s="340" t="str">
        <f t="array" ref="S38">IFERROR(INDEX(Calculs_CABS!$D$9:$E$900,MATCH(1,(Calculs_CABS!$C$9:$C$900=$E38)*(Calculs_CABS!$B$9:$B$900=R$8),0),2),"")</f>
        <v/>
      </c>
      <c r="T38" s="446"/>
      <c r="U38" s="340" t="str">
        <f t="array" ref="U38">IFERROR(INDEX(Calculs_CABS!$D$9:$E$900,MATCH(1,(Calculs_CABS!$C$9:$C$900=$E38)*(Calculs_CABS!$B$9:$B$900=U$8),0),1),"")</f>
        <v/>
      </c>
      <c r="V38" s="340" t="str">
        <f t="array" ref="V38">IFERROR(INDEX(Calculs_CABS!$D$9:$E$900,MATCH(1,(Calculs_CABS!$C$9:$C$900=$E38)*(Calculs_CABS!$B$9:$B$900=U$8),0),2),"")</f>
        <v/>
      </c>
      <c r="W38" s="446"/>
      <c r="X38" s="342" t="str">
        <f t="shared" si="1"/>
        <v/>
      </c>
    </row>
    <row r="39" spans="1:24">
      <c r="A39" s="424"/>
      <c r="B39" s="424"/>
      <c r="C39" s="424"/>
      <c r="D39" s="424"/>
      <c r="I39" s="424"/>
      <c r="J39" s="424"/>
      <c r="K39" s="424"/>
      <c r="L39" s="424"/>
      <c r="M39" s="424"/>
      <c r="N39" s="424"/>
      <c r="O39" s="424"/>
      <c r="R39" s="419"/>
    </row>
    <row r="40" spans="1:24">
      <c r="A40" s="424"/>
      <c r="B40" s="424"/>
      <c r="C40" s="424"/>
      <c r="D40" s="424"/>
      <c r="I40" s="424"/>
      <c r="J40" s="424"/>
      <c r="K40" s="424"/>
      <c r="L40" s="424"/>
      <c r="M40" s="424"/>
      <c r="N40" s="424"/>
      <c r="O40" s="424"/>
    </row>
    <row r="41" spans="1:24">
      <c r="A41" s="424"/>
      <c r="B41" s="424"/>
      <c r="C41" s="424"/>
      <c r="D41" s="424"/>
      <c r="E41" s="424"/>
      <c r="F41" s="424"/>
      <c r="G41" s="424"/>
      <c r="H41" s="424"/>
      <c r="I41" s="424"/>
      <c r="J41" s="424"/>
      <c r="K41" s="424"/>
      <c r="L41" s="424"/>
      <c r="M41" s="424"/>
      <c r="N41" s="424"/>
      <c r="O41" s="424"/>
    </row>
    <row r="42" spans="1:24">
      <c r="A42" s="424"/>
      <c r="B42" s="424"/>
      <c r="C42" s="424"/>
      <c r="D42" s="424"/>
      <c r="E42" s="424"/>
      <c r="F42" s="424"/>
      <c r="G42" s="424"/>
      <c r="H42" s="424"/>
      <c r="I42" s="424"/>
      <c r="J42" s="424"/>
      <c r="K42" s="424"/>
      <c r="L42" s="424"/>
      <c r="M42" s="424"/>
      <c r="N42" s="424"/>
      <c r="O42" s="424"/>
    </row>
  </sheetData>
  <sheetProtection sheet="1" objects="1" scenarios="1" formatColumns="0"/>
  <mergeCells count="2">
    <mergeCell ref="B5:B7"/>
    <mergeCell ref="C5:C7"/>
  </mergeCells>
  <dataValidations count="1">
    <dataValidation type="list" allowBlank="1" showInputMessage="1" showErrorMessage="1" sqref="E9:E38" xr:uid="{00000000-0002-0000-0400-000000000000}">
      <formula1>INDIRECT($D9)</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1000000}">
          <x14:formula1>
            <xm:f>Liste_CABS!$F$3:$F$12</xm:f>
          </x14:formula1>
          <xm:sqref>D9:D38</xm:sqref>
        </x14:dataValidation>
        <x14:dataValidation type="list" allowBlank="1" showInputMessage="1" showErrorMessage="1" xr:uid="{00000000-0002-0000-0400-000002000000}">
          <x14:formula1>
            <xm:f>Liste!$S$16:$S$17</xm:f>
          </x14:formula1>
          <xm:sqref>G9:H38</xm:sqref>
        </x14:dataValidation>
        <x14:dataValidation type="list" allowBlank="1" showInputMessage="1" showErrorMessage="1" xr:uid="{ACE474C5-02A7-4AA2-95A6-DC2295E82648}">
          <x14:formula1>
            <xm:f>Liste!$A$54:$A$74</xm:f>
          </x14:formula1>
          <xm:sqref>B9:C38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3">
    <tabColor theme="9"/>
  </sheetPr>
  <dimension ref="A1:S5172"/>
  <sheetViews>
    <sheetView zoomScale="70" zoomScaleNormal="70" workbookViewId="0">
      <selection activeCell="C1" sqref="C1"/>
    </sheetView>
  </sheetViews>
  <sheetFormatPr baseColWidth="10" defaultColWidth="11.453125" defaultRowHeight="14.5"/>
  <cols>
    <col min="1" max="1" width="13.81640625" style="413" bestFit="1" customWidth="1"/>
    <col min="2" max="2" width="7.90625" customWidth="1"/>
    <col min="3" max="3" width="6.6328125" customWidth="1"/>
    <col min="4" max="4" width="5" customWidth="1"/>
    <col min="5" max="5" width="18.81640625" customWidth="1"/>
    <col min="6" max="6" width="17.7265625" customWidth="1"/>
    <col min="7" max="7" width="11.453125" style="515"/>
    <col min="8" max="8" width="26.1796875" style="515" bestFit="1" customWidth="1"/>
    <col min="9" max="9" width="33.36328125" style="515" bestFit="1" customWidth="1"/>
    <col min="10" max="10" width="8.54296875" style="515" customWidth="1"/>
    <col min="11" max="11" width="0.7265625" style="515" customWidth="1"/>
    <col min="12" max="12" width="26.1796875" style="515" bestFit="1" customWidth="1"/>
    <col min="13" max="13" width="31.453125" style="515" bestFit="1" customWidth="1"/>
    <col min="14" max="14" width="9.7265625" style="515" customWidth="1"/>
    <col min="15" max="15" width="26.1796875" style="515" bestFit="1" customWidth="1"/>
    <col min="16" max="16" width="33.81640625" style="515" bestFit="1" customWidth="1"/>
    <col min="17" max="17" width="31.90625" style="515" bestFit="1" customWidth="1"/>
    <col min="18" max="27" width="7.7265625" style="515" bestFit="1" customWidth="1"/>
    <col min="28" max="28" width="6.7265625" style="515" bestFit="1" customWidth="1"/>
    <col min="29" max="31" width="7.7265625" style="515" bestFit="1" customWidth="1"/>
    <col min="32" max="32" width="18.453125" style="515" bestFit="1" customWidth="1"/>
    <col min="33" max="33" width="11.7265625" style="515" bestFit="1" customWidth="1"/>
    <col min="34" max="16384" width="11.453125" style="515"/>
  </cols>
  <sheetData>
    <row r="1" spans="1:17">
      <c r="A1" s="29" t="s">
        <v>839</v>
      </c>
      <c r="B1" s="29" t="s">
        <v>266</v>
      </c>
      <c r="C1" s="29" t="s">
        <v>429</v>
      </c>
      <c r="D1" s="29" t="s">
        <v>430</v>
      </c>
      <c r="E1" s="29" t="s">
        <v>431</v>
      </c>
      <c r="F1" s="29" t="s">
        <v>432</v>
      </c>
      <c r="H1" s="32" t="s">
        <v>447</v>
      </c>
      <c r="N1" s="515" t="s">
        <v>449</v>
      </c>
    </row>
    <row r="2" spans="1:17" ht="20.65" customHeight="1">
      <c r="A2" s="481" t="s">
        <v>75</v>
      </c>
      <c r="B2" s="481">
        <v>2001</v>
      </c>
      <c r="C2" s="481" t="s">
        <v>73</v>
      </c>
      <c r="D2" s="481">
        <v>1</v>
      </c>
      <c r="E2" s="481">
        <v>382</v>
      </c>
      <c r="F2" s="481">
        <v>0</v>
      </c>
      <c r="H2" s="515" t="s">
        <v>451</v>
      </c>
      <c r="M2" s="515" t="s">
        <v>452</v>
      </c>
      <c r="N2" s="163" t="s">
        <v>450</v>
      </c>
    </row>
    <row r="3" spans="1:17" ht="44.25" customHeight="1">
      <c r="A3" s="481" t="s">
        <v>75</v>
      </c>
      <c r="B3" s="481">
        <v>2001</v>
      </c>
      <c r="C3" s="481" t="s">
        <v>76</v>
      </c>
      <c r="D3" s="481">
        <v>2</v>
      </c>
      <c r="E3" s="481">
        <v>322</v>
      </c>
      <c r="F3" s="481">
        <v>0</v>
      </c>
      <c r="H3" s="163"/>
    </row>
    <row r="4" spans="1:17" ht="20.65" customHeight="1">
      <c r="A4" s="481" t="s">
        <v>75</v>
      </c>
      <c r="B4" s="481">
        <v>2001</v>
      </c>
      <c r="C4" s="481" t="s">
        <v>78</v>
      </c>
      <c r="D4" s="481">
        <v>3</v>
      </c>
      <c r="E4" s="481">
        <v>259</v>
      </c>
      <c r="F4" s="481">
        <v>0</v>
      </c>
      <c r="H4" s="89" t="s">
        <v>448</v>
      </c>
    </row>
    <row r="5" spans="1:17" ht="20.65" customHeight="1">
      <c r="A5" s="481" t="s">
        <v>75</v>
      </c>
      <c r="B5" s="481">
        <v>2001</v>
      </c>
      <c r="C5" s="481" t="s">
        <v>80</v>
      </c>
      <c r="D5" s="481">
        <v>4</v>
      </c>
      <c r="E5" s="481">
        <v>246</v>
      </c>
      <c r="F5" s="481">
        <v>1</v>
      </c>
      <c r="H5" s="89" t="s">
        <v>840</v>
      </c>
    </row>
    <row r="6" spans="1:17" ht="20.65" customHeight="1">
      <c r="A6" s="481" t="s">
        <v>75</v>
      </c>
      <c r="B6" s="481">
        <v>2001</v>
      </c>
      <c r="C6" s="481" t="s">
        <v>81</v>
      </c>
      <c r="D6" s="481">
        <v>5</v>
      </c>
      <c r="E6" s="481">
        <v>106</v>
      </c>
      <c r="F6" s="481">
        <v>37</v>
      </c>
    </row>
    <row r="7" spans="1:17" ht="20.65" customHeight="1">
      <c r="A7" s="481" t="s">
        <v>75</v>
      </c>
      <c r="B7" s="481">
        <v>2001</v>
      </c>
      <c r="C7" s="481" t="s">
        <v>82</v>
      </c>
      <c r="D7" s="481">
        <v>6</v>
      </c>
      <c r="E7" s="481">
        <v>70</v>
      </c>
      <c r="F7" s="481">
        <v>60</v>
      </c>
    </row>
    <row r="8" spans="1:17" ht="20.65" customHeight="1">
      <c r="A8" s="481" t="s">
        <v>75</v>
      </c>
      <c r="B8" s="481">
        <v>2001</v>
      </c>
      <c r="C8" s="481" t="s">
        <v>83</v>
      </c>
      <c r="D8" s="481">
        <v>7</v>
      </c>
      <c r="E8" s="481">
        <v>33</v>
      </c>
      <c r="F8" s="481">
        <v>92</v>
      </c>
    </row>
    <row r="9" spans="1:17" ht="20.65" customHeight="1">
      <c r="A9" s="481" t="s">
        <v>75</v>
      </c>
      <c r="B9" s="481">
        <v>2001</v>
      </c>
      <c r="C9" s="481" t="s">
        <v>84</v>
      </c>
      <c r="D9" s="481">
        <v>8</v>
      </c>
      <c r="E9" s="481">
        <v>30</v>
      </c>
      <c r="F9" s="481">
        <v>99</v>
      </c>
    </row>
    <row r="10" spans="1:17">
      <c r="A10" s="481" t="s">
        <v>75</v>
      </c>
      <c r="B10" s="481">
        <v>2001</v>
      </c>
      <c r="C10" s="481" t="s">
        <v>85</v>
      </c>
      <c r="D10" s="481">
        <v>9</v>
      </c>
      <c r="E10" s="481">
        <v>115</v>
      </c>
      <c r="F10" s="481">
        <v>11</v>
      </c>
      <c r="O10" s="32" t="s">
        <v>837</v>
      </c>
    </row>
    <row r="11" spans="1:17">
      <c r="A11" s="481" t="s">
        <v>75</v>
      </c>
      <c r="B11" s="481">
        <v>2001</v>
      </c>
      <c r="C11" s="481" t="s">
        <v>86</v>
      </c>
      <c r="D11" s="481">
        <v>10</v>
      </c>
      <c r="E11" s="481">
        <v>87</v>
      </c>
      <c r="F11" s="481">
        <v>15</v>
      </c>
      <c r="H11" s="515" t="s">
        <v>717</v>
      </c>
      <c r="L11" s="515" t="s">
        <v>716</v>
      </c>
      <c r="O11" s="165" t="s">
        <v>838</v>
      </c>
    </row>
    <row r="12" spans="1:17">
      <c r="A12" s="481" t="s">
        <v>75</v>
      </c>
      <c r="B12" s="481">
        <v>2001</v>
      </c>
      <c r="C12" s="481" t="s">
        <v>87</v>
      </c>
      <c r="D12" s="481">
        <v>11</v>
      </c>
      <c r="E12" s="481">
        <v>330</v>
      </c>
      <c r="F12" s="481">
        <v>0</v>
      </c>
    </row>
    <row r="13" spans="1:17">
      <c r="A13" s="481" t="s">
        <v>75</v>
      </c>
      <c r="B13" s="481">
        <v>2001</v>
      </c>
      <c r="C13" s="481" t="s">
        <v>88</v>
      </c>
      <c r="D13" s="481">
        <v>12</v>
      </c>
      <c r="E13" s="481">
        <v>443</v>
      </c>
      <c r="F13" s="481">
        <v>0</v>
      </c>
      <c r="H13" s="180" t="s">
        <v>64</v>
      </c>
      <c r="I13" s="515" t="s">
        <v>79</v>
      </c>
      <c r="L13" s="180" t="s">
        <v>64</v>
      </c>
      <c r="M13" s="515" t="s">
        <v>433</v>
      </c>
      <c r="O13" s="180" t="s">
        <v>64</v>
      </c>
      <c r="P13" s="515" t="s">
        <v>883</v>
      </c>
      <c r="Q13" s="515" t="s">
        <v>884</v>
      </c>
    </row>
    <row r="14" spans="1:17">
      <c r="A14" s="481" t="s">
        <v>75</v>
      </c>
      <c r="B14" s="481">
        <v>2002</v>
      </c>
      <c r="C14" s="481" t="s">
        <v>73</v>
      </c>
      <c r="D14" s="481">
        <v>1</v>
      </c>
      <c r="E14" s="481">
        <v>342</v>
      </c>
      <c r="F14" s="481">
        <v>0</v>
      </c>
      <c r="H14" s="89">
        <v>2001</v>
      </c>
      <c r="I14" s="241">
        <v>2423</v>
      </c>
      <c r="L14" s="89">
        <v>2001</v>
      </c>
      <c r="M14" s="241">
        <v>315</v>
      </c>
      <c r="O14" s="89">
        <v>2001</v>
      </c>
      <c r="P14" s="241">
        <v>12</v>
      </c>
      <c r="Q14" s="241">
        <v>12</v>
      </c>
    </row>
    <row r="15" spans="1:17">
      <c r="A15" s="481" t="s">
        <v>75</v>
      </c>
      <c r="B15" s="481">
        <v>2002</v>
      </c>
      <c r="C15" s="481" t="s">
        <v>76</v>
      </c>
      <c r="D15" s="481">
        <v>2</v>
      </c>
      <c r="E15" s="481">
        <v>262</v>
      </c>
      <c r="F15" s="481">
        <v>0</v>
      </c>
      <c r="H15" s="89">
        <v>2002</v>
      </c>
      <c r="I15" s="241">
        <v>2195</v>
      </c>
      <c r="L15" s="89">
        <v>2002</v>
      </c>
      <c r="M15" s="241">
        <v>234</v>
      </c>
      <c r="O15" s="89">
        <v>2002</v>
      </c>
      <c r="P15" s="241">
        <v>12</v>
      </c>
      <c r="Q15" s="241">
        <v>12</v>
      </c>
    </row>
    <row r="16" spans="1:17">
      <c r="A16" s="481" t="s">
        <v>75</v>
      </c>
      <c r="B16" s="481">
        <v>2002</v>
      </c>
      <c r="C16" s="481" t="s">
        <v>78</v>
      </c>
      <c r="D16" s="481">
        <v>3</v>
      </c>
      <c r="E16" s="481">
        <v>281</v>
      </c>
      <c r="F16" s="481">
        <v>0</v>
      </c>
      <c r="H16" s="89">
        <v>2003</v>
      </c>
      <c r="I16" s="241">
        <v>2384</v>
      </c>
      <c r="L16" s="89">
        <v>2003</v>
      </c>
      <c r="M16" s="241">
        <v>517</v>
      </c>
      <c r="O16" s="89">
        <v>2003</v>
      </c>
      <c r="P16" s="241">
        <v>12</v>
      </c>
      <c r="Q16" s="241">
        <v>12</v>
      </c>
    </row>
    <row r="17" spans="1:19">
      <c r="A17" s="481" t="s">
        <v>75</v>
      </c>
      <c r="B17" s="481">
        <v>2002</v>
      </c>
      <c r="C17" s="481" t="s">
        <v>80</v>
      </c>
      <c r="D17" s="481">
        <v>4</v>
      </c>
      <c r="E17" s="481">
        <v>202</v>
      </c>
      <c r="F17" s="481">
        <v>5</v>
      </c>
      <c r="H17" s="89">
        <v>2004</v>
      </c>
      <c r="I17" s="241">
        <v>2472</v>
      </c>
      <c r="L17" s="89">
        <v>2004</v>
      </c>
      <c r="M17" s="241">
        <v>341</v>
      </c>
      <c r="O17" s="89">
        <v>2004</v>
      </c>
      <c r="P17" s="241">
        <v>12</v>
      </c>
      <c r="Q17" s="241">
        <v>12</v>
      </c>
    </row>
    <row r="18" spans="1:19">
      <c r="A18" s="481" t="s">
        <v>75</v>
      </c>
      <c r="B18" s="481">
        <v>2002</v>
      </c>
      <c r="C18" s="481" t="s">
        <v>81</v>
      </c>
      <c r="D18" s="481">
        <v>5</v>
      </c>
      <c r="E18" s="481">
        <v>147</v>
      </c>
      <c r="F18" s="481">
        <v>14</v>
      </c>
      <c r="H18" s="89">
        <v>2005</v>
      </c>
      <c r="I18" s="241">
        <v>2428</v>
      </c>
      <c r="L18" s="89">
        <v>2005</v>
      </c>
      <c r="M18" s="241">
        <v>414</v>
      </c>
      <c r="O18" s="89">
        <v>2005</v>
      </c>
      <c r="P18" s="241">
        <v>12</v>
      </c>
      <c r="Q18" s="241">
        <v>12</v>
      </c>
      <c r="S18" s="163"/>
    </row>
    <row r="19" spans="1:19">
      <c r="A19" s="481" t="s">
        <v>75</v>
      </c>
      <c r="B19" s="481">
        <v>2002</v>
      </c>
      <c r="C19" s="481" t="s">
        <v>82</v>
      </c>
      <c r="D19" s="481">
        <v>6</v>
      </c>
      <c r="E19" s="481">
        <v>59</v>
      </c>
      <c r="F19" s="481">
        <v>55</v>
      </c>
      <c r="H19" s="89">
        <v>2006</v>
      </c>
      <c r="I19" s="241">
        <v>2355</v>
      </c>
      <c r="L19" s="89">
        <v>2006</v>
      </c>
      <c r="M19" s="241">
        <v>454</v>
      </c>
      <c r="O19" s="89">
        <v>2006</v>
      </c>
      <c r="P19" s="241">
        <v>12</v>
      </c>
      <c r="Q19" s="241">
        <v>12</v>
      </c>
    </row>
    <row r="20" spans="1:19">
      <c r="A20" s="481" t="s">
        <v>75</v>
      </c>
      <c r="B20" s="481">
        <v>2002</v>
      </c>
      <c r="C20" s="481" t="s">
        <v>83</v>
      </c>
      <c r="D20" s="481">
        <v>7</v>
      </c>
      <c r="E20" s="481">
        <v>50</v>
      </c>
      <c r="F20" s="481">
        <v>67</v>
      </c>
      <c r="H20" s="89">
        <v>2007</v>
      </c>
      <c r="I20" s="241">
        <v>2261</v>
      </c>
      <c r="L20" s="89">
        <v>2007</v>
      </c>
      <c r="M20" s="241">
        <v>229</v>
      </c>
      <c r="O20" s="89">
        <v>2007</v>
      </c>
      <c r="P20" s="241">
        <v>12</v>
      </c>
      <c r="Q20" s="241">
        <v>12</v>
      </c>
    </row>
    <row r="21" spans="1:19">
      <c r="A21" s="481" t="s">
        <v>75</v>
      </c>
      <c r="B21" s="481">
        <v>2002</v>
      </c>
      <c r="C21" s="481" t="s">
        <v>84</v>
      </c>
      <c r="D21" s="481">
        <v>8</v>
      </c>
      <c r="E21" s="481">
        <v>39</v>
      </c>
      <c r="F21" s="481">
        <v>63</v>
      </c>
      <c r="H21" s="89">
        <v>2008</v>
      </c>
      <c r="I21" s="241">
        <v>2436</v>
      </c>
      <c r="L21" s="89">
        <v>2008</v>
      </c>
      <c r="M21" s="241">
        <v>262</v>
      </c>
      <c r="O21" s="89">
        <v>2008</v>
      </c>
      <c r="P21" s="241">
        <v>12</v>
      </c>
      <c r="Q21" s="241">
        <v>12</v>
      </c>
    </row>
    <row r="22" spans="1:19">
      <c r="A22" s="481" t="s">
        <v>75</v>
      </c>
      <c r="B22" s="481">
        <v>2002</v>
      </c>
      <c r="C22" s="481" t="s">
        <v>85</v>
      </c>
      <c r="D22" s="481">
        <v>9</v>
      </c>
      <c r="E22" s="481">
        <v>92</v>
      </c>
      <c r="F22" s="481">
        <v>27</v>
      </c>
      <c r="H22" s="89">
        <v>2009</v>
      </c>
      <c r="I22" s="241">
        <v>2448</v>
      </c>
      <c r="L22" s="89">
        <v>2009</v>
      </c>
      <c r="M22" s="241">
        <v>359</v>
      </c>
      <c r="O22" s="89">
        <v>2009</v>
      </c>
      <c r="P22" s="241">
        <v>12</v>
      </c>
      <c r="Q22" s="241">
        <v>12</v>
      </c>
    </row>
    <row r="23" spans="1:19">
      <c r="A23" s="481" t="s">
        <v>75</v>
      </c>
      <c r="B23" s="481">
        <v>2002</v>
      </c>
      <c r="C23" s="481" t="s">
        <v>86</v>
      </c>
      <c r="D23" s="481">
        <v>10</v>
      </c>
      <c r="E23" s="481">
        <v>158</v>
      </c>
      <c r="F23" s="481">
        <v>3</v>
      </c>
      <c r="H23" s="89">
        <v>2010</v>
      </c>
      <c r="I23" s="241">
        <v>2751</v>
      </c>
      <c r="L23" s="89">
        <v>2010</v>
      </c>
      <c r="M23" s="241">
        <v>350</v>
      </c>
      <c r="O23" s="89">
        <v>2010</v>
      </c>
      <c r="P23" s="241">
        <v>12</v>
      </c>
      <c r="Q23" s="241">
        <v>12</v>
      </c>
    </row>
    <row r="24" spans="1:19">
      <c r="A24" s="481" t="s">
        <v>75</v>
      </c>
      <c r="B24" s="481">
        <v>2002</v>
      </c>
      <c r="C24" s="481" t="s">
        <v>87</v>
      </c>
      <c r="D24" s="481">
        <v>11</v>
      </c>
      <c r="E24" s="481">
        <v>249</v>
      </c>
      <c r="F24" s="481">
        <v>0</v>
      </c>
      <c r="H24" s="89">
        <v>2011</v>
      </c>
      <c r="I24" s="241">
        <v>2034</v>
      </c>
      <c r="L24" s="89">
        <v>2011</v>
      </c>
      <c r="M24" s="241">
        <v>341</v>
      </c>
      <c r="O24" s="89">
        <v>2011</v>
      </c>
      <c r="P24" s="241">
        <v>12</v>
      </c>
      <c r="Q24" s="241">
        <v>12</v>
      </c>
    </row>
    <row r="25" spans="1:19">
      <c r="A25" s="481" t="s">
        <v>75</v>
      </c>
      <c r="B25" s="481">
        <v>2002</v>
      </c>
      <c r="C25" s="481" t="s">
        <v>88</v>
      </c>
      <c r="D25" s="481">
        <v>12</v>
      </c>
      <c r="E25" s="481">
        <v>314</v>
      </c>
      <c r="F25" s="481">
        <v>0</v>
      </c>
      <c r="H25" s="89">
        <v>2012</v>
      </c>
      <c r="I25" s="241">
        <v>2459</v>
      </c>
      <c r="L25" s="89">
        <v>2012</v>
      </c>
      <c r="M25" s="241">
        <v>289</v>
      </c>
      <c r="O25" s="89">
        <v>2012</v>
      </c>
      <c r="P25" s="241">
        <v>12</v>
      </c>
      <c r="Q25" s="241">
        <v>12</v>
      </c>
    </row>
    <row r="26" spans="1:19">
      <c r="A26" s="481" t="s">
        <v>75</v>
      </c>
      <c r="B26" s="481">
        <v>2003</v>
      </c>
      <c r="C26" s="481" t="s">
        <v>73</v>
      </c>
      <c r="D26" s="481">
        <v>1</v>
      </c>
      <c r="E26" s="481">
        <v>451</v>
      </c>
      <c r="F26" s="481">
        <v>0</v>
      </c>
      <c r="H26" s="89">
        <v>2013</v>
      </c>
      <c r="I26" s="241">
        <v>2576</v>
      </c>
      <c r="L26" s="89">
        <v>2013</v>
      </c>
      <c r="M26" s="241">
        <v>354</v>
      </c>
      <c r="O26" s="89">
        <v>2013</v>
      </c>
      <c r="P26" s="241">
        <v>12</v>
      </c>
      <c r="Q26" s="241">
        <v>12</v>
      </c>
    </row>
    <row r="27" spans="1:19">
      <c r="A27" s="481" t="s">
        <v>75</v>
      </c>
      <c r="B27" s="481">
        <v>2003</v>
      </c>
      <c r="C27" s="481" t="s">
        <v>76</v>
      </c>
      <c r="D27" s="481">
        <v>2</v>
      </c>
      <c r="E27" s="481">
        <v>368</v>
      </c>
      <c r="F27" s="481">
        <v>0</v>
      </c>
      <c r="H27" s="89">
        <v>2014</v>
      </c>
      <c r="I27" s="241">
        <v>2064</v>
      </c>
      <c r="L27" s="89">
        <v>2014</v>
      </c>
      <c r="M27" s="241">
        <v>315</v>
      </c>
      <c r="O27" s="89">
        <v>2014</v>
      </c>
      <c r="P27" s="241">
        <v>12</v>
      </c>
      <c r="Q27" s="241">
        <v>12</v>
      </c>
    </row>
    <row r="28" spans="1:19">
      <c r="A28" s="481" t="s">
        <v>75</v>
      </c>
      <c r="B28" s="481">
        <v>2003</v>
      </c>
      <c r="C28" s="481" t="s">
        <v>78</v>
      </c>
      <c r="D28" s="481">
        <v>3</v>
      </c>
      <c r="E28" s="481">
        <v>234</v>
      </c>
      <c r="F28" s="481">
        <v>4</v>
      </c>
      <c r="H28" s="89">
        <v>2015</v>
      </c>
      <c r="I28" s="241">
        <v>2183</v>
      </c>
      <c r="L28" s="89">
        <v>2015</v>
      </c>
      <c r="M28" s="241">
        <v>374</v>
      </c>
      <c r="O28" s="89">
        <v>2015</v>
      </c>
      <c r="P28" s="241">
        <v>12</v>
      </c>
      <c r="Q28" s="241">
        <v>12</v>
      </c>
    </row>
    <row r="29" spans="1:19">
      <c r="A29" s="481" t="s">
        <v>75</v>
      </c>
      <c r="B29" s="481">
        <v>2003</v>
      </c>
      <c r="C29" s="481" t="s">
        <v>80</v>
      </c>
      <c r="D29" s="481">
        <v>4</v>
      </c>
      <c r="E29" s="481">
        <v>198</v>
      </c>
      <c r="F29" s="481">
        <v>13</v>
      </c>
      <c r="H29" s="89">
        <v>2016</v>
      </c>
      <c r="I29" s="241">
        <v>2421</v>
      </c>
      <c r="L29" s="89">
        <v>2016</v>
      </c>
      <c r="M29" s="241">
        <v>381</v>
      </c>
      <c r="O29" s="89">
        <v>2016</v>
      </c>
      <c r="P29" s="241">
        <v>12</v>
      </c>
      <c r="Q29" s="241">
        <v>12</v>
      </c>
    </row>
    <row r="30" spans="1:19">
      <c r="A30" s="481" t="s">
        <v>75</v>
      </c>
      <c r="B30" s="481">
        <v>2003</v>
      </c>
      <c r="C30" s="481" t="s">
        <v>81</v>
      </c>
      <c r="D30" s="481">
        <v>5</v>
      </c>
      <c r="E30" s="481">
        <v>127</v>
      </c>
      <c r="F30" s="481">
        <v>24</v>
      </c>
      <c r="H30" s="89">
        <v>2017</v>
      </c>
      <c r="I30" s="241">
        <v>2238</v>
      </c>
      <c r="L30" s="89">
        <v>2017</v>
      </c>
      <c r="M30" s="241">
        <v>421</v>
      </c>
      <c r="O30" s="89">
        <v>2017</v>
      </c>
      <c r="P30" s="241">
        <v>12</v>
      </c>
      <c r="Q30" s="241">
        <v>12</v>
      </c>
    </row>
    <row r="31" spans="1:19">
      <c r="A31" s="481" t="s">
        <v>75</v>
      </c>
      <c r="B31" s="481">
        <v>2003</v>
      </c>
      <c r="C31" s="481" t="s">
        <v>82</v>
      </c>
      <c r="D31" s="481">
        <v>6</v>
      </c>
      <c r="E31" s="481">
        <v>18</v>
      </c>
      <c r="F31" s="481">
        <v>112</v>
      </c>
      <c r="H31" s="89">
        <v>2018</v>
      </c>
      <c r="I31" s="241">
        <v>2147</v>
      </c>
      <c r="L31" s="89">
        <v>2018</v>
      </c>
      <c r="M31" s="241">
        <v>529</v>
      </c>
      <c r="O31" s="89">
        <v>2018</v>
      </c>
      <c r="P31" s="241">
        <v>12</v>
      </c>
      <c r="Q31" s="241">
        <v>12</v>
      </c>
    </row>
    <row r="32" spans="1:19">
      <c r="A32" s="481" t="s">
        <v>75</v>
      </c>
      <c r="B32" s="481">
        <v>2003</v>
      </c>
      <c r="C32" s="481" t="s">
        <v>83</v>
      </c>
      <c r="D32" s="481">
        <v>7</v>
      </c>
      <c r="E32" s="481">
        <v>22</v>
      </c>
      <c r="F32" s="481">
        <v>102</v>
      </c>
      <c r="H32" s="89">
        <v>2019</v>
      </c>
      <c r="I32" s="241">
        <v>2213</v>
      </c>
      <c r="L32" s="89">
        <v>2019</v>
      </c>
      <c r="M32" s="241">
        <v>452</v>
      </c>
      <c r="O32" s="89">
        <v>2019</v>
      </c>
      <c r="P32" s="241">
        <v>12</v>
      </c>
      <c r="Q32" s="241">
        <v>12</v>
      </c>
    </row>
    <row r="33" spans="1:17">
      <c r="A33" s="481" t="s">
        <v>75</v>
      </c>
      <c r="B33" s="481">
        <v>2003</v>
      </c>
      <c r="C33" s="481" t="s">
        <v>84</v>
      </c>
      <c r="D33" s="481">
        <v>8</v>
      </c>
      <c r="E33" s="481">
        <v>17</v>
      </c>
      <c r="F33" s="481">
        <v>205</v>
      </c>
      <c r="H33" s="89">
        <v>2020</v>
      </c>
      <c r="I33" s="241">
        <v>1971</v>
      </c>
      <c r="L33" s="89">
        <v>2020</v>
      </c>
      <c r="M33" s="241">
        <v>468</v>
      </c>
      <c r="O33" s="89">
        <v>2020</v>
      </c>
      <c r="P33" s="241">
        <v>12</v>
      </c>
      <c r="Q33" s="241">
        <v>12</v>
      </c>
    </row>
    <row r="34" spans="1:17">
      <c r="A34" s="481" t="s">
        <v>75</v>
      </c>
      <c r="B34" s="481">
        <v>2003</v>
      </c>
      <c r="C34" s="481" t="s">
        <v>85</v>
      </c>
      <c r="D34" s="481">
        <v>9</v>
      </c>
      <c r="E34" s="481">
        <v>78</v>
      </c>
      <c r="F34" s="481">
        <v>52</v>
      </c>
      <c r="H34" s="89">
        <v>2021</v>
      </c>
      <c r="I34" s="241">
        <v>2380</v>
      </c>
      <c r="L34" s="89">
        <v>2021</v>
      </c>
      <c r="M34" s="241">
        <v>324</v>
      </c>
      <c r="O34" s="89">
        <v>2021</v>
      </c>
      <c r="P34" s="241">
        <v>12</v>
      </c>
      <c r="Q34" s="241">
        <v>12</v>
      </c>
    </row>
    <row r="35" spans="1:17">
      <c r="A35" s="481" t="s">
        <v>75</v>
      </c>
      <c r="B35" s="481">
        <v>2003</v>
      </c>
      <c r="C35" s="481" t="s">
        <v>86</v>
      </c>
      <c r="D35" s="481">
        <v>10</v>
      </c>
      <c r="E35" s="481">
        <v>234</v>
      </c>
      <c r="F35" s="481">
        <v>5</v>
      </c>
      <c r="H35" s="89">
        <v>2022</v>
      </c>
      <c r="I35" s="241">
        <v>2014</v>
      </c>
      <c r="L35" s="89">
        <v>2022</v>
      </c>
      <c r="M35" s="241">
        <v>571</v>
      </c>
      <c r="O35" s="89">
        <v>2022</v>
      </c>
      <c r="P35" s="241">
        <v>12</v>
      </c>
      <c r="Q35" s="241">
        <v>12</v>
      </c>
    </row>
    <row r="36" spans="1:17">
      <c r="A36" s="481" t="s">
        <v>75</v>
      </c>
      <c r="B36" s="481">
        <v>2003</v>
      </c>
      <c r="C36" s="481" t="s">
        <v>87</v>
      </c>
      <c r="D36" s="481">
        <v>11</v>
      </c>
      <c r="E36" s="481">
        <v>257</v>
      </c>
      <c r="F36" s="481">
        <v>0</v>
      </c>
      <c r="H36" s="89">
        <v>2023</v>
      </c>
      <c r="I36" s="241">
        <v>1959</v>
      </c>
      <c r="L36" s="89">
        <v>2023</v>
      </c>
      <c r="M36" s="241">
        <v>522</v>
      </c>
      <c r="O36" s="89">
        <v>2023</v>
      </c>
      <c r="P36" s="241">
        <v>12</v>
      </c>
      <c r="Q36" s="241">
        <v>12</v>
      </c>
    </row>
    <row r="37" spans="1:17">
      <c r="A37" s="481" t="s">
        <v>75</v>
      </c>
      <c r="B37" s="481">
        <v>2003</v>
      </c>
      <c r="C37" s="481" t="s">
        <v>88</v>
      </c>
      <c r="D37" s="481">
        <v>12</v>
      </c>
      <c r="E37" s="481">
        <v>380</v>
      </c>
      <c r="F37" s="481">
        <v>0</v>
      </c>
      <c r="H37" s="89">
        <v>2024</v>
      </c>
      <c r="I37" s="241">
        <v>2090</v>
      </c>
      <c r="L37" s="89">
        <v>2024</v>
      </c>
      <c r="M37" s="241">
        <v>327</v>
      </c>
      <c r="O37" s="89">
        <v>2024</v>
      </c>
      <c r="P37" s="241">
        <v>12</v>
      </c>
      <c r="Q37" s="241">
        <v>12</v>
      </c>
    </row>
    <row r="38" spans="1:17">
      <c r="A38" s="481" t="s">
        <v>75</v>
      </c>
      <c r="B38" s="481">
        <v>2004</v>
      </c>
      <c r="C38" s="481" t="s">
        <v>73</v>
      </c>
      <c r="D38" s="481">
        <v>1</v>
      </c>
      <c r="E38" s="481">
        <v>372</v>
      </c>
      <c r="F38" s="481">
        <v>0</v>
      </c>
      <c r="H38" s="89">
        <v>2025</v>
      </c>
      <c r="I38" s="241">
        <v>2046</v>
      </c>
      <c r="L38" s="89">
        <v>2025</v>
      </c>
      <c r="M38" s="241">
        <v>506</v>
      </c>
      <c r="O38" s="89">
        <v>2025</v>
      </c>
      <c r="P38" s="241">
        <v>12</v>
      </c>
      <c r="Q38" s="241">
        <v>12</v>
      </c>
    </row>
    <row r="39" spans="1:17">
      <c r="A39" s="481" t="s">
        <v>75</v>
      </c>
      <c r="B39" s="481">
        <v>2004</v>
      </c>
      <c r="C39" s="481" t="s">
        <v>76</v>
      </c>
      <c r="D39" s="481">
        <v>2</v>
      </c>
      <c r="E39" s="481">
        <v>346</v>
      </c>
      <c r="F39" s="481">
        <v>0</v>
      </c>
      <c r="H39" s="181">
        <v>1</v>
      </c>
      <c r="I39" s="241">
        <v>407</v>
      </c>
      <c r="L39" s="181">
        <v>1</v>
      </c>
      <c r="M39" s="241">
        <v>0</v>
      </c>
      <c r="O39" s="89" t="s">
        <v>77</v>
      </c>
      <c r="P39" s="241"/>
      <c r="Q39" s="241"/>
    </row>
    <row r="40" spans="1:17">
      <c r="A40" s="481" t="s">
        <v>75</v>
      </c>
      <c r="B40" s="481">
        <v>2004</v>
      </c>
      <c r="C40" s="481" t="s">
        <v>78</v>
      </c>
      <c r="D40" s="481">
        <v>3</v>
      </c>
      <c r="E40" s="481">
        <v>335</v>
      </c>
      <c r="F40" s="481">
        <v>2</v>
      </c>
      <c r="H40" s="181">
        <v>2</v>
      </c>
      <c r="I40" s="241">
        <v>329</v>
      </c>
      <c r="L40" s="181">
        <v>2</v>
      </c>
      <c r="M40" s="241">
        <v>0</v>
      </c>
      <c r="O40" s="89">
        <v>2026</v>
      </c>
      <c r="P40" s="241">
        <v>1</v>
      </c>
      <c r="Q40" s="241">
        <v>1</v>
      </c>
    </row>
    <row r="41" spans="1:17">
      <c r="A41" s="481" t="s">
        <v>75</v>
      </c>
      <c r="B41" s="481">
        <v>2004</v>
      </c>
      <c r="C41" s="481" t="s">
        <v>80</v>
      </c>
      <c r="D41" s="481">
        <v>4</v>
      </c>
      <c r="E41" s="481">
        <v>210</v>
      </c>
      <c r="F41" s="481">
        <v>3</v>
      </c>
      <c r="H41" s="181">
        <v>3</v>
      </c>
      <c r="I41" s="241">
        <v>260</v>
      </c>
      <c r="L41" s="181">
        <v>3</v>
      </c>
      <c r="M41" s="241">
        <v>1</v>
      </c>
    </row>
    <row r="42" spans="1:17">
      <c r="A42" s="481" t="s">
        <v>75</v>
      </c>
      <c r="B42" s="481">
        <v>2004</v>
      </c>
      <c r="C42" s="481" t="s">
        <v>81</v>
      </c>
      <c r="D42" s="481">
        <v>5</v>
      </c>
      <c r="E42" s="481">
        <v>141</v>
      </c>
      <c r="F42" s="481">
        <v>23</v>
      </c>
      <c r="H42" s="181">
        <v>4</v>
      </c>
      <c r="I42" s="241">
        <v>142</v>
      </c>
      <c r="L42" s="181">
        <v>4</v>
      </c>
      <c r="M42" s="241">
        <v>17</v>
      </c>
    </row>
    <row r="43" spans="1:17">
      <c r="A43" s="481" t="s">
        <v>75</v>
      </c>
      <c r="B43" s="481">
        <v>2004</v>
      </c>
      <c r="C43" s="481" t="s">
        <v>82</v>
      </c>
      <c r="D43" s="481">
        <v>6</v>
      </c>
      <c r="E43" s="481">
        <v>53</v>
      </c>
      <c r="F43" s="481">
        <v>71</v>
      </c>
      <c r="H43" s="181">
        <v>5</v>
      </c>
      <c r="I43" s="241">
        <v>91</v>
      </c>
      <c r="L43" s="181">
        <v>5</v>
      </c>
      <c r="M43" s="241">
        <v>45</v>
      </c>
    </row>
    <row r="44" spans="1:17">
      <c r="A44" s="481" t="s">
        <v>75</v>
      </c>
      <c r="B44" s="481">
        <v>2004</v>
      </c>
      <c r="C44" s="481" t="s">
        <v>83</v>
      </c>
      <c r="D44" s="481">
        <v>7</v>
      </c>
      <c r="E44" s="481">
        <v>41</v>
      </c>
      <c r="F44" s="481">
        <v>80</v>
      </c>
      <c r="H44" s="181">
        <v>6</v>
      </c>
      <c r="I44" s="241">
        <v>24</v>
      </c>
      <c r="L44" s="181">
        <v>6</v>
      </c>
      <c r="M44" s="241">
        <v>140</v>
      </c>
    </row>
    <row r="45" spans="1:17">
      <c r="A45" s="481" t="s">
        <v>75</v>
      </c>
      <c r="B45" s="481">
        <v>2004</v>
      </c>
      <c r="C45" s="481" t="s">
        <v>84</v>
      </c>
      <c r="D45" s="481">
        <v>8</v>
      </c>
      <c r="E45" s="481">
        <v>25</v>
      </c>
      <c r="F45" s="481">
        <v>96</v>
      </c>
      <c r="H45" s="181">
        <v>7</v>
      </c>
      <c r="I45" s="241">
        <v>18</v>
      </c>
      <c r="L45" s="181">
        <v>7</v>
      </c>
      <c r="M45" s="241">
        <v>133</v>
      </c>
    </row>
    <row r="46" spans="1:17">
      <c r="A46" s="481" t="s">
        <v>75</v>
      </c>
      <c r="B46" s="481">
        <v>2004</v>
      </c>
      <c r="C46" s="481" t="s">
        <v>85</v>
      </c>
      <c r="D46" s="481">
        <v>9</v>
      </c>
      <c r="E46" s="481">
        <v>71</v>
      </c>
      <c r="F46" s="481">
        <v>60</v>
      </c>
      <c r="H46" s="181">
        <v>8</v>
      </c>
      <c r="I46" s="241">
        <v>22</v>
      </c>
      <c r="L46" s="181">
        <v>8</v>
      </c>
      <c r="M46" s="241">
        <v>125</v>
      </c>
    </row>
    <row r="47" spans="1:17">
      <c r="A47" s="481" t="s">
        <v>75</v>
      </c>
      <c r="B47" s="481">
        <v>2004</v>
      </c>
      <c r="C47" s="481" t="s">
        <v>86</v>
      </c>
      <c r="D47" s="481">
        <v>10</v>
      </c>
      <c r="E47" s="481">
        <v>156</v>
      </c>
      <c r="F47" s="481">
        <v>6</v>
      </c>
      <c r="H47" s="181">
        <v>9</v>
      </c>
      <c r="I47" s="241">
        <v>73</v>
      </c>
      <c r="L47" s="181">
        <v>9</v>
      </c>
      <c r="M47" s="241">
        <v>39</v>
      </c>
    </row>
    <row r="48" spans="1:17">
      <c r="A48" s="481" t="s">
        <v>75</v>
      </c>
      <c r="B48" s="481">
        <v>2004</v>
      </c>
      <c r="C48" s="481" t="s">
        <v>87</v>
      </c>
      <c r="D48" s="481">
        <v>11</v>
      </c>
      <c r="E48" s="481">
        <v>298</v>
      </c>
      <c r="F48" s="481">
        <v>0</v>
      </c>
      <c r="H48" s="181">
        <v>10</v>
      </c>
      <c r="I48" s="241">
        <v>140</v>
      </c>
      <c r="L48" s="181">
        <v>10</v>
      </c>
      <c r="M48" s="241">
        <v>4</v>
      </c>
    </row>
    <row r="49" spans="1:13">
      <c r="A49" s="481" t="s">
        <v>75</v>
      </c>
      <c r="B49" s="481">
        <v>2004</v>
      </c>
      <c r="C49" s="481" t="s">
        <v>88</v>
      </c>
      <c r="D49" s="481">
        <v>12</v>
      </c>
      <c r="E49" s="481">
        <v>424</v>
      </c>
      <c r="F49" s="481">
        <v>0</v>
      </c>
      <c r="H49" s="181">
        <v>11</v>
      </c>
      <c r="I49" s="241">
        <v>231</v>
      </c>
      <c r="L49" s="181">
        <v>11</v>
      </c>
      <c r="M49" s="241">
        <v>2</v>
      </c>
    </row>
    <row r="50" spans="1:13">
      <c r="A50" s="481" t="s">
        <v>75</v>
      </c>
      <c r="B50" s="481">
        <v>2005</v>
      </c>
      <c r="C50" s="481" t="s">
        <v>73</v>
      </c>
      <c r="D50" s="481">
        <v>1</v>
      </c>
      <c r="E50" s="481">
        <v>363</v>
      </c>
      <c r="F50" s="481">
        <v>0</v>
      </c>
      <c r="H50" s="181">
        <v>12</v>
      </c>
      <c r="I50" s="241">
        <v>309</v>
      </c>
      <c r="L50" s="181">
        <v>12</v>
      </c>
      <c r="M50" s="241">
        <v>0</v>
      </c>
    </row>
    <row r="51" spans="1:13">
      <c r="A51" s="481" t="s">
        <v>75</v>
      </c>
      <c r="B51" s="481">
        <v>2005</v>
      </c>
      <c r="C51" s="481" t="s">
        <v>76</v>
      </c>
      <c r="D51" s="481">
        <v>2</v>
      </c>
      <c r="E51" s="481">
        <v>386</v>
      </c>
      <c r="F51" s="481">
        <v>0</v>
      </c>
      <c r="H51" s="89" t="s">
        <v>77</v>
      </c>
      <c r="I51" s="241"/>
      <c r="L51" s="89" t="s">
        <v>77</v>
      </c>
      <c r="M51" s="241"/>
    </row>
    <row r="52" spans="1:13">
      <c r="A52" s="481" t="s">
        <v>75</v>
      </c>
      <c r="B52" s="481">
        <v>2005</v>
      </c>
      <c r="C52" s="481" t="s">
        <v>78</v>
      </c>
      <c r="D52" s="481">
        <v>3</v>
      </c>
      <c r="E52" s="481">
        <v>312</v>
      </c>
      <c r="F52" s="481">
        <v>4</v>
      </c>
      <c r="H52" s="89">
        <v>2026</v>
      </c>
      <c r="I52" s="241">
        <v>338.2</v>
      </c>
      <c r="L52" s="89">
        <v>2026</v>
      </c>
      <c r="M52" s="241">
        <v>0</v>
      </c>
    </row>
    <row r="53" spans="1:13">
      <c r="A53" s="481" t="s">
        <v>75</v>
      </c>
      <c r="B53" s="481">
        <v>2005</v>
      </c>
      <c r="C53" s="481" t="s">
        <v>80</v>
      </c>
      <c r="D53" s="481">
        <v>4</v>
      </c>
      <c r="E53" s="481">
        <v>206</v>
      </c>
      <c r="F53" s="481">
        <v>5</v>
      </c>
      <c r="H53" s="89" t="s">
        <v>89</v>
      </c>
      <c r="I53" s="241">
        <v>57286.2</v>
      </c>
      <c r="L53" s="89" t="s">
        <v>89</v>
      </c>
      <c r="M53" s="241">
        <v>9649</v>
      </c>
    </row>
    <row r="54" spans="1:13">
      <c r="A54" s="481" t="s">
        <v>75</v>
      </c>
      <c r="B54" s="481">
        <v>2005</v>
      </c>
      <c r="C54" s="481" t="s">
        <v>81</v>
      </c>
      <c r="D54" s="481">
        <v>5</v>
      </c>
      <c r="E54" s="481">
        <v>129</v>
      </c>
      <c r="F54" s="481">
        <v>25</v>
      </c>
    </row>
    <row r="55" spans="1:13">
      <c r="A55" s="481" t="s">
        <v>75</v>
      </c>
      <c r="B55" s="481">
        <v>2005</v>
      </c>
      <c r="C55" s="481" t="s">
        <v>82</v>
      </c>
      <c r="D55" s="481">
        <v>6</v>
      </c>
      <c r="E55" s="481">
        <v>47</v>
      </c>
      <c r="F55" s="481">
        <v>111</v>
      </c>
    </row>
    <row r="56" spans="1:13">
      <c r="A56" s="481" t="s">
        <v>75</v>
      </c>
      <c r="B56" s="481">
        <v>2005</v>
      </c>
      <c r="C56" s="481" t="s">
        <v>83</v>
      </c>
      <c r="D56" s="481">
        <v>7</v>
      </c>
      <c r="E56" s="481">
        <v>23</v>
      </c>
      <c r="F56" s="481">
        <v>102</v>
      </c>
    </row>
    <row r="57" spans="1:13">
      <c r="A57" s="481" t="s">
        <v>75</v>
      </c>
      <c r="B57" s="481">
        <v>2005</v>
      </c>
      <c r="C57" s="481" t="s">
        <v>84</v>
      </c>
      <c r="D57" s="481">
        <v>8</v>
      </c>
      <c r="E57" s="481">
        <v>52</v>
      </c>
      <c r="F57" s="481">
        <v>81</v>
      </c>
    </row>
    <row r="58" spans="1:13">
      <c r="A58" s="481" t="s">
        <v>75</v>
      </c>
      <c r="B58" s="481">
        <v>2005</v>
      </c>
      <c r="C58" s="481" t="s">
        <v>85</v>
      </c>
      <c r="D58" s="481">
        <v>9</v>
      </c>
      <c r="E58" s="481">
        <v>69</v>
      </c>
      <c r="F58" s="481">
        <v>61</v>
      </c>
    </row>
    <row r="59" spans="1:13">
      <c r="A59" s="481" t="s">
        <v>75</v>
      </c>
      <c r="B59" s="481">
        <v>2005</v>
      </c>
      <c r="C59" s="481" t="s">
        <v>86</v>
      </c>
      <c r="D59" s="481">
        <v>10</v>
      </c>
      <c r="E59" s="481">
        <v>74</v>
      </c>
      <c r="F59" s="481">
        <v>25</v>
      </c>
    </row>
    <row r="60" spans="1:13">
      <c r="A60" s="481" t="s">
        <v>75</v>
      </c>
      <c r="B60" s="481">
        <v>2005</v>
      </c>
      <c r="C60" s="481" t="s">
        <v>87</v>
      </c>
      <c r="D60" s="481">
        <v>11</v>
      </c>
      <c r="E60" s="481">
        <v>327</v>
      </c>
      <c r="F60" s="481">
        <v>0</v>
      </c>
    </row>
    <row r="61" spans="1:13">
      <c r="A61" s="481" t="s">
        <v>75</v>
      </c>
      <c r="B61" s="481">
        <v>2005</v>
      </c>
      <c r="C61" s="481" t="s">
        <v>88</v>
      </c>
      <c r="D61" s="481">
        <v>12</v>
      </c>
      <c r="E61" s="481">
        <v>440</v>
      </c>
      <c r="F61" s="481">
        <v>0</v>
      </c>
    </row>
    <row r="62" spans="1:13">
      <c r="A62" s="481" t="s">
        <v>75</v>
      </c>
      <c r="B62" s="481">
        <v>2006</v>
      </c>
      <c r="C62" s="481" t="s">
        <v>73</v>
      </c>
      <c r="D62" s="481">
        <v>1</v>
      </c>
      <c r="E62" s="481">
        <v>432</v>
      </c>
      <c r="F62" s="481">
        <v>0</v>
      </c>
    </row>
    <row r="63" spans="1:13">
      <c r="A63" s="481" t="s">
        <v>75</v>
      </c>
      <c r="B63" s="481">
        <v>2006</v>
      </c>
      <c r="C63" s="481" t="s">
        <v>76</v>
      </c>
      <c r="D63" s="481">
        <v>2</v>
      </c>
      <c r="E63" s="481">
        <v>396</v>
      </c>
      <c r="F63" s="481">
        <v>0</v>
      </c>
    </row>
    <row r="64" spans="1:13">
      <c r="A64" s="481" t="s">
        <v>75</v>
      </c>
      <c r="B64" s="481">
        <v>2006</v>
      </c>
      <c r="C64" s="481" t="s">
        <v>78</v>
      </c>
      <c r="D64" s="481">
        <v>3</v>
      </c>
      <c r="E64" s="481">
        <v>331</v>
      </c>
      <c r="F64" s="481">
        <v>1</v>
      </c>
    </row>
    <row r="65" spans="1:6">
      <c r="A65" s="481" t="s">
        <v>75</v>
      </c>
      <c r="B65" s="481">
        <v>2006</v>
      </c>
      <c r="C65" s="481" t="s">
        <v>80</v>
      </c>
      <c r="D65" s="481">
        <v>4</v>
      </c>
      <c r="E65" s="481">
        <v>217</v>
      </c>
      <c r="F65" s="481">
        <v>5</v>
      </c>
    </row>
    <row r="66" spans="1:6">
      <c r="A66" s="481" t="s">
        <v>75</v>
      </c>
      <c r="B66" s="481">
        <v>2006</v>
      </c>
      <c r="C66" s="481" t="s">
        <v>81</v>
      </c>
      <c r="D66" s="481">
        <v>5</v>
      </c>
      <c r="E66" s="481">
        <v>114</v>
      </c>
      <c r="F66" s="481">
        <v>20</v>
      </c>
    </row>
    <row r="67" spans="1:6">
      <c r="A67" s="481" t="s">
        <v>75</v>
      </c>
      <c r="B67" s="481">
        <v>2006</v>
      </c>
      <c r="C67" s="481" t="s">
        <v>82</v>
      </c>
      <c r="D67" s="481">
        <v>6</v>
      </c>
      <c r="E67" s="481">
        <v>42</v>
      </c>
      <c r="F67" s="481">
        <v>93</v>
      </c>
    </row>
    <row r="68" spans="1:6">
      <c r="A68" s="481" t="s">
        <v>75</v>
      </c>
      <c r="B68" s="481">
        <v>2006</v>
      </c>
      <c r="C68" s="481" t="s">
        <v>83</v>
      </c>
      <c r="D68" s="481">
        <v>7</v>
      </c>
      <c r="E68" s="481">
        <v>5</v>
      </c>
      <c r="F68" s="481">
        <v>193</v>
      </c>
    </row>
    <row r="69" spans="1:6">
      <c r="A69" s="481" t="s">
        <v>75</v>
      </c>
      <c r="B69" s="481">
        <v>2006</v>
      </c>
      <c r="C69" s="481" t="s">
        <v>84</v>
      </c>
      <c r="D69" s="481">
        <v>8</v>
      </c>
      <c r="E69" s="481">
        <v>51</v>
      </c>
      <c r="F69" s="481">
        <v>53</v>
      </c>
    </row>
    <row r="70" spans="1:6">
      <c r="A70" s="481" t="s">
        <v>75</v>
      </c>
      <c r="B70" s="481">
        <v>2006</v>
      </c>
      <c r="C70" s="481" t="s">
        <v>85</v>
      </c>
      <c r="D70" s="481">
        <v>9</v>
      </c>
      <c r="E70" s="481">
        <v>33</v>
      </c>
      <c r="F70" s="481">
        <v>81</v>
      </c>
    </row>
    <row r="71" spans="1:6">
      <c r="A71" s="481" t="s">
        <v>75</v>
      </c>
      <c r="B71" s="481">
        <v>2006</v>
      </c>
      <c r="C71" s="481" t="s">
        <v>86</v>
      </c>
      <c r="D71" s="481">
        <v>10</v>
      </c>
      <c r="E71" s="481">
        <v>95</v>
      </c>
      <c r="F71" s="481">
        <v>8</v>
      </c>
    </row>
    <row r="72" spans="1:6">
      <c r="A72" s="481" t="s">
        <v>75</v>
      </c>
      <c r="B72" s="481">
        <v>2006</v>
      </c>
      <c r="C72" s="481" t="s">
        <v>87</v>
      </c>
      <c r="D72" s="481">
        <v>11</v>
      </c>
      <c r="E72" s="481">
        <v>252</v>
      </c>
      <c r="F72" s="481">
        <v>0</v>
      </c>
    </row>
    <row r="73" spans="1:6">
      <c r="A73" s="481" t="s">
        <v>75</v>
      </c>
      <c r="B73" s="481">
        <v>2006</v>
      </c>
      <c r="C73" s="481" t="s">
        <v>88</v>
      </c>
      <c r="D73" s="481">
        <v>12</v>
      </c>
      <c r="E73" s="481">
        <v>387</v>
      </c>
      <c r="F73" s="481">
        <v>0</v>
      </c>
    </row>
    <row r="74" spans="1:6">
      <c r="A74" s="481" t="s">
        <v>75</v>
      </c>
      <c r="B74" s="481">
        <v>2007</v>
      </c>
      <c r="C74" s="481" t="s">
        <v>73</v>
      </c>
      <c r="D74" s="481">
        <v>1</v>
      </c>
      <c r="E74" s="481">
        <v>320</v>
      </c>
      <c r="F74" s="481">
        <v>0</v>
      </c>
    </row>
    <row r="75" spans="1:6">
      <c r="A75" s="481" t="s">
        <v>75</v>
      </c>
      <c r="B75" s="481">
        <v>2007</v>
      </c>
      <c r="C75" s="481" t="s">
        <v>76</v>
      </c>
      <c r="D75" s="481">
        <v>2</v>
      </c>
      <c r="E75" s="481">
        <v>263</v>
      </c>
      <c r="F75" s="481">
        <v>0</v>
      </c>
    </row>
    <row r="76" spans="1:6">
      <c r="A76" s="481" t="s">
        <v>75</v>
      </c>
      <c r="B76" s="481">
        <v>2007</v>
      </c>
      <c r="C76" s="481" t="s">
        <v>78</v>
      </c>
      <c r="D76" s="481">
        <v>3</v>
      </c>
      <c r="E76" s="481">
        <v>309</v>
      </c>
      <c r="F76" s="481">
        <v>0</v>
      </c>
    </row>
    <row r="77" spans="1:6">
      <c r="A77" s="481" t="s">
        <v>75</v>
      </c>
      <c r="B77" s="481">
        <v>2007</v>
      </c>
      <c r="C77" s="481" t="s">
        <v>80</v>
      </c>
      <c r="D77" s="481">
        <v>4</v>
      </c>
      <c r="E77" s="481">
        <v>123</v>
      </c>
      <c r="F77" s="481">
        <v>32</v>
      </c>
    </row>
    <row r="78" spans="1:6">
      <c r="A78" s="481" t="s">
        <v>75</v>
      </c>
      <c r="B78" s="481">
        <v>2007</v>
      </c>
      <c r="C78" s="481" t="s">
        <v>81</v>
      </c>
      <c r="D78" s="481">
        <v>5</v>
      </c>
      <c r="E78" s="481">
        <v>94</v>
      </c>
      <c r="F78" s="481">
        <v>21</v>
      </c>
    </row>
    <row r="79" spans="1:6">
      <c r="A79" s="481" t="s">
        <v>75</v>
      </c>
      <c r="B79" s="481">
        <v>2007</v>
      </c>
      <c r="C79" s="481" t="s">
        <v>82</v>
      </c>
      <c r="D79" s="481">
        <v>6</v>
      </c>
      <c r="E79" s="481">
        <v>47</v>
      </c>
      <c r="F79" s="481">
        <v>46</v>
      </c>
    </row>
    <row r="80" spans="1:6">
      <c r="A80" s="481" t="s">
        <v>75</v>
      </c>
      <c r="B80" s="481">
        <v>2007</v>
      </c>
      <c r="C80" s="481" t="s">
        <v>83</v>
      </c>
      <c r="D80" s="481">
        <v>7</v>
      </c>
      <c r="E80" s="481">
        <v>42</v>
      </c>
      <c r="F80" s="481">
        <v>51</v>
      </c>
    </row>
    <row r="81" spans="1:6">
      <c r="A81" s="481" t="s">
        <v>75</v>
      </c>
      <c r="B81" s="481">
        <v>2007</v>
      </c>
      <c r="C81" s="481" t="s">
        <v>84</v>
      </c>
      <c r="D81" s="481">
        <v>8</v>
      </c>
      <c r="E81" s="481">
        <v>47</v>
      </c>
      <c r="F81" s="481">
        <v>48</v>
      </c>
    </row>
    <row r="82" spans="1:6">
      <c r="A82" s="481" t="s">
        <v>75</v>
      </c>
      <c r="B82" s="481">
        <v>2007</v>
      </c>
      <c r="C82" s="481" t="s">
        <v>85</v>
      </c>
      <c r="D82" s="481">
        <v>9</v>
      </c>
      <c r="E82" s="481">
        <v>109</v>
      </c>
      <c r="F82" s="481">
        <v>24</v>
      </c>
    </row>
    <row r="83" spans="1:6">
      <c r="A83" s="481" t="s">
        <v>75</v>
      </c>
      <c r="B83" s="481">
        <v>2007</v>
      </c>
      <c r="C83" s="481" t="s">
        <v>86</v>
      </c>
      <c r="D83" s="481">
        <v>10</v>
      </c>
      <c r="E83" s="481">
        <v>188</v>
      </c>
      <c r="F83" s="481">
        <v>7</v>
      </c>
    </row>
    <row r="84" spans="1:6">
      <c r="A84" s="481" t="s">
        <v>75</v>
      </c>
      <c r="B84" s="481">
        <v>2007</v>
      </c>
      <c r="C84" s="481" t="s">
        <v>87</v>
      </c>
      <c r="D84" s="481">
        <v>11</v>
      </c>
      <c r="E84" s="481">
        <v>316</v>
      </c>
      <c r="F84" s="481">
        <v>0</v>
      </c>
    </row>
    <row r="85" spans="1:6">
      <c r="A85" s="481" t="s">
        <v>75</v>
      </c>
      <c r="B85" s="481">
        <v>2007</v>
      </c>
      <c r="C85" s="481" t="s">
        <v>88</v>
      </c>
      <c r="D85" s="481">
        <v>12</v>
      </c>
      <c r="E85" s="481">
        <v>403</v>
      </c>
      <c r="F85" s="481">
        <v>0</v>
      </c>
    </row>
    <row r="86" spans="1:6">
      <c r="A86" s="481" t="s">
        <v>75</v>
      </c>
      <c r="B86" s="481">
        <v>2008</v>
      </c>
      <c r="C86" s="481" t="s">
        <v>73</v>
      </c>
      <c r="D86" s="481">
        <v>1</v>
      </c>
      <c r="E86" s="481">
        <v>337</v>
      </c>
      <c r="F86" s="481">
        <v>0</v>
      </c>
    </row>
    <row r="87" spans="1:6">
      <c r="A87" s="481" t="s">
        <v>75</v>
      </c>
      <c r="B87" s="481">
        <v>2008</v>
      </c>
      <c r="C87" s="481" t="s">
        <v>76</v>
      </c>
      <c r="D87" s="481">
        <v>2</v>
      </c>
      <c r="E87" s="481">
        <v>302</v>
      </c>
      <c r="F87" s="481">
        <v>0</v>
      </c>
    </row>
    <row r="88" spans="1:6">
      <c r="A88" s="481" t="s">
        <v>75</v>
      </c>
      <c r="B88" s="481">
        <v>2008</v>
      </c>
      <c r="C88" s="481" t="s">
        <v>78</v>
      </c>
      <c r="D88" s="481">
        <v>3</v>
      </c>
      <c r="E88" s="481">
        <v>305</v>
      </c>
      <c r="F88" s="481">
        <v>0</v>
      </c>
    </row>
    <row r="89" spans="1:6">
      <c r="A89" s="481" t="s">
        <v>75</v>
      </c>
      <c r="B89" s="481">
        <v>2008</v>
      </c>
      <c r="C89" s="481" t="s">
        <v>80</v>
      </c>
      <c r="D89" s="481">
        <v>4</v>
      </c>
      <c r="E89" s="481">
        <v>239</v>
      </c>
      <c r="F89" s="481">
        <v>3</v>
      </c>
    </row>
    <row r="90" spans="1:6">
      <c r="A90" s="481" t="s">
        <v>75</v>
      </c>
      <c r="B90" s="481">
        <v>2008</v>
      </c>
      <c r="C90" s="481" t="s">
        <v>81</v>
      </c>
      <c r="D90" s="481">
        <v>5</v>
      </c>
      <c r="E90" s="481">
        <v>84</v>
      </c>
      <c r="F90" s="481">
        <v>37</v>
      </c>
    </row>
    <row r="91" spans="1:6">
      <c r="A91" s="481" t="s">
        <v>75</v>
      </c>
      <c r="B91" s="481">
        <v>2008</v>
      </c>
      <c r="C91" s="481" t="s">
        <v>82</v>
      </c>
      <c r="D91" s="481">
        <v>6</v>
      </c>
      <c r="E91" s="481">
        <v>57</v>
      </c>
      <c r="F91" s="481">
        <v>55</v>
      </c>
    </row>
    <row r="92" spans="1:6">
      <c r="A92" s="481" t="s">
        <v>75</v>
      </c>
      <c r="B92" s="481">
        <v>2008</v>
      </c>
      <c r="C92" s="481" t="s">
        <v>83</v>
      </c>
      <c r="D92" s="481">
        <v>7</v>
      </c>
      <c r="E92" s="481">
        <v>40</v>
      </c>
      <c r="F92" s="481">
        <v>82</v>
      </c>
    </row>
    <row r="93" spans="1:6">
      <c r="A93" s="481" t="s">
        <v>75</v>
      </c>
      <c r="B93" s="481">
        <v>2008</v>
      </c>
      <c r="C93" s="481" t="s">
        <v>84</v>
      </c>
      <c r="D93" s="481">
        <v>8</v>
      </c>
      <c r="E93" s="481">
        <v>41</v>
      </c>
      <c r="F93" s="481">
        <v>64</v>
      </c>
    </row>
    <row r="94" spans="1:6">
      <c r="A94" s="481" t="s">
        <v>75</v>
      </c>
      <c r="B94" s="481">
        <v>2008</v>
      </c>
      <c r="C94" s="481" t="s">
        <v>85</v>
      </c>
      <c r="D94" s="481">
        <v>9</v>
      </c>
      <c r="E94" s="481">
        <v>107</v>
      </c>
      <c r="F94" s="481">
        <v>16</v>
      </c>
    </row>
    <row r="95" spans="1:6">
      <c r="A95" s="481" t="s">
        <v>75</v>
      </c>
      <c r="B95" s="481">
        <v>2008</v>
      </c>
      <c r="C95" s="481" t="s">
        <v>86</v>
      </c>
      <c r="D95" s="481">
        <v>10</v>
      </c>
      <c r="E95" s="481">
        <v>211</v>
      </c>
      <c r="F95" s="481">
        <v>5</v>
      </c>
    </row>
    <row r="96" spans="1:6">
      <c r="A96" s="481" t="s">
        <v>75</v>
      </c>
      <c r="B96" s="481">
        <v>2008</v>
      </c>
      <c r="C96" s="481" t="s">
        <v>87</v>
      </c>
      <c r="D96" s="481">
        <v>11</v>
      </c>
      <c r="E96" s="481">
        <v>284</v>
      </c>
      <c r="F96" s="481">
        <v>0</v>
      </c>
    </row>
    <row r="97" spans="1:6">
      <c r="A97" s="481" t="s">
        <v>75</v>
      </c>
      <c r="B97" s="481">
        <v>2008</v>
      </c>
      <c r="C97" s="481" t="s">
        <v>88</v>
      </c>
      <c r="D97" s="481">
        <v>12</v>
      </c>
      <c r="E97" s="481">
        <v>429</v>
      </c>
      <c r="F97" s="481">
        <v>0</v>
      </c>
    </row>
    <row r="98" spans="1:6">
      <c r="A98" s="481" t="s">
        <v>75</v>
      </c>
      <c r="B98" s="481">
        <v>2009</v>
      </c>
      <c r="C98" s="481" t="s">
        <v>73</v>
      </c>
      <c r="D98" s="481">
        <v>1</v>
      </c>
      <c r="E98" s="481">
        <v>492</v>
      </c>
      <c r="F98" s="481">
        <v>0</v>
      </c>
    </row>
    <row r="99" spans="1:6">
      <c r="A99" s="481" t="s">
        <v>75</v>
      </c>
      <c r="B99" s="481">
        <v>2009</v>
      </c>
      <c r="C99" s="481" t="s">
        <v>76</v>
      </c>
      <c r="D99" s="481">
        <v>2</v>
      </c>
      <c r="E99" s="481">
        <v>371</v>
      </c>
      <c r="F99" s="481">
        <v>0</v>
      </c>
    </row>
    <row r="100" spans="1:6">
      <c r="A100" s="481" t="s">
        <v>75</v>
      </c>
      <c r="B100" s="481">
        <v>2009</v>
      </c>
      <c r="C100" s="481" t="s">
        <v>78</v>
      </c>
      <c r="D100" s="481">
        <v>3</v>
      </c>
      <c r="E100" s="481">
        <v>310</v>
      </c>
      <c r="F100" s="481">
        <v>0</v>
      </c>
    </row>
    <row r="101" spans="1:6">
      <c r="A101" s="481" t="s">
        <v>75</v>
      </c>
      <c r="B101" s="481">
        <v>2009</v>
      </c>
      <c r="C101" s="481" t="s">
        <v>80</v>
      </c>
      <c r="D101" s="481">
        <v>4</v>
      </c>
      <c r="E101" s="481">
        <v>184</v>
      </c>
      <c r="F101" s="481">
        <v>3</v>
      </c>
    </row>
    <row r="102" spans="1:6">
      <c r="A102" s="481" t="s">
        <v>75</v>
      </c>
      <c r="B102" s="481">
        <v>2009</v>
      </c>
      <c r="C102" s="481" t="s">
        <v>81</v>
      </c>
      <c r="D102" s="481">
        <v>5</v>
      </c>
      <c r="E102" s="481">
        <v>106</v>
      </c>
      <c r="F102" s="481">
        <v>26</v>
      </c>
    </row>
    <row r="103" spans="1:6">
      <c r="A103" s="481" t="s">
        <v>75</v>
      </c>
      <c r="B103" s="481">
        <v>2009</v>
      </c>
      <c r="C103" s="481" t="s">
        <v>82</v>
      </c>
      <c r="D103" s="481">
        <v>6</v>
      </c>
      <c r="E103" s="481">
        <v>59</v>
      </c>
      <c r="F103" s="481">
        <v>65</v>
      </c>
    </row>
    <row r="104" spans="1:6">
      <c r="A104" s="481" t="s">
        <v>75</v>
      </c>
      <c r="B104" s="481">
        <v>2009</v>
      </c>
      <c r="C104" s="481" t="s">
        <v>83</v>
      </c>
      <c r="D104" s="481">
        <v>7</v>
      </c>
      <c r="E104" s="481">
        <v>35</v>
      </c>
      <c r="F104" s="481">
        <v>89</v>
      </c>
    </row>
    <row r="105" spans="1:6">
      <c r="A105" s="481" t="s">
        <v>75</v>
      </c>
      <c r="B105" s="481">
        <v>2009</v>
      </c>
      <c r="C105" s="481" t="s">
        <v>84</v>
      </c>
      <c r="D105" s="481">
        <v>8</v>
      </c>
      <c r="E105" s="481">
        <v>27</v>
      </c>
      <c r="F105" s="481">
        <v>118</v>
      </c>
    </row>
    <row r="106" spans="1:6">
      <c r="A106" s="481" t="s">
        <v>75</v>
      </c>
      <c r="B106" s="481">
        <v>2009</v>
      </c>
      <c r="C106" s="481" t="s">
        <v>85</v>
      </c>
      <c r="D106" s="481">
        <v>9</v>
      </c>
      <c r="E106" s="481">
        <v>64</v>
      </c>
      <c r="F106" s="481">
        <v>46</v>
      </c>
    </row>
    <row r="107" spans="1:6">
      <c r="A107" s="481" t="s">
        <v>75</v>
      </c>
      <c r="B107" s="481">
        <v>2009</v>
      </c>
      <c r="C107" s="481" t="s">
        <v>86</v>
      </c>
      <c r="D107" s="481">
        <v>10</v>
      </c>
      <c r="E107" s="481">
        <v>164</v>
      </c>
      <c r="F107" s="481">
        <v>12</v>
      </c>
    </row>
    <row r="108" spans="1:6">
      <c r="A108" s="481" t="s">
        <v>75</v>
      </c>
      <c r="B108" s="481">
        <v>2009</v>
      </c>
      <c r="C108" s="481" t="s">
        <v>87</v>
      </c>
      <c r="D108" s="481">
        <v>11</v>
      </c>
      <c r="E108" s="481">
        <v>222</v>
      </c>
      <c r="F108" s="481">
        <v>0</v>
      </c>
    </row>
    <row r="109" spans="1:6">
      <c r="A109" s="481" t="s">
        <v>75</v>
      </c>
      <c r="B109" s="481">
        <v>2009</v>
      </c>
      <c r="C109" s="481" t="s">
        <v>88</v>
      </c>
      <c r="D109" s="481">
        <v>12</v>
      </c>
      <c r="E109" s="481">
        <v>414</v>
      </c>
      <c r="F109" s="481">
        <v>0</v>
      </c>
    </row>
    <row r="110" spans="1:6">
      <c r="A110" s="481" t="s">
        <v>75</v>
      </c>
      <c r="B110" s="481">
        <v>2010</v>
      </c>
      <c r="C110" s="481" t="s">
        <v>73</v>
      </c>
      <c r="D110" s="481">
        <v>1</v>
      </c>
      <c r="E110" s="481">
        <v>501</v>
      </c>
      <c r="F110" s="481">
        <v>0</v>
      </c>
    </row>
    <row r="111" spans="1:6">
      <c r="A111" s="481" t="s">
        <v>75</v>
      </c>
      <c r="B111" s="481">
        <v>2010</v>
      </c>
      <c r="C111" s="481" t="s">
        <v>76</v>
      </c>
      <c r="D111" s="481">
        <v>2</v>
      </c>
      <c r="E111" s="481">
        <v>370</v>
      </c>
      <c r="F111" s="481">
        <v>0</v>
      </c>
    </row>
    <row r="112" spans="1:6">
      <c r="A112" s="481" t="s">
        <v>75</v>
      </c>
      <c r="B112" s="481">
        <v>2010</v>
      </c>
      <c r="C112" s="481" t="s">
        <v>78</v>
      </c>
      <c r="D112" s="481">
        <v>3</v>
      </c>
      <c r="E112" s="481">
        <v>312</v>
      </c>
      <c r="F112" s="481">
        <v>1</v>
      </c>
    </row>
    <row r="113" spans="1:6">
      <c r="A113" s="481" t="s">
        <v>75</v>
      </c>
      <c r="B113" s="481">
        <v>2010</v>
      </c>
      <c r="C113" s="481" t="s">
        <v>80</v>
      </c>
      <c r="D113" s="481">
        <v>4</v>
      </c>
      <c r="E113" s="481">
        <v>199</v>
      </c>
      <c r="F113" s="481">
        <v>11</v>
      </c>
    </row>
    <row r="114" spans="1:6">
      <c r="A114" s="481" t="s">
        <v>75</v>
      </c>
      <c r="B114" s="481">
        <v>2010</v>
      </c>
      <c r="C114" s="481" t="s">
        <v>81</v>
      </c>
      <c r="D114" s="481">
        <v>5</v>
      </c>
      <c r="E114" s="481">
        <v>155</v>
      </c>
      <c r="F114" s="481">
        <v>22</v>
      </c>
    </row>
    <row r="115" spans="1:6">
      <c r="A115" s="481" t="s">
        <v>75</v>
      </c>
      <c r="B115" s="481">
        <v>2010</v>
      </c>
      <c r="C115" s="481" t="s">
        <v>82</v>
      </c>
      <c r="D115" s="481">
        <v>6</v>
      </c>
      <c r="E115" s="481">
        <v>46</v>
      </c>
      <c r="F115" s="481">
        <v>66</v>
      </c>
    </row>
    <row r="116" spans="1:6">
      <c r="A116" s="481" t="s">
        <v>75</v>
      </c>
      <c r="B116" s="481">
        <v>2010</v>
      </c>
      <c r="C116" s="481" t="s">
        <v>83</v>
      </c>
      <c r="D116" s="481">
        <v>7</v>
      </c>
      <c r="E116" s="481">
        <v>22</v>
      </c>
      <c r="F116" s="481">
        <v>129</v>
      </c>
    </row>
    <row r="117" spans="1:6">
      <c r="A117" s="481" t="s">
        <v>75</v>
      </c>
      <c r="B117" s="481">
        <v>2010</v>
      </c>
      <c r="C117" s="481" t="s">
        <v>84</v>
      </c>
      <c r="D117" s="481">
        <v>8</v>
      </c>
      <c r="E117" s="481">
        <v>41</v>
      </c>
      <c r="F117" s="481">
        <v>73</v>
      </c>
    </row>
    <row r="118" spans="1:6">
      <c r="A118" s="481" t="s">
        <v>75</v>
      </c>
      <c r="B118" s="481">
        <v>2010</v>
      </c>
      <c r="C118" s="481" t="s">
        <v>85</v>
      </c>
      <c r="D118" s="481">
        <v>9</v>
      </c>
      <c r="E118" s="481">
        <v>95</v>
      </c>
      <c r="F118" s="481">
        <v>38</v>
      </c>
    </row>
    <row r="119" spans="1:6">
      <c r="A119" s="481" t="s">
        <v>75</v>
      </c>
      <c r="B119" s="481">
        <v>2010</v>
      </c>
      <c r="C119" s="481" t="s">
        <v>86</v>
      </c>
      <c r="D119" s="481">
        <v>10</v>
      </c>
      <c r="E119" s="481">
        <v>190</v>
      </c>
      <c r="F119" s="481">
        <v>10</v>
      </c>
    </row>
    <row r="120" spans="1:6">
      <c r="A120" s="481" t="s">
        <v>75</v>
      </c>
      <c r="B120" s="481">
        <v>2010</v>
      </c>
      <c r="C120" s="481" t="s">
        <v>87</v>
      </c>
      <c r="D120" s="481">
        <v>11</v>
      </c>
      <c r="E120" s="481">
        <v>320</v>
      </c>
      <c r="F120" s="481">
        <v>0</v>
      </c>
    </row>
    <row r="121" spans="1:6">
      <c r="A121" s="481" t="s">
        <v>75</v>
      </c>
      <c r="B121" s="481">
        <v>2010</v>
      </c>
      <c r="C121" s="481" t="s">
        <v>88</v>
      </c>
      <c r="D121" s="481">
        <v>12</v>
      </c>
      <c r="E121" s="481">
        <v>500</v>
      </c>
      <c r="F121" s="481">
        <v>0</v>
      </c>
    </row>
    <row r="122" spans="1:6">
      <c r="A122" s="481" t="s">
        <v>75</v>
      </c>
      <c r="B122" s="481">
        <v>2011</v>
      </c>
      <c r="C122" s="481" t="s">
        <v>73</v>
      </c>
      <c r="D122" s="481">
        <v>1</v>
      </c>
      <c r="E122" s="481">
        <v>392</v>
      </c>
      <c r="F122" s="481">
        <v>0</v>
      </c>
    </row>
    <row r="123" spans="1:6">
      <c r="A123" s="481" t="s">
        <v>75</v>
      </c>
      <c r="B123" s="481">
        <v>2011</v>
      </c>
      <c r="C123" s="481" t="s">
        <v>76</v>
      </c>
      <c r="D123" s="481">
        <v>2</v>
      </c>
      <c r="E123" s="481">
        <v>298</v>
      </c>
      <c r="F123" s="481">
        <v>0</v>
      </c>
    </row>
    <row r="124" spans="1:6">
      <c r="A124" s="481" t="s">
        <v>75</v>
      </c>
      <c r="B124" s="481">
        <v>2011</v>
      </c>
      <c r="C124" s="481" t="s">
        <v>78</v>
      </c>
      <c r="D124" s="481">
        <v>3</v>
      </c>
      <c r="E124" s="481">
        <v>265</v>
      </c>
      <c r="F124" s="481">
        <v>2</v>
      </c>
    </row>
    <row r="125" spans="1:6">
      <c r="A125" s="481" t="s">
        <v>75</v>
      </c>
      <c r="B125" s="481">
        <v>2011</v>
      </c>
      <c r="C125" s="481" t="s">
        <v>80</v>
      </c>
      <c r="D125" s="481">
        <v>4</v>
      </c>
      <c r="E125" s="481">
        <v>136</v>
      </c>
      <c r="F125" s="481">
        <v>29</v>
      </c>
    </row>
    <row r="126" spans="1:6">
      <c r="A126" s="481" t="s">
        <v>75</v>
      </c>
      <c r="B126" s="481">
        <v>2011</v>
      </c>
      <c r="C126" s="481" t="s">
        <v>81</v>
      </c>
      <c r="D126" s="481">
        <v>5</v>
      </c>
      <c r="E126" s="481">
        <v>92</v>
      </c>
      <c r="F126" s="481">
        <v>38</v>
      </c>
    </row>
    <row r="127" spans="1:6">
      <c r="A127" s="481" t="s">
        <v>75</v>
      </c>
      <c r="B127" s="481">
        <v>2011</v>
      </c>
      <c r="C127" s="481" t="s">
        <v>82</v>
      </c>
      <c r="D127" s="481">
        <v>6</v>
      </c>
      <c r="E127" s="481">
        <v>56</v>
      </c>
      <c r="F127" s="481">
        <v>63</v>
      </c>
    </row>
    <row r="128" spans="1:6">
      <c r="A128" s="481" t="s">
        <v>75</v>
      </c>
      <c r="B128" s="481">
        <v>2011</v>
      </c>
      <c r="C128" s="481" t="s">
        <v>83</v>
      </c>
      <c r="D128" s="481">
        <v>7</v>
      </c>
      <c r="E128" s="481">
        <v>51</v>
      </c>
      <c r="F128" s="481">
        <v>54</v>
      </c>
    </row>
    <row r="129" spans="1:6">
      <c r="A129" s="481" t="s">
        <v>75</v>
      </c>
      <c r="B129" s="481">
        <v>2011</v>
      </c>
      <c r="C129" s="481" t="s">
        <v>84</v>
      </c>
      <c r="D129" s="481">
        <v>8</v>
      </c>
      <c r="E129" s="481">
        <v>35</v>
      </c>
      <c r="F129" s="481">
        <v>81</v>
      </c>
    </row>
    <row r="130" spans="1:6">
      <c r="A130" s="481" t="s">
        <v>75</v>
      </c>
      <c r="B130" s="481">
        <v>2011</v>
      </c>
      <c r="C130" s="481" t="s">
        <v>85</v>
      </c>
      <c r="D130" s="481">
        <v>9</v>
      </c>
      <c r="E130" s="481">
        <v>53</v>
      </c>
      <c r="F130" s="481">
        <v>57</v>
      </c>
    </row>
    <row r="131" spans="1:6">
      <c r="A131" s="481" t="s">
        <v>75</v>
      </c>
      <c r="B131" s="481">
        <v>2011</v>
      </c>
      <c r="C131" s="481" t="s">
        <v>86</v>
      </c>
      <c r="D131" s="481">
        <v>10</v>
      </c>
      <c r="E131" s="481">
        <v>145</v>
      </c>
      <c r="F131" s="481">
        <v>17</v>
      </c>
    </row>
    <row r="132" spans="1:6">
      <c r="A132" s="481" t="s">
        <v>75</v>
      </c>
      <c r="B132" s="481">
        <v>2011</v>
      </c>
      <c r="C132" s="481" t="s">
        <v>87</v>
      </c>
      <c r="D132" s="481">
        <v>11</v>
      </c>
      <c r="E132" s="481">
        <v>204</v>
      </c>
      <c r="F132" s="481">
        <v>0</v>
      </c>
    </row>
    <row r="133" spans="1:6">
      <c r="A133" s="481" t="s">
        <v>75</v>
      </c>
      <c r="B133" s="481">
        <v>2011</v>
      </c>
      <c r="C133" s="481" t="s">
        <v>88</v>
      </c>
      <c r="D133" s="481">
        <v>12</v>
      </c>
      <c r="E133" s="481">
        <v>307</v>
      </c>
      <c r="F133" s="481">
        <v>0</v>
      </c>
    </row>
    <row r="134" spans="1:6">
      <c r="A134" s="481" t="s">
        <v>75</v>
      </c>
      <c r="B134" s="481">
        <v>2012</v>
      </c>
      <c r="C134" s="481" t="s">
        <v>73</v>
      </c>
      <c r="D134" s="481">
        <v>1</v>
      </c>
      <c r="E134" s="481">
        <v>347</v>
      </c>
      <c r="F134" s="481">
        <v>0</v>
      </c>
    </row>
    <row r="135" spans="1:6">
      <c r="A135" s="481" t="s">
        <v>75</v>
      </c>
      <c r="B135" s="481">
        <v>2012</v>
      </c>
      <c r="C135" s="481" t="s">
        <v>76</v>
      </c>
      <c r="D135" s="481">
        <v>2</v>
      </c>
      <c r="E135" s="481">
        <v>469</v>
      </c>
      <c r="F135" s="481">
        <v>0</v>
      </c>
    </row>
    <row r="136" spans="1:6">
      <c r="A136" s="481" t="s">
        <v>75</v>
      </c>
      <c r="B136" s="481">
        <v>2012</v>
      </c>
      <c r="C136" s="481" t="s">
        <v>78</v>
      </c>
      <c r="D136" s="481">
        <v>3</v>
      </c>
      <c r="E136" s="481">
        <v>247</v>
      </c>
      <c r="F136" s="481">
        <v>8</v>
      </c>
    </row>
    <row r="137" spans="1:6">
      <c r="A137" s="481" t="s">
        <v>75</v>
      </c>
      <c r="B137" s="481">
        <v>2012</v>
      </c>
      <c r="C137" s="481" t="s">
        <v>80</v>
      </c>
      <c r="D137" s="481">
        <v>4</v>
      </c>
      <c r="E137" s="481">
        <v>253</v>
      </c>
      <c r="F137" s="481">
        <v>0</v>
      </c>
    </row>
    <row r="138" spans="1:6">
      <c r="A138" s="481" t="s">
        <v>75</v>
      </c>
      <c r="B138" s="481">
        <v>2012</v>
      </c>
      <c r="C138" s="481" t="s">
        <v>81</v>
      </c>
      <c r="D138" s="481">
        <v>5</v>
      </c>
      <c r="E138" s="481">
        <v>114</v>
      </c>
      <c r="F138" s="481">
        <v>35</v>
      </c>
    </row>
    <row r="139" spans="1:6">
      <c r="A139" s="481" t="s">
        <v>75</v>
      </c>
      <c r="B139" s="481">
        <v>2012</v>
      </c>
      <c r="C139" s="481" t="s">
        <v>82</v>
      </c>
      <c r="D139" s="481">
        <v>6</v>
      </c>
      <c r="E139" s="481">
        <v>59</v>
      </c>
      <c r="F139" s="481">
        <v>40</v>
      </c>
    </row>
    <row r="140" spans="1:6">
      <c r="A140" s="481" t="s">
        <v>75</v>
      </c>
      <c r="B140" s="481">
        <v>2012</v>
      </c>
      <c r="C140" s="481" t="s">
        <v>83</v>
      </c>
      <c r="D140" s="481">
        <v>7</v>
      </c>
      <c r="E140" s="481">
        <v>49</v>
      </c>
      <c r="F140" s="481">
        <v>62</v>
      </c>
    </row>
    <row r="141" spans="1:6">
      <c r="A141" s="481" t="s">
        <v>75</v>
      </c>
      <c r="B141" s="481">
        <v>2012</v>
      </c>
      <c r="C141" s="481" t="s">
        <v>84</v>
      </c>
      <c r="D141" s="481">
        <v>8</v>
      </c>
      <c r="E141" s="481">
        <v>28</v>
      </c>
      <c r="F141" s="481">
        <v>105</v>
      </c>
    </row>
    <row r="142" spans="1:6">
      <c r="A142" s="481" t="s">
        <v>75</v>
      </c>
      <c r="B142" s="481">
        <v>2012</v>
      </c>
      <c r="C142" s="481" t="s">
        <v>85</v>
      </c>
      <c r="D142" s="481">
        <v>9</v>
      </c>
      <c r="E142" s="481">
        <v>102</v>
      </c>
      <c r="F142" s="481">
        <v>35</v>
      </c>
    </row>
    <row r="143" spans="1:6">
      <c r="A143" s="481" t="s">
        <v>75</v>
      </c>
      <c r="B143" s="481">
        <v>2012</v>
      </c>
      <c r="C143" s="481" t="s">
        <v>86</v>
      </c>
      <c r="D143" s="481">
        <v>10</v>
      </c>
      <c r="E143" s="481">
        <v>161</v>
      </c>
      <c r="F143" s="481">
        <v>4</v>
      </c>
    </row>
    <row r="144" spans="1:6">
      <c r="A144" s="481" t="s">
        <v>75</v>
      </c>
      <c r="B144" s="481">
        <v>2012</v>
      </c>
      <c r="C144" s="481" t="s">
        <v>87</v>
      </c>
      <c r="D144" s="481">
        <v>11</v>
      </c>
      <c r="E144" s="481">
        <v>297</v>
      </c>
      <c r="F144" s="481">
        <v>0</v>
      </c>
    </row>
    <row r="145" spans="1:6">
      <c r="A145" s="481" t="s">
        <v>75</v>
      </c>
      <c r="B145" s="481">
        <v>2012</v>
      </c>
      <c r="C145" s="481" t="s">
        <v>88</v>
      </c>
      <c r="D145" s="481">
        <v>12</v>
      </c>
      <c r="E145" s="481">
        <v>333</v>
      </c>
      <c r="F145" s="481">
        <v>0</v>
      </c>
    </row>
    <row r="146" spans="1:6">
      <c r="A146" s="481" t="s">
        <v>75</v>
      </c>
      <c r="B146" s="481">
        <v>2013</v>
      </c>
      <c r="C146" s="481" t="s">
        <v>73</v>
      </c>
      <c r="D146" s="481">
        <v>1</v>
      </c>
      <c r="E146" s="481">
        <v>409</v>
      </c>
      <c r="F146" s="481">
        <v>0</v>
      </c>
    </row>
    <row r="147" spans="1:6">
      <c r="A147" s="481" t="s">
        <v>75</v>
      </c>
      <c r="B147" s="481">
        <v>2013</v>
      </c>
      <c r="C147" s="481" t="s">
        <v>76</v>
      </c>
      <c r="D147" s="481">
        <v>2</v>
      </c>
      <c r="E147" s="481">
        <v>388</v>
      </c>
      <c r="F147" s="481">
        <v>0</v>
      </c>
    </row>
    <row r="148" spans="1:6">
      <c r="A148" s="481" t="s">
        <v>75</v>
      </c>
      <c r="B148" s="481">
        <v>2013</v>
      </c>
      <c r="C148" s="481" t="s">
        <v>78</v>
      </c>
      <c r="D148" s="481">
        <v>3</v>
      </c>
      <c r="E148" s="481">
        <v>359</v>
      </c>
      <c r="F148" s="481">
        <v>0</v>
      </c>
    </row>
    <row r="149" spans="1:6">
      <c r="A149" s="481" t="s">
        <v>75</v>
      </c>
      <c r="B149" s="481">
        <v>2013</v>
      </c>
      <c r="C149" s="481" t="s">
        <v>80</v>
      </c>
      <c r="D149" s="481">
        <v>4</v>
      </c>
      <c r="E149" s="481">
        <v>247</v>
      </c>
      <c r="F149" s="481">
        <v>8</v>
      </c>
    </row>
    <row r="150" spans="1:6">
      <c r="A150" s="481" t="s">
        <v>75</v>
      </c>
      <c r="B150" s="481">
        <v>2013</v>
      </c>
      <c r="C150" s="481" t="s">
        <v>81</v>
      </c>
      <c r="D150" s="481">
        <v>5</v>
      </c>
      <c r="E150" s="481">
        <v>175</v>
      </c>
      <c r="F150" s="481">
        <v>4</v>
      </c>
    </row>
    <row r="151" spans="1:6">
      <c r="A151" s="481" t="s">
        <v>75</v>
      </c>
      <c r="B151" s="481">
        <v>2013</v>
      </c>
      <c r="C151" s="481" t="s">
        <v>82</v>
      </c>
      <c r="D151" s="481">
        <v>6</v>
      </c>
      <c r="E151" s="481">
        <v>68</v>
      </c>
      <c r="F151" s="481">
        <v>38</v>
      </c>
    </row>
    <row r="152" spans="1:6">
      <c r="A152" s="481" t="s">
        <v>75</v>
      </c>
      <c r="B152" s="481">
        <v>2013</v>
      </c>
      <c r="C152" s="481" t="s">
        <v>83</v>
      </c>
      <c r="D152" s="481">
        <v>7</v>
      </c>
      <c r="E152" s="481">
        <v>13</v>
      </c>
      <c r="F152" s="481">
        <v>152</v>
      </c>
    </row>
    <row r="153" spans="1:6">
      <c r="A153" s="481" t="s">
        <v>75</v>
      </c>
      <c r="B153" s="481">
        <v>2013</v>
      </c>
      <c r="C153" s="481" t="s">
        <v>84</v>
      </c>
      <c r="D153" s="481">
        <v>8</v>
      </c>
      <c r="E153" s="481">
        <v>38</v>
      </c>
      <c r="F153" s="481">
        <v>97</v>
      </c>
    </row>
    <row r="154" spans="1:6">
      <c r="A154" s="481" t="s">
        <v>75</v>
      </c>
      <c r="B154" s="481">
        <v>2013</v>
      </c>
      <c r="C154" s="481" t="s">
        <v>85</v>
      </c>
      <c r="D154" s="481">
        <v>9</v>
      </c>
      <c r="E154" s="481">
        <v>69</v>
      </c>
      <c r="F154" s="481">
        <v>44</v>
      </c>
    </row>
    <row r="155" spans="1:6">
      <c r="A155" s="481" t="s">
        <v>75</v>
      </c>
      <c r="B155" s="481">
        <v>2013</v>
      </c>
      <c r="C155" s="481" t="s">
        <v>86</v>
      </c>
      <c r="D155" s="481">
        <v>10</v>
      </c>
      <c r="E155" s="481">
        <v>122</v>
      </c>
      <c r="F155" s="481">
        <v>11</v>
      </c>
    </row>
    <row r="156" spans="1:6">
      <c r="A156" s="481" t="s">
        <v>75</v>
      </c>
      <c r="B156" s="481">
        <v>2013</v>
      </c>
      <c r="C156" s="481" t="s">
        <v>87</v>
      </c>
      <c r="D156" s="481">
        <v>11</v>
      </c>
      <c r="E156" s="481">
        <v>308</v>
      </c>
      <c r="F156" s="481">
        <v>0</v>
      </c>
    </row>
    <row r="157" spans="1:6">
      <c r="A157" s="481" t="s">
        <v>75</v>
      </c>
      <c r="B157" s="481">
        <v>2013</v>
      </c>
      <c r="C157" s="481" t="s">
        <v>88</v>
      </c>
      <c r="D157" s="481">
        <v>12</v>
      </c>
      <c r="E157" s="481">
        <v>380</v>
      </c>
      <c r="F157" s="481">
        <v>0</v>
      </c>
    </row>
    <row r="158" spans="1:6">
      <c r="A158" s="481" t="s">
        <v>75</v>
      </c>
      <c r="B158" s="481">
        <v>2014</v>
      </c>
      <c r="C158" s="481" t="s">
        <v>73</v>
      </c>
      <c r="D158" s="481">
        <v>1</v>
      </c>
      <c r="E158" s="481">
        <v>320</v>
      </c>
      <c r="F158" s="481">
        <v>0</v>
      </c>
    </row>
    <row r="159" spans="1:6">
      <c r="A159" s="481" t="s">
        <v>75</v>
      </c>
      <c r="B159" s="481">
        <v>2014</v>
      </c>
      <c r="C159" s="481" t="s">
        <v>76</v>
      </c>
      <c r="D159" s="481">
        <v>2</v>
      </c>
      <c r="E159" s="481">
        <v>280</v>
      </c>
      <c r="F159" s="481">
        <v>0</v>
      </c>
    </row>
    <row r="160" spans="1:6">
      <c r="A160" s="481" t="s">
        <v>75</v>
      </c>
      <c r="B160" s="481">
        <v>2014</v>
      </c>
      <c r="C160" s="481" t="s">
        <v>78</v>
      </c>
      <c r="D160" s="481">
        <v>3</v>
      </c>
      <c r="E160" s="481">
        <v>264</v>
      </c>
      <c r="F160" s="481">
        <v>3</v>
      </c>
    </row>
    <row r="161" spans="1:6">
      <c r="A161" s="481" t="s">
        <v>75</v>
      </c>
      <c r="B161" s="481">
        <v>2014</v>
      </c>
      <c r="C161" s="481" t="s">
        <v>80</v>
      </c>
      <c r="D161" s="481">
        <v>4</v>
      </c>
      <c r="E161" s="481">
        <v>174</v>
      </c>
      <c r="F161" s="481">
        <v>4</v>
      </c>
    </row>
    <row r="162" spans="1:6">
      <c r="A162" s="481" t="s">
        <v>75</v>
      </c>
      <c r="B162" s="481">
        <v>2014</v>
      </c>
      <c r="C162" s="481" t="s">
        <v>81</v>
      </c>
      <c r="D162" s="481">
        <v>5</v>
      </c>
      <c r="E162" s="481">
        <v>133</v>
      </c>
      <c r="F162" s="481">
        <v>11</v>
      </c>
    </row>
    <row r="163" spans="1:6">
      <c r="A163" s="481" t="s">
        <v>75</v>
      </c>
      <c r="B163" s="481">
        <v>2014</v>
      </c>
      <c r="C163" s="481" t="s">
        <v>82</v>
      </c>
      <c r="D163" s="481">
        <v>6</v>
      </c>
      <c r="E163" s="481">
        <v>48</v>
      </c>
      <c r="F163" s="481">
        <v>62</v>
      </c>
    </row>
    <row r="164" spans="1:6">
      <c r="A164" s="481" t="s">
        <v>75</v>
      </c>
      <c r="B164" s="481">
        <v>2014</v>
      </c>
      <c r="C164" s="481" t="s">
        <v>83</v>
      </c>
      <c r="D164" s="481">
        <v>7</v>
      </c>
      <c r="E164" s="481">
        <v>22</v>
      </c>
      <c r="F164" s="481">
        <v>106</v>
      </c>
    </row>
    <row r="165" spans="1:6">
      <c r="A165" s="481" t="s">
        <v>75</v>
      </c>
      <c r="B165" s="481">
        <v>2014</v>
      </c>
      <c r="C165" s="481" t="s">
        <v>84</v>
      </c>
      <c r="D165" s="481">
        <v>8</v>
      </c>
      <c r="E165" s="481">
        <v>52</v>
      </c>
      <c r="F165" s="481">
        <v>48</v>
      </c>
    </row>
    <row r="166" spans="1:6">
      <c r="A166" s="481" t="s">
        <v>75</v>
      </c>
      <c r="B166" s="481">
        <v>2014</v>
      </c>
      <c r="C166" s="481" t="s">
        <v>85</v>
      </c>
      <c r="D166" s="481">
        <v>9</v>
      </c>
      <c r="E166" s="481">
        <v>54</v>
      </c>
      <c r="F166" s="481">
        <v>64</v>
      </c>
    </row>
    <row r="167" spans="1:6">
      <c r="A167" s="481" t="s">
        <v>75</v>
      </c>
      <c r="B167" s="481">
        <v>2014</v>
      </c>
      <c r="C167" s="481" t="s">
        <v>86</v>
      </c>
      <c r="D167" s="481">
        <v>10</v>
      </c>
      <c r="E167" s="481">
        <v>124</v>
      </c>
      <c r="F167" s="481">
        <v>17</v>
      </c>
    </row>
    <row r="168" spans="1:6">
      <c r="A168" s="481" t="s">
        <v>75</v>
      </c>
      <c r="B168" s="481">
        <v>2014</v>
      </c>
      <c r="C168" s="481" t="s">
        <v>87</v>
      </c>
      <c r="D168" s="481">
        <v>11</v>
      </c>
      <c r="E168" s="481">
        <v>219</v>
      </c>
      <c r="F168" s="481">
        <v>0</v>
      </c>
    </row>
    <row r="169" spans="1:6">
      <c r="A169" s="481" t="s">
        <v>75</v>
      </c>
      <c r="B169" s="481">
        <v>2014</v>
      </c>
      <c r="C169" s="481" t="s">
        <v>88</v>
      </c>
      <c r="D169" s="481">
        <v>12</v>
      </c>
      <c r="E169" s="481">
        <v>374</v>
      </c>
      <c r="F169" s="481">
        <v>0</v>
      </c>
    </row>
    <row r="170" spans="1:6">
      <c r="A170" s="481" t="s">
        <v>75</v>
      </c>
      <c r="B170" s="481">
        <v>2015</v>
      </c>
      <c r="C170" s="481" t="s">
        <v>73</v>
      </c>
      <c r="D170" s="481">
        <v>1</v>
      </c>
      <c r="E170" s="481">
        <v>391</v>
      </c>
      <c r="F170" s="481">
        <v>0</v>
      </c>
    </row>
    <row r="171" spans="1:6">
      <c r="A171" s="481" t="s">
        <v>75</v>
      </c>
      <c r="B171" s="481">
        <v>2015</v>
      </c>
      <c r="C171" s="481" t="s">
        <v>76</v>
      </c>
      <c r="D171" s="481">
        <v>2</v>
      </c>
      <c r="E171" s="481">
        <v>366</v>
      </c>
      <c r="F171" s="481">
        <v>0</v>
      </c>
    </row>
    <row r="172" spans="1:6">
      <c r="A172" s="481" t="s">
        <v>75</v>
      </c>
      <c r="B172" s="481">
        <v>2015</v>
      </c>
      <c r="C172" s="481" t="s">
        <v>78</v>
      </c>
      <c r="D172" s="481">
        <v>3</v>
      </c>
      <c r="E172" s="481">
        <v>300</v>
      </c>
      <c r="F172" s="481">
        <v>0</v>
      </c>
    </row>
    <row r="173" spans="1:6">
      <c r="A173" s="481" t="s">
        <v>75</v>
      </c>
      <c r="B173" s="481">
        <v>2015</v>
      </c>
      <c r="C173" s="481" t="s">
        <v>80</v>
      </c>
      <c r="D173" s="481">
        <v>4</v>
      </c>
      <c r="E173" s="481">
        <v>166</v>
      </c>
      <c r="F173" s="481">
        <v>17</v>
      </c>
    </row>
    <row r="174" spans="1:6">
      <c r="A174" s="481" t="s">
        <v>75</v>
      </c>
      <c r="B174" s="481">
        <v>2015</v>
      </c>
      <c r="C174" s="481" t="s">
        <v>81</v>
      </c>
      <c r="D174" s="481">
        <v>5</v>
      </c>
      <c r="E174" s="481">
        <v>120</v>
      </c>
      <c r="F174" s="481">
        <v>16</v>
      </c>
    </row>
    <row r="175" spans="1:6">
      <c r="A175" s="481" t="s">
        <v>75</v>
      </c>
      <c r="B175" s="481">
        <v>2015</v>
      </c>
      <c r="C175" s="481" t="s">
        <v>82</v>
      </c>
      <c r="D175" s="481">
        <v>6</v>
      </c>
      <c r="E175" s="481">
        <v>52</v>
      </c>
      <c r="F175" s="481">
        <v>76</v>
      </c>
    </row>
    <row r="176" spans="1:6">
      <c r="A176" s="481" t="s">
        <v>75</v>
      </c>
      <c r="B176" s="481">
        <v>2015</v>
      </c>
      <c r="C176" s="481" t="s">
        <v>83</v>
      </c>
      <c r="D176" s="481">
        <v>7</v>
      </c>
      <c r="E176" s="481">
        <v>29</v>
      </c>
      <c r="F176" s="481">
        <v>127</v>
      </c>
    </row>
    <row r="177" spans="1:6">
      <c r="A177" s="481" t="s">
        <v>75</v>
      </c>
      <c r="B177" s="481">
        <v>2015</v>
      </c>
      <c r="C177" s="481" t="s">
        <v>84</v>
      </c>
      <c r="D177" s="481">
        <v>8</v>
      </c>
      <c r="E177" s="481">
        <v>32</v>
      </c>
      <c r="F177" s="481">
        <v>115</v>
      </c>
    </row>
    <row r="178" spans="1:6">
      <c r="A178" s="481" t="s">
        <v>75</v>
      </c>
      <c r="B178" s="481">
        <v>2015</v>
      </c>
      <c r="C178" s="481" t="s">
        <v>85</v>
      </c>
      <c r="D178" s="481">
        <v>9</v>
      </c>
      <c r="E178" s="481">
        <v>97</v>
      </c>
      <c r="F178" s="481">
        <v>17</v>
      </c>
    </row>
    <row r="179" spans="1:6">
      <c r="A179" s="481" t="s">
        <v>75</v>
      </c>
      <c r="B179" s="481">
        <v>2015</v>
      </c>
      <c r="C179" s="481" t="s">
        <v>86</v>
      </c>
      <c r="D179" s="481">
        <v>10</v>
      </c>
      <c r="E179" s="481">
        <v>181</v>
      </c>
      <c r="F179" s="481">
        <v>3</v>
      </c>
    </row>
    <row r="180" spans="1:6">
      <c r="A180" s="481" t="s">
        <v>75</v>
      </c>
      <c r="B180" s="481">
        <v>2015</v>
      </c>
      <c r="C180" s="481" t="s">
        <v>87</v>
      </c>
      <c r="D180" s="481">
        <v>11</v>
      </c>
      <c r="E180" s="481">
        <v>191</v>
      </c>
      <c r="F180" s="481">
        <v>3</v>
      </c>
    </row>
    <row r="181" spans="1:6">
      <c r="A181" s="481" t="s">
        <v>75</v>
      </c>
      <c r="B181" s="481">
        <v>2015</v>
      </c>
      <c r="C181" s="481" t="s">
        <v>88</v>
      </c>
      <c r="D181" s="481">
        <v>12</v>
      </c>
      <c r="E181" s="481">
        <v>258</v>
      </c>
      <c r="F181" s="481">
        <v>0</v>
      </c>
    </row>
    <row r="182" spans="1:6">
      <c r="A182" s="481" t="s">
        <v>75</v>
      </c>
      <c r="B182" s="481">
        <v>2016</v>
      </c>
      <c r="C182" s="481" t="s">
        <v>73</v>
      </c>
      <c r="D182" s="481">
        <v>1</v>
      </c>
      <c r="E182" s="481">
        <v>348</v>
      </c>
      <c r="F182" s="481">
        <v>0</v>
      </c>
    </row>
    <row r="183" spans="1:6">
      <c r="A183" s="481" t="s">
        <v>75</v>
      </c>
      <c r="B183" s="481">
        <v>2016</v>
      </c>
      <c r="C183" s="481" t="s">
        <v>76</v>
      </c>
      <c r="D183" s="481">
        <v>2</v>
      </c>
      <c r="E183" s="481">
        <v>319</v>
      </c>
      <c r="F183" s="481">
        <v>0</v>
      </c>
    </row>
    <row r="184" spans="1:6">
      <c r="A184" s="481" t="s">
        <v>75</v>
      </c>
      <c r="B184" s="481">
        <v>2016</v>
      </c>
      <c r="C184" s="481" t="s">
        <v>78</v>
      </c>
      <c r="D184" s="481">
        <v>3</v>
      </c>
      <c r="E184" s="481">
        <v>328</v>
      </c>
      <c r="F184" s="481">
        <v>0</v>
      </c>
    </row>
    <row r="185" spans="1:6">
      <c r="A185" s="481" t="s">
        <v>75</v>
      </c>
      <c r="B185" s="481">
        <v>2016</v>
      </c>
      <c r="C185" s="481" t="s">
        <v>80</v>
      </c>
      <c r="D185" s="481">
        <v>4</v>
      </c>
      <c r="E185" s="481">
        <v>252</v>
      </c>
      <c r="F185" s="481">
        <v>2</v>
      </c>
    </row>
    <row r="186" spans="1:6">
      <c r="A186" s="481" t="s">
        <v>75</v>
      </c>
      <c r="B186" s="481">
        <v>2016</v>
      </c>
      <c r="C186" s="481" t="s">
        <v>81</v>
      </c>
      <c r="D186" s="481">
        <v>5</v>
      </c>
      <c r="E186" s="481">
        <v>126</v>
      </c>
      <c r="F186" s="481">
        <v>19</v>
      </c>
    </row>
    <row r="187" spans="1:6">
      <c r="A187" s="481" t="s">
        <v>75</v>
      </c>
      <c r="B187" s="481">
        <v>2016</v>
      </c>
      <c r="C187" s="481" t="s">
        <v>82</v>
      </c>
      <c r="D187" s="481">
        <v>6</v>
      </c>
      <c r="E187" s="481">
        <v>48</v>
      </c>
      <c r="F187" s="481">
        <v>42</v>
      </c>
    </row>
    <row r="188" spans="1:6">
      <c r="A188" s="481" t="s">
        <v>75</v>
      </c>
      <c r="B188" s="481">
        <v>2016</v>
      </c>
      <c r="C188" s="481" t="s">
        <v>83</v>
      </c>
      <c r="D188" s="481">
        <v>7</v>
      </c>
      <c r="E188" s="481">
        <v>32</v>
      </c>
      <c r="F188" s="481">
        <v>107</v>
      </c>
    </row>
    <row r="189" spans="1:6">
      <c r="A189" s="481" t="s">
        <v>75</v>
      </c>
      <c r="B189" s="481">
        <v>2016</v>
      </c>
      <c r="C189" s="481" t="s">
        <v>84</v>
      </c>
      <c r="D189" s="481">
        <v>8</v>
      </c>
      <c r="E189" s="481">
        <v>34</v>
      </c>
      <c r="F189" s="481">
        <v>131</v>
      </c>
    </row>
    <row r="190" spans="1:6">
      <c r="A190" s="481" t="s">
        <v>75</v>
      </c>
      <c r="B190" s="481">
        <v>2016</v>
      </c>
      <c r="C190" s="481" t="s">
        <v>85</v>
      </c>
      <c r="D190" s="481">
        <v>9</v>
      </c>
      <c r="E190" s="481">
        <v>43</v>
      </c>
      <c r="F190" s="481">
        <v>78</v>
      </c>
    </row>
    <row r="191" spans="1:6">
      <c r="A191" s="481" t="s">
        <v>75</v>
      </c>
      <c r="B191" s="481">
        <v>2016</v>
      </c>
      <c r="C191" s="481" t="s">
        <v>86</v>
      </c>
      <c r="D191" s="481">
        <v>10</v>
      </c>
      <c r="E191" s="481">
        <v>202</v>
      </c>
      <c r="F191" s="481">
        <v>2</v>
      </c>
    </row>
    <row r="192" spans="1:6">
      <c r="A192" s="481" t="s">
        <v>75</v>
      </c>
      <c r="B192" s="481">
        <v>2016</v>
      </c>
      <c r="C192" s="481" t="s">
        <v>87</v>
      </c>
      <c r="D192" s="481">
        <v>11</v>
      </c>
      <c r="E192" s="481">
        <v>289</v>
      </c>
      <c r="F192" s="481">
        <v>0</v>
      </c>
    </row>
    <row r="193" spans="1:6">
      <c r="A193" s="481" t="s">
        <v>75</v>
      </c>
      <c r="B193" s="481">
        <v>2016</v>
      </c>
      <c r="C193" s="481" t="s">
        <v>88</v>
      </c>
      <c r="D193" s="481">
        <v>12</v>
      </c>
      <c r="E193" s="481">
        <v>400</v>
      </c>
      <c r="F193" s="481">
        <v>0</v>
      </c>
    </row>
    <row r="194" spans="1:6">
      <c r="A194" s="481" t="s">
        <v>75</v>
      </c>
      <c r="B194" s="481">
        <v>2017</v>
      </c>
      <c r="C194" s="481" t="s">
        <v>73</v>
      </c>
      <c r="D194" s="481">
        <v>1</v>
      </c>
      <c r="E194" s="481">
        <v>455</v>
      </c>
      <c r="F194" s="481">
        <v>0</v>
      </c>
    </row>
    <row r="195" spans="1:6">
      <c r="A195" s="481" t="s">
        <v>75</v>
      </c>
      <c r="B195" s="481">
        <v>2017</v>
      </c>
      <c r="C195" s="481" t="s">
        <v>76</v>
      </c>
      <c r="D195" s="481">
        <v>2</v>
      </c>
      <c r="E195" s="481">
        <v>288</v>
      </c>
      <c r="F195" s="481">
        <v>0</v>
      </c>
    </row>
    <row r="196" spans="1:6">
      <c r="A196" s="481" t="s">
        <v>75</v>
      </c>
      <c r="B196" s="481">
        <v>2017</v>
      </c>
      <c r="C196" s="481" t="s">
        <v>78</v>
      </c>
      <c r="D196" s="481">
        <v>3</v>
      </c>
      <c r="E196" s="481">
        <v>224</v>
      </c>
      <c r="F196" s="481">
        <v>4</v>
      </c>
    </row>
    <row r="197" spans="1:6">
      <c r="A197" s="481" t="s">
        <v>75</v>
      </c>
      <c r="B197" s="481">
        <v>2017</v>
      </c>
      <c r="C197" s="481" t="s">
        <v>80</v>
      </c>
      <c r="D197" s="481">
        <v>4</v>
      </c>
      <c r="E197" s="481">
        <v>227</v>
      </c>
      <c r="F197" s="481">
        <v>5</v>
      </c>
    </row>
    <row r="198" spans="1:6">
      <c r="A198" s="481" t="s">
        <v>75</v>
      </c>
      <c r="B198" s="481">
        <v>2017</v>
      </c>
      <c r="C198" s="481" t="s">
        <v>81</v>
      </c>
      <c r="D198" s="481">
        <v>5</v>
      </c>
      <c r="E198" s="481">
        <v>98</v>
      </c>
      <c r="F198" s="481">
        <v>49</v>
      </c>
    </row>
    <row r="199" spans="1:6">
      <c r="A199" s="481" t="s">
        <v>75</v>
      </c>
      <c r="B199" s="481">
        <v>2017</v>
      </c>
      <c r="C199" s="481" t="s">
        <v>82</v>
      </c>
      <c r="D199" s="481">
        <v>6</v>
      </c>
      <c r="E199" s="481">
        <v>30</v>
      </c>
      <c r="F199" s="481">
        <v>118</v>
      </c>
    </row>
    <row r="200" spans="1:6">
      <c r="A200" s="481" t="s">
        <v>75</v>
      </c>
      <c r="B200" s="481">
        <v>2017</v>
      </c>
      <c r="C200" s="481" t="s">
        <v>83</v>
      </c>
      <c r="D200" s="481">
        <v>7</v>
      </c>
      <c r="E200" s="481">
        <v>23</v>
      </c>
      <c r="F200" s="481">
        <v>112</v>
      </c>
    </row>
    <row r="201" spans="1:6">
      <c r="A201" s="481" t="s">
        <v>75</v>
      </c>
      <c r="B201" s="481">
        <v>2017</v>
      </c>
      <c r="C201" s="481" t="s">
        <v>84</v>
      </c>
      <c r="D201" s="481">
        <v>8</v>
      </c>
      <c r="E201" s="481">
        <v>32</v>
      </c>
      <c r="F201" s="481">
        <v>100</v>
      </c>
    </row>
    <row r="202" spans="1:6">
      <c r="A202" s="481" t="s">
        <v>75</v>
      </c>
      <c r="B202" s="481">
        <v>2017</v>
      </c>
      <c r="C202" s="481" t="s">
        <v>85</v>
      </c>
      <c r="D202" s="481">
        <v>9</v>
      </c>
      <c r="E202" s="481">
        <v>82</v>
      </c>
      <c r="F202" s="481">
        <v>19</v>
      </c>
    </row>
    <row r="203" spans="1:6">
      <c r="A203" s="481" t="s">
        <v>75</v>
      </c>
      <c r="B203" s="481">
        <v>2017</v>
      </c>
      <c r="C203" s="481" t="s">
        <v>86</v>
      </c>
      <c r="D203" s="481">
        <v>10</v>
      </c>
      <c r="E203" s="481">
        <v>126</v>
      </c>
      <c r="F203" s="481">
        <v>14</v>
      </c>
    </row>
    <row r="204" spans="1:6">
      <c r="A204" s="481" t="s">
        <v>75</v>
      </c>
      <c r="B204" s="481">
        <v>2017</v>
      </c>
      <c r="C204" s="481" t="s">
        <v>87</v>
      </c>
      <c r="D204" s="481">
        <v>11</v>
      </c>
      <c r="E204" s="481">
        <v>288</v>
      </c>
      <c r="F204" s="481">
        <v>0</v>
      </c>
    </row>
    <row r="205" spans="1:6">
      <c r="A205" s="481" t="s">
        <v>75</v>
      </c>
      <c r="B205" s="481">
        <v>2017</v>
      </c>
      <c r="C205" s="481" t="s">
        <v>88</v>
      </c>
      <c r="D205" s="481">
        <v>12</v>
      </c>
      <c r="E205" s="481">
        <v>365</v>
      </c>
      <c r="F205" s="481">
        <v>0</v>
      </c>
    </row>
    <row r="206" spans="1:6">
      <c r="A206" s="481" t="s">
        <v>75</v>
      </c>
      <c r="B206" s="481">
        <v>2018</v>
      </c>
      <c r="C206" s="481" t="s">
        <v>73</v>
      </c>
      <c r="D206" s="481">
        <v>1</v>
      </c>
      <c r="E206" s="481">
        <v>298</v>
      </c>
      <c r="F206" s="481">
        <v>0</v>
      </c>
    </row>
    <row r="207" spans="1:6">
      <c r="A207" s="481" t="s">
        <v>75</v>
      </c>
      <c r="B207" s="481">
        <v>2018</v>
      </c>
      <c r="C207" s="481" t="s">
        <v>76</v>
      </c>
      <c r="D207" s="481">
        <v>2</v>
      </c>
      <c r="E207" s="481">
        <v>414</v>
      </c>
      <c r="F207" s="481">
        <v>0</v>
      </c>
    </row>
    <row r="208" spans="1:6">
      <c r="A208" s="481" t="s">
        <v>75</v>
      </c>
      <c r="B208" s="481">
        <v>2018</v>
      </c>
      <c r="C208" s="481" t="s">
        <v>78</v>
      </c>
      <c r="D208" s="481">
        <v>3</v>
      </c>
      <c r="E208" s="481">
        <v>305</v>
      </c>
      <c r="F208" s="481">
        <v>0</v>
      </c>
    </row>
    <row r="209" spans="1:6">
      <c r="A209" s="481" t="s">
        <v>75</v>
      </c>
      <c r="B209" s="481">
        <v>2018</v>
      </c>
      <c r="C209" s="481" t="s">
        <v>80</v>
      </c>
      <c r="D209" s="481">
        <v>4</v>
      </c>
      <c r="E209" s="481">
        <v>152</v>
      </c>
      <c r="F209" s="481">
        <v>20</v>
      </c>
    </row>
    <row r="210" spans="1:6">
      <c r="A210" s="481" t="s">
        <v>75</v>
      </c>
      <c r="B210" s="481">
        <v>2018</v>
      </c>
      <c r="C210" s="481" t="s">
        <v>81</v>
      </c>
      <c r="D210" s="481">
        <v>5</v>
      </c>
      <c r="E210" s="481">
        <v>96</v>
      </c>
      <c r="F210" s="481">
        <v>49</v>
      </c>
    </row>
    <row r="211" spans="1:6">
      <c r="A211" s="481" t="s">
        <v>75</v>
      </c>
      <c r="B211" s="481">
        <v>2018</v>
      </c>
      <c r="C211" s="481" t="s">
        <v>82</v>
      </c>
      <c r="D211" s="481">
        <v>6</v>
      </c>
      <c r="E211" s="481">
        <v>25</v>
      </c>
      <c r="F211" s="481">
        <v>82</v>
      </c>
    </row>
    <row r="212" spans="1:6">
      <c r="A212" s="481" t="s">
        <v>75</v>
      </c>
      <c r="B212" s="481">
        <v>2018</v>
      </c>
      <c r="C212" s="481" t="s">
        <v>83</v>
      </c>
      <c r="D212" s="481">
        <v>7</v>
      </c>
      <c r="E212" s="481">
        <v>6</v>
      </c>
      <c r="F212" s="481">
        <v>169</v>
      </c>
    </row>
    <row r="213" spans="1:6">
      <c r="A213" s="481" t="s">
        <v>75</v>
      </c>
      <c r="B213" s="481">
        <v>2018</v>
      </c>
      <c r="C213" s="481" t="s">
        <v>84</v>
      </c>
      <c r="D213" s="481">
        <v>8</v>
      </c>
      <c r="E213" s="481">
        <v>26</v>
      </c>
      <c r="F213" s="481">
        <v>126</v>
      </c>
    </row>
    <row r="214" spans="1:6">
      <c r="A214" s="481" t="s">
        <v>75</v>
      </c>
      <c r="B214" s="481">
        <v>2018</v>
      </c>
      <c r="C214" s="481" t="s">
        <v>85</v>
      </c>
      <c r="D214" s="481">
        <v>9</v>
      </c>
      <c r="E214" s="481">
        <v>73</v>
      </c>
      <c r="F214" s="481">
        <v>59</v>
      </c>
    </row>
    <row r="215" spans="1:6">
      <c r="A215" s="481" t="s">
        <v>75</v>
      </c>
      <c r="B215" s="481">
        <v>2018</v>
      </c>
      <c r="C215" s="481" t="s">
        <v>86</v>
      </c>
      <c r="D215" s="481">
        <v>10</v>
      </c>
      <c r="E215" s="481">
        <v>157</v>
      </c>
      <c r="F215" s="481">
        <v>24</v>
      </c>
    </row>
    <row r="216" spans="1:6">
      <c r="A216" s="481" t="s">
        <v>75</v>
      </c>
      <c r="B216" s="481">
        <v>2018</v>
      </c>
      <c r="C216" s="481" t="s">
        <v>87</v>
      </c>
      <c r="D216" s="481">
        <v>11</v>
      </c>
      <c r="E216" s="481">
        <v>277</v>
      </c>
      <c r="F216" s="481">
        <v>0</v>
      </c>
    </row>
    <row r="217" spans="1:6">
      <c r="A217" s="481" t="s">
        <v>75</v>
      </c>
      <c r="B217" s="481">
        <v>2018</v>
      </c>
      <c r="C217" s="481" t="s">
        <v>88</v>
      </c>
      <c r="D217" s="481">
        <v>12</v>
      </c>
      <c r="E217" s="481">
        <v>318</v>
      </c>
      <c r="F217" s="481">
        <v>0</v>
      </c>
    </row>
    <row r="218" spans="1:6">
      <c r="A218" s="481" t="s">
        <v>75</v>
      </c>
      <c r="B218" s="481">
        <v>2019</v>
      </c>
      <c r="C218" s="481" t="s">
        <v>73</v>
      </c>
      <c r="D218" s="481">
        <v>1</v>
      </c>
      <c r="E218" s="481">
        <v>402</v>
      </c>
      <c r="F218" s="481">
        <v>0</v>
      </c>
    </row>
    <row r="219" spans="1:6">
      <c r="A219" s="481" t="s">
        <v>75</v>
      </c>
      <c r="B219" s="481">
        <v>2019</v>
      </c>
      <c r="C219" s="481" t="s">
        <v>76</v>
      </c>
      <c r="D219" s="481">
        <v>2</v>
      </c>
      <c r="E219" s="481">
        <v>297</v>
      </c>
      <c r="F219" s="481">
        <v>1</v>
      </c>
    </row>
    <row r="220" spans="1:6">
      <c r="A220" s="481" t="s">
        <v>75</v>
      </c>
      <c r="B220" s="481">
        <v>2019</v>
      </c>
      <c r="C220" s="481" t="s">
        <v>78</v>
      </c>
      <c r="D220" s="481">
        <v>3</v>
      </c>
      <c r="E220" s="481">
        <v>260</v>
      </c>
      <c r="F220" s="481">
        <v>1</v>
      </c>
    </row>
    <row r="221" spans="1:6">
      <c r="A221" s="481" t="s">
        <v>75</v>
      </c>
      <c r="B221" s="481">
        <v>2019</v>
      </c>
      <c r="C221" s="481" t="s">
        <v>80</v>
      </c>
      <c r="D221" s="481">
        <v>4</v>
      </c>
      <c r="E221" s="481">
        <v>201</v>
      </c>
      <c r="F221" s="481">
        <v>12</v>
      </c>
    </row>
    <row r="222" spans="1:6">
      <c r="A222" s="481" t="s">
        <v>75</v>
      </c>
      <c r="B222" s="481">
        <v>2019</v>
      </c>
      <c r="C222" s="481" t="s">
        <v>81</v>
      </c>
      <c r="D222" s="481">
        <v>5</v>
      </c>
      <c r="E222" s="481">
        <v>146</v>
      </c>
      <c r="F222" s="481">
        <v>14</v>
      </c>
    </row>
    <row r="223" spans="1:6">
      <c r="A223" s="481" t="s">
        <v>75</v>
      </c>
      <c r="B223" s="481">
        <v>2019</v>
      </c>
      <c r="C223" s="481" t="s">
        <v>82</v>
      </c>
      <c r="D223" s="481">
        <v>6</v>
      </c>
      <c r="E223" s="481">
        <v>54</v>
      </c>
      <c r="F223" s="481">
        <v>102</v>
      </c>
    </row>
    <row r="224" spans="1:6">
      <c r="A224" s="481" t="s">
        <v>75</v>
      </c>
      <c r="B224" s="481">
        <v>2019</v>
      </c>
      <c r="C224" s="481" t="s">
        <v>83</v>
      </c>
      <c r="D224" s="481">
        <v>7</v>
      </c>
      <c r="E224" s="481">
        <v>16</v>
      </c>
      <c r="F224" s="481">
        <v>158</v>
      </c>
    </row>
    <row r="225" spans="1:6">
      <c r="A225" s="481" t="s">
        <v>75</v>
      </c>
      <c r="B225" s="481">
        <v>2019</v>
      </c>
      <c r="C225" s="481" t="s">
        <v>84</v>
      </c>
      <c r="D225" s="481">
        <v>8</v>
      </c>
      <c r="E225" s="481">
        <v>30</v>
      </c>
      <c r="F225" s="481">
        <v>108</v>
      </c>
    </row>
    <row r="226" spans="1:6">
      <c r="A226" s="481" t="s">
        <v>75</v>
      </c>
      <c r="B226" s="481">
        <v>2019</v>
      </c>
      <c r="C226" s="481" t="s">
        <v>85</v>
      </c>
      <c r="D226" s="481">
        <v>9</v>
      </c>
      <c r="E226" s="481">
        <v>65</v>
      </c>
      <c r="F226" s="481">
        <v>47</v>
      </c>
    </row>
    <row r="227" spans="1:6">
      <c r="A227" s="481" t="s">
        <v>75</v>
      </c>
      <c r="B227" s="481">
        <v>2019</v>
      </c>
      <c r="C227" s="481" t="s">
        <v>86</v>
      </c>
      <c r="D227" s="481">
        <v>10</v>
      </c>
      <c r="E227" s="481">
        <v>128</v>
      </c>
      <c r="F227" s="481">
        <v>9</v>
      </c>
    </row>
    <row r="228" spans="1:6">
      <c r="A228" s="481" t="s">
        <v>75</v>
      </c>
      <c r="B228" s="481">
        <v>2019</v>
      </c>
      <c r="C228" s="481" t="s">
        <v>87</v>
      </c>
      <c r="D228" s="481">
        <v>11</v>
      </c>
      <c r="E228" s="481">
        <v>292</v>
      </c>
      <c r="F228" s="481">
        <v>0</v>
      </c>
    </row>
    <row r="229" spans="1:6">
      <c r="A229" s="481" t="s">
        <v>75</v>
      </c>
      <c r="B229" s="481">
        <v>2019</v>
      </c>
      <c r="C229" s="481" t="s">
        <v>88</v>
      </c>
      <c r="D229" s="481">
        <v>12</v>
      </c>
      <c r="E229" s="481">
        <v>322</v>
      </c>
      <c r="F229" s="481">
        <v>0</v>
      </c>
    </row>
    <row r="230" spans="1:6">
      <c r="A230" s="481" t="s">
        <v>75</v>
      </c>
      <c r="B230" s="481">
        <v>2020</v>
      </c>
      <c r="C230" s="481" t="s">
        <v>73</v>
      </c>
      <c r="D230" s="481">
        <v>1</v>
      </c>
      <c r="E230" s="481">
        <v>331</v>
      </c>
      <c r="F230" s="481">
        <v>0</v>
      </c>
    </row>
    <row r="231" spans="1:6">
      <c r="A231" s="481" t="s">
        <v>75</v>
      </c>
      <c r="B231" s="481">
        <v>2020</v>
      </c>
      <c r="C231" s="481" t="s">
        <v>76</v>
      </c>
      <c r="D231" s="481">
        <v>2</v>
      </c>
      <c r="E231" s="481">
        <v>251</v>
      </c>
      <c r="F231" s="481">
        <v>0</v>
      </c>
    </row>
    <row r="232" spans="1:6">
      <c r="A232" s="481" t="s">
        <v>75</v>
      </c>
      <c r="B232" s="481">
        <v>2020</v>
      </c>
      <c r="C232" s="481" t="s">
        <v>78</v>
      </c>
      <c r="D232" s="481">
        <v>3</v>
      </c>
      <c r="E232" s="481">
        <v>272</v>
      </c>
      <c r="F232" s="481">
        <v>1</v>
      </c>
    </row>
    <row r="233" spans="1:6">
      <c r="A233" s="481" t="s">
        <v>75</v>
      </c>
      <c r="B233" s="481">
        <v>2020</v>
      </c>
      <c r="C233" s="481" t="s">
        <v>80</v>
      </c>
      <c r="D233" s="481">
        <v>4</v>
      </c>
      <c r="E233" s="481">
        <v>126</v>
      </c>
      <c r="F233" s="481">
        <v>27</v>
      </c>
    </row>
    <row r="234" spans="1:6">
      <c r="A234" s="481" t="s">
        <v>75</v>
      </c>
      <c r="B234" s="481">
        <v>2020</v>
      </c>
      <c r="C234" s="481" t="s">
        <v>81</v>
      </c>
      <c r="D234" s="481">
        <v>5</v>
      </c>
      <c r="E234" s="481">
        <v>92</v>
      </c>
      <c r="F234" s="481">
        <v>45</v>
      </c>
    </row>
    <row r="235" spans="1:6">
      <c r="A235" s="481" t="s">
        <v>75</v>
      </c>
      <c r="B235" s="481">
        <v>2020</v>
      </c>
      <c r="C235" s="481" t="s">
        <v>82</v>
      </c>
      <c r="D235" s="481">
        <v>6</v>
      </c>
      <c r="E235" s="481">
        <v>55</v>
      </c>
      <c r="F235" s="481">
        <v>59</v>
      </c>
    </row>
    <row r="236" spans="1:6">
      <c r="A236" s="481" t="s">
        <v>75</v>
      </c>
      <c r="B236" s="481">
        <v>2020</v>
      </c>
      <c r="C236" s="481" t="s">
        <v>83</v>
      </c>
      <c r="D236" s="481">
        <v>7</v>
      </c>
      <c r="E236" s="481">
        <v>32</v>
      </c>
      <c r="F236" s="481">
        <v>107</v>
      </c>
    </row>
    <row r="237" spans="1:6">
      <c r="A237" s="481" t="s">
        <v>75</v>
      </c>
      <c r="B237" s="481">
        <v>2020</v>
      </c>
      <c r="C237" s="481" t="s">
        <v>84</v>
      </c>
      <c r="D237" s="481">
        <v>8</v>
      </c>
      <c r="E237" s="481">
        <v>28</v>
      </c>
      <c r="F237" s="481">
        <v>143</v>
      </c>
    </row>
    <row r="238" spans="1:6">
      <c r="A238" s="481" t="s">
        <v>75</v>
      </c>
      <c r="B238" s="481">
        <v>2020</v>
      </c>
      <c r="C238" s="481" t="s">
        <v>85</v>
      </c>
      <c r="D238" s="481">
        <v>9</v>
      </c>
      <c r="E238" s="481">
        <v>56</v>
      </c>
      <c r="F238" s="481">
        <v>84</v>
      </c>
    </row>
    <row r="239" spans="1:6">
      <c r="A239" s="481" t="s">
        <v>75</v>
      </c>
      <c r="B239" s="481">
        <v>2020</v>
      </c>
      <c r="C239" s="481" t="s">
        <v>86</v>
      </c>
      <c r="D239" s="481">
        <v>10</v>
      </c>
      <c r="E239" s="481">
        <v>158</v>
      </c>
      <c r="F239" s="481">
        <v>2</v>
      </c>
    </row>
    <row r="240" spans="1:6">
      <c r="A240" s="481" t="s">
        <v>75</v>
      </c>
      <c r="B240" s="481">
        <v>2020</v>
      </c>
      <c r="C240" s="481" t="s">
        <v>87</v>
      </c>
      <c r="D240" s="481">
        <v>11</v>
      </c>
      <c r="E240" s="481">
        <v>237</v>
      </c>
      <c r="F240" s="481">
        <v>0</v>
      </c>
    </row>
    <row r="241" spans="1:6">
      <c r="A241" s="481" t="s">
        <v>75</v>
      </c>
      <c r="B241" s="481">
        <v>2020</v>
      </c>
      <c r="C241" s="481" t="s">
        <v>88</v>
      </c>
      <c r="D241" s="481">
        <v>12</v>
      </c>
      <c r="E241" s="481">
        <v>333</v>
      </c>
      <c r="F241" s="481">
        <v>0</v>
      </c>
    </row>
    <row r="242" spans="1:6">
      <c r="A242" s="481" t="s">
        <v>75</v>
      </c>
      <c r="B242" s="481">
        <v>2021</v>
      </c>
      <c r="C242" s="481" t="s">
        <v>73</v>
      </c>
      <c r="D242" s="481">
        <v>1</v>
      </c>
      <c r="E242" s="481">
        <v>406</v>
      </c>
      <c r="F242" s="481">
        <v>0</v>
      </c>
    </row>
    <row r="243" spans="1:6">
      <c r="A243" s="481" t="s">
        <v>75</v>
      </c>
      <c r="B243" s="481">
        <v>2021</v>
      </c>
      <c r="C243" s="481" t="s">
        <v>76</v>
      </c>
      <c r="D243" s="481">
        <v>2</v>
      </c>
      <c r="E243" s="481">
        <v>299</v>
      </c>
      <c r="F243" s="481">
        <v>0</v>
      </c>
    </row>
    <row r="244" spans="1:6">
      <c r="A244" s="481" t="s">
        <v>75</v>
      </c>
      <c r="B244" s="481">
        <v>2021</v>
      </c>
      <c r="C244" s="481" t="s">
        <v>78</v>
      </c>
      <c r="D244" s="481">
        <v>3</v>
      </c>
      <c r="E244" s="481">
        <v>303</v>
      </c>
      <c r="F244" s="481">
        <v>5</v>
      </c>
    </row>
    <row r="245" spans="1:6">
      <c r="A245" s="481" t="s">
        <v>75</v>
      </c>
      <c r="B245" s="481">
        <v>2021</v>
      </c>
      <c r="C245" s="481" t="s">
        <v>80</v>
      </c>
      <c r="D245" s="481">
        <v>4</v>
      </c>
      <c r="E245" s="481">
        <v>242</v>
      </c>
      <c r="F245" s="481">
        <v>6</v>
      </c>
    </row>
    <row r="246" spans="1:6">
      <c r="A246" s="481" t="s">
        <v>75</v>
      </c>
      <c r="B246" s="481">
        <v>2021</v>
      </c>
      <c r="C246" s="481" t="s">
        <v>81</v>
      </c>
      <c r="D246" s="481">
        <v>5</v>
      </c>
      <c r="E246" s="481">
        <v>159</v>
      </c>
      <c r="F246" s="481">
        <v>11</v>
      </c>
    </row>
    <row r="247" spans="1:6">
      <c r="A247" s="481" t="s">
        <v>75</v>
      </c>
      <c r="B247" s="481">
        <v>2021</v>
      </c>
      <c r="C247" s="481" t="s">
        <v>82</v>
      </c>
      <c r="D247" s="481">
        <v>6</v>
      </c>
      <c r="E247" s="481">
        <v>33</v>
      </c>
      <c r="F247" s="481">
        <v>76</v>
      </c>
    </row>
    <row r="248" spans="1:6">
      <c r="A248" s="481" t="s">
        <v>75</v>
      </c>
      <c r="B248" s="481">
        <v>2021</v>
      </c>
      <c r="C248" s="481" t="s">
        <v>83</v>
      </c>
      <c r="D248" s="481">
        <v>7</v>
      </c>
      <c r="E248" s="481">
        <v>22</v>
      </c>
      <c r="F248" s="481">
        <v>87</v>
      </c>
    </row>
    <row r="249" spans="1:6">
      <c r="A249" s="481" t="s">
        <v>75</v>
      </c>
      <c r="B249" s="481">
        <v>2021</v>
      </c>
      <c r="C249" s="481" t="s">
        <v>84</v>
      </c>
      <c r="D249" s="481">
        <v>8</v>
      </c>
      <c r="E249" s="481">
        <v>36</v>
      </c>
      <c r="F249" s="481">
        <v>61</v>
      </c>
    </row>
    <row r="250" spans="1:6">
      <c r="A250" s="481" t="s">
        <v>75</v>
      </c>
      <c r="B250" s="481">
        <v>2021</v>
      </c>
      <c r="C250" s="481" t="s">
        <v>85</v>
      </c>
      <c r="D250" s="481">
        <v>9</v>
      </c>
      <c r="E250" s="481">
        <v>48</v>
      </c>
      <c r="F250" s="481">
        <v>73</v>
      </c>
    </row>
    <row r="251" spans="1:6">
      <c r="A251" s="481" t="s">
        <v>75</v>
      </c>
      <c r="B251" s="481">
        <v>2021</v>
      </c>
      <c r="C251" s="481" t="s">
        <v>86</v>
      </c>
      <c r="D251" s="481">
        <v>10</v>
      </c>
      <c r="E251" s="481">
        <v>170</v>
      </c>
      <c r="F251" s="481">
        <v>5</v>
      </c>
    </row>
    <row r="252" spans="1:6">
      <c r="A252" s="481" t="s">
        <v>75</v>
      </c>
      <c r="B252" s="481">
        <v>2021</v>
      </c>
      <c r="C252" s="481" t="s">
        <v>87</v>
      </c>
      <c r="D252" s="481">
        <v>11</v>
      </c>
      <c r="E252" s="481">
        <v>326</v>
      </c>
      <c r="F252" s="481">
        <v>0</v>
      </c>
    </row>
    <row r="253" spans="1:6">
      <c r="A253" s="481" t="s">
        <v>75</v>
      </c>
      <c r="B253" s="481">
        <v>2021</v>
      </c>
      <c r="C253" s="481" t="s">
        <v>88</v>
      </c>
      <c r="D253" s="481">
        <v>12</v>
      </c>
      <c r="E253" s="481">
        <v>336</v>
      </c>
      <c r="F253" s="481">
        <v>0</v>
      </c>
    </row>
    <row r="254" spans="1:6">
      <c r="A254" s="481" t="s">
        <v>75</v>
      </c>
      <c r="B254" s="481">
        <v>2022</v>
      </c>
      <c r="C254" s="481" t="s">
        <v>73</v>
      </c>
      <c r="D254" s="481">
        <v>1</v>
      </c>
      <c r="E254" s="481">
        <v>396</v>
      </c>
      <c r="F254" s="481">
        <v>0</v>
      </c>
    </row>
    <row r="255" spans="1:6">
      <c r="A255" s="481" t="s">
        <v>75</v>
      </c>
      <c r="B255" s="481">
        <v>2022</v>
      </c>
      <c r="C255" s="481" t="s">
        <v>76</v>
      </c>
      <c r="D255" s="481">
        <v>2</v>
      </c>
      <c r="E255" s="481">
        <v>285</v>
      </c>
      <c r="F255" s="481">
        <v>0</v>
      </c>
    </row>
    <row r="256" spans="1:6">
      <c r="A256" s="481" t="s">
        <v>75</v>
      </c>
      <c r="B256" s="481">
        <v>2022</v>
      </c>
      <c r="C256" s="481" t="s">
        <v>78</v>
      </c>
      <c r="D256" s="481">
        <v>3</v>
      </c>
      <c r="E256" s="481">
        <v>239</v>
      </c>
      <c r="F256" s="481">
        <v>3</v>
      </c>
    </row>
    <row r="257" spans="1:6">
      <c r="A257" s="481" t="s">
        <v>75</v>
      </c>
      <c r="B257" s="481">
        <v>2022</v>
      </c>
      <c r="C257" s="481" t="s">
        <v>80</v>
      </c>
      <c r="D257" s="481">
        <v>4</v>
      </c>
      <c r="E257" s="481">
        <v>192</v>
      </c>
      <c r="F257" s="481">
        <v>8</v>
      </c>
    </row>
    <row r="258" spans="1:6">
      <c r="A258" s="481" t="s">
        <v>75</v>
      </c>
      <c r="B258" s="481">
        <v>2022</v>
      </c>
      <c r="C258" s="481" t="s">
        <v>81</v>
      </c>
      <c r="D258" s="481">
        <v>5</v>
      </c>
      <c r="E258" s="481">
        <v>80</v>
      </c>
      <c r="F258" s="481">
        <v>50</v>
      </c>
    </row>
    <row r="259" spans="1:6">
      <c r="A259" s="481" t="s">
        <v>75</v>
      </c>
      <c r="B259" s="481">
        <v>2022</v>
      </c>
      <c r="C259" s="481" t="s">
        <v>82</v>
      </c>
      <c r="D259" s="481">
        <v>6</v>
      </c>
      <c r="E259" s="481">
        <v>37</v>
      </c>
      <c r="F259" s="481">
        <v>92</v>
      </c>
    </row>
    <row r="260" spans="1:6">
      <c r="A260" s="481" t="s">
        <v>75</v>
      </c>
      <c r="B260" s="481">
        <v>2022</v>
      </c>
      <c r="C260" s="481" t="s">
        <v>83</v>
      </c>
      <c r="D260" s="481">
        <v>7</v>
      </c>
      <c r="E260" s="481">
        <v>19</v>
      </c>
      <c r="F260" s="481">
        <v>167</v>
      </c>
    </row>
    <row r="261" spans="1:6">
      <c r="A261" s="481" t="s">
        <v>75</v>
      </c>
      <c r="B261" s="481">
        <v>2022</v>
      </c>
      <c r="C261" s="481" t="s">
        <v>84</v>
      </c>
      <c r="D261" s="481">
        <v>8</v>
      </c>
      <c r="E261" s="481">
        <v>11</v>
      </c>
      <c r="F261" s="481">
        <v>164</v>
      </c>
    </row>
    <row r="262" spans="1:6">
      <c r="A262" s="481" t="s">
        <v>75</v>
      </c>
      <c r="B262" s="481">
        <v>2022</v>
      </c>
      <c r="C262" s="481" t="s">
        <v>85</v>
      </c>
      <c r="D262" s="481">
        <v>9</v>
      </c>
      <c r="E262" s="481">
        <v>75</v>
      </c>
      <c r="F262" s="481">
        <v>59</v>
      </c>
    </row>
    <row r="263" spans="1:6">
      <c r="A263" s="481" t="s">
        <v>75</v>
      </c>
      <c r="B263" s="481">
        <v>2022</v>
      </c>
      <c r="C263" s="481" t="s">
        <v>86</v>
      </c>
      <c r="D263" s="481">
        <v>10</v>
      </c>
      <c r="E263" s="481">
        <v>73</v>
      </c>
      <c r="F263" s="481">
        <v>28</v>
      </c>
    </row>
    <row r="264" spans="1:6">
      <c r="A264" s="481" t="s">
        <v>75</v>
      </c>
      <c r="B264" s="481">
        <v>2022</v>
      </c>
      <c r="C264" s="481" t="s">
        <v>87</v>
      </c>
      <c r="D264" s="481">
        <v>11</v>
      </c>
      <c r="E264" s="481">
        <v>227</v>
      </c>
      <c r="F264" s="481">
        <v>0</v>
      </c>
    </row>
    <row r="265" spans="1:6">
      <c r="A265" s="481" t="s">
        <v>75</v>
      </c>
      <c r="B265" s="481">
        <v>2022</v>
      </c>
      <c r="C265" s="481" t="s">
        <v>88</v>
      </c>
      <c r="D265" s="481">
        <v>12</v>
      </c>
      <c r="E265" s="481">
        <v>380</v>
      </c>
      <c r="F265" s="481">
        <v>0</v>
      </c>
    </row>
    <row r="266" spans="1:6">
      <c r="A266" s="481" t="s">
        <v>75</v>
      </c>
      <c r="B266" s="481">
        <v>2023</v>
      </c>
      <c r="C266" s="481" t="s">
        <v>73</v>
      </c>
      <c r="D266" s="481">
        <v>1</v>
      </c>
      <c r="E266" s="481">
        <v>355</v>
      </c>
      <c r="F266" s="481">
        <v>0</v>
      </c>
    </row>
    <row r="267" spans="1:6">
      <c r="A267" s="481" t="s">
        <v>75</v>
      </c>
      <c r="B267" s="481">
        <v>2023</v>
      </c>
      <c r="C267" s="481" t="s">
        <v>76</v>
      </c>
      <c r="D267" s="481">
        <v>2</v>
      </c>
      <c r="E267" s="481">
        <v>314</v>
      </c>
      <c r="F267" s="481">
        <v>0</v>
      </c>
    </row>
    <row r="268" spans="1:6">
      <c r="A268" s="481" t="s">
        <v>75</v>
      </c>
      <c r="B268" s="481">
        <v>2023</v>
      </c>
      <c r="C268" s="481" t="s">
        <v>78</v>
      </c>
      <c r="D268" s="481">
        <v>3</v>
      </c>
      <c r="E268" s="481">
        <v>251</v>
      </c>
      <c r="F268" s="481">
        <v>2</v>
      </c>
    </row>
    <row r="269" spans="1:6">
      <c r="A269" s="481" t="s">
        <v>75</v>
      </c>
      <c r="B269" s="481">
        <v>2023</v>
      </c>
      <c r="C269" s="481" t="s">
        <v>80</v>
      </c>
      <c r="D269" s="481">
        <v>4</v>
      </c>
      <c r="E269" s="481">
        <v>197</v>
      </c>
      <c r="F269" s="481">
        <v>3</v>
      </c>
    </row>
    <row r="270" spans="1:6">
      <c r="A270" s="481" t="s">
        <v>75</v>
      </c>
      <c r="B270" s="481">
        <v>2023</v>
      </c>
      <c r="C270" s="481" t="s">
        <v>81</v>
      </c>
      <c r="D270" s="481">
        <v>5</v>
      </c>
      <c r="E270" s="481">
        <v>87</v>
      </c>
      <c r="F270" s="481">
        <v>31</v>
      </c>
    </row>
    <row r="271" spans="1:6">
      <c r="A271" s="481" t="s">
        <v>75</v>
      </c>
      <c r="B271" s="481">
        <v>2023</v>
      </c>
      <c r="C271" s="481" t="s">
        <v>82</v>
      </c>
      <c r="D271" s="481">
        <v>6</v>
      </c>
      <c r="E271" s="481">
        <v>17</v>
      </c>
      <c r="F271" s="481">
        <v>134</v>
      </c>
    </row>
    <row r="272" spans="1:6">
      <c r="A272" s="481" t="s">
        <v>75</v>
      </c>
      <c r="B272" s="481">
        <v>2023</v>
      </c>
      <c r="C272" s="481" t="s">
        <v>83</v>
      </c>
      <c r="D272" s="481">
        <v>7</v>
      </c>
      <c r="E272" s="481">
        <v>24</v>
      </c>
      <c r="F272" s="481">
        <v>99</v>
      </c>
    </row>
    <row r="273" spans="1:6">
      <c r="A273" s="481" t="s">
        <v>75</v>
      </c>
      <c r="B273" s="481">
        <v>2023</v>
      </c>
      <c r="C273" s="481" t="s">
        <v>84</v>
      </c>
      <c r="D273" s="481">
        <v>8</v>
      </c>
      <c r="E273" s="481">
        <v>28</v>
      </c>
      <c r="F273" s="481">
        <v>107</v>
      </c>
    </row>
    <row r="274" spans="1:6">
      <c r="A274" s="481" t="s">
        <v>75</v>
      </c>
      <c r="B274" s="481">
        <v>2023</v>
      </c>
      <c r="C274" s="481" t="s">
        <v>85</v>
      </c>
      <c r="D274" s="481">
        <v>9</v>
      </c>
      <c r="E274" s="481">
        <v>31</v>
      </c>
      <c r="F274" s="481">
        <v>113</v>
      </c>
    </row>
    <row r="275" spans="1:6">
      <c r="A275" s="481" t="s">
        <v>75</v>
      </c>
      <c r="B275" s="481">
        <v>2023</v>
      </c>
      <c r="C275" s="481" t="s">
        <v>86</v>
      </c>
      <c r="D275" s="481">
        <v>10</v>
      </c>
      <c r="E275" s="481">
        <v>116</v>
      </c>
      <c r="F275" s="481">
        <v>33</v>
      </c>
    </row>
    <row r="276" spans="1:6">
      <c r="A276" s="481" t="s">
        <v>75</v>
      </c>
      <c r="B276" s="481">
        <v>2023</v>
      </c>
      <c r="C276" s="481" t="s">
        <v>87</v>
      </c>
      <c r="D276" s="481">
        <v>11</v>
      </c>
      <c r="E276" s="481">
        <v>239</v>
      </c>
      <c r="F276" s="481">
        <v>0</v>
      </c>
    </row>
    <row r="277" spans="1:6">
      <c r="A277" s="481" t="s">
        <v>75</v>
      </c>
      <c r="B277" s="481">
        <v>2023</v>
      </c>
      <c r="C277" s="481" t="s">
        <v>88</v>
      </c>
      <c r="D277" s="481">
        <v>12</v>
      </c>
      <c r="E277" s="481">
        <v>300</v>
      </c>
      <c r="F277" s="481">
        <v>0</v>
      </c>
    </row>
    <row r="278" spans="1:6">
      <c r="A278" s="481" t="s">
        <v>75</v>
      </c>
      <c r="B278" s="481">
        <v>2024</v>
      </c>
      <c r="C278" s="481" t="s">
        <v>73</v>
      </c>
      <c r="D278" s="481">
        <v>1</v>
      </c>
      <c r="E278" s="481">
        <v>380</v>
      </c>
      <c r="F278" s="481">
        <v>0</v>
      </c>
    </row>
    <row r="279" spans="1:6">
      <c r="A279" s="481" t="s">
        <v>75</v>
      </c>
      <c r="B279" s="481">
        <v>2024</v>
      </c>
      <c r="C279" s="481" t="s">
        <v>76</v>
      </c>
      <c r="D279" s="481">
        <v>2</v>
      </c>
      <c r="E279" s="481">
        <v>244</v>
      </c>
      <c r="F279" s="481">
        <v>0</v>
      </c>
    </row>
    <row r="280" spans="1:6">
      <c r="A280" s="481" t="s">
        <v>75</v>
      </c>
      <c r="B280" s="481">
        <v>2024</v>
      </c>
      <c r="C280" s="481" t="s">
        <v>78</v>
      </c>
      <c r="D280" s="481">
        <v>3</v>
      </c>
      <c r="E280" s="481">
        <v>253</v>
      </c>
      <c r="F280" s="481">
        <v>1</v>
      </c>
    </row>
    <row r="281" spans="1:6">
      <c r="A281" s="481" t="s">
        <v>75</v>
      </c>
      <c r="B281" s="481">
        <v>2024</v>
      </c>
      <c r="C281" s="481" t="s">
        <v>80</v>
      </c>
      <c r="D281" s="481">
        <v>4</v>
      </c>
      <c r="E281" s="481">
        <v>186</v>
      </c>
      <c r="F281" s="481">
        <v>8</v>
      </c>
    </row>
    <row r="282" spans="1:6">
      <c r="A282" s="481" t="s">
        <v>75</v>
      </c>
      <c r="B282" s="481">
        <v>2024</v>
      </c>
      <c r="C282" s="481" t="s">
        <v>81</v>
      </c>
      <c r="D282" s="481">
        <v>5</v>
      </c>
      <c r="E282" s="481">
        <v>102</v>
      </c>
      <c r="F282" s="481">
        <v>18</v>
      </c>
    </row>
    <row r="283" spans="1:6">
      <c r="A283" s="481" t="s">
        <v>75</v>
      </c>
      <c r="B283" s="481">
        <v>2024</v>
      </c>
      <c r="C283" s="481" t="s">
        <v>82</v>
      </c>
      <c r="D283" s="481">
        <v>6</v>
      </c>
      <c r="E283" s="481">
        <v>60</v>
      </c>
      <c r="F283" s="481">
        <v>53</v>
      </c>
    </row>
    <row r="284" spans="1:6">
      <c r="A284" s="481" t="s">
        <v>75</v>
      </c>
      <c r="B284" s="481">
        <v>2024</v>
      </c>
      <c r="C284" s="481" t="s">
        <v>83</v>
      </c>
      <c r="D284" s="481">
        <v>7</v>
      </c>
      <c r="E284" s="481">
        <v>28</v>
      </c>
      <c r="F284" s="481">
        <v>102</v>
      </c>
    </row>
    <row r="285" spans="1:6">
      <c r="A285" s="481" t="s">
        <v>75</v>
      </c>
      <c r="B285" s="481">
        <v>2024</v>
      </c>
      <c r="C285" s="481" t="s">
        <v>84</v>
      </c>
      <c r="D285" s="481">
        <v>8</v>
      </c>
      <c r="E285" s="481">
        <v>28</v>
      </c>
      <c r="F285" s="481">
        <v>110</v>
      </c>
    </row>
    <row r="286" spans="1:6">
      <c r="A286" s="481" t="s">
        <v>75</v>
      </c>
      <c r="B286" s="481">
        <v>2024</v>
      </c>
      <c r="C286" s="481" t="s">
        <v>85</v>
      </c>
      <c r="D286" s="481">
        <v>9</v>
      </c>
      <c r="E286" s="481">
        <v>78</v>
      </c>
      <c r="F286" s="481">
        <v>27</v>
      </c>
    </row>
    <row r="287" spans="1:6">
      <c r="A287" s="481" t="s">
        <v>75</v>
      </c>
      <c r="B287" s="481">
        <v>2024</v>
      </c>
      <c r="C287" s="481" t="s">
        <v>86</v>
      </c>
      <c r="D287" s="481">
        <v>10</v>
      </c>
      <c r="E287" s="481">
        <v>119</v>
      </c>
      <c r="F287" s="481">
        <v>8</v>
      </c>
    </row>
    <row r="288" spans="1:6">
      <c r="A288" s="481" t="s">
        <v>75</v>
      </c>
      <c r="B288" s="481">
        <v>2024</v>
      </c>
      <c r="C288" s="481" t="s">
        <v>87</v>
      </c>
      <c r="D288" s="481">
        <v>11</v>
      </c>
      <c r="E288" s="481">
        <v>266</v>
      </c>
      <c r="F288" s="481">
        <v>0</v>
      </c>
    </row>
    <row r="289" spans="1:6">
      <c r="A289" s="481" t="s">
        <v>75</v>
      </c>
      <c r="B289" s="481">
        <v>2024</v>
      </c>
      <c r="C289" s="481" t="s">
        <v>88</v>
      </c>
      <c r="D289" s="481">
        <v>12</v>
      </c>
      <c r="E289" s="481">
        <v>346</v>
      </c>
      <c r="F289" s="481">
        <v>0</v>
      </c>
    </row>
    <row r="290" spans="1:6">
      <c r="A290" s="481" t="s">
        <v>75</v>
      </c>
      <c r="B290" s="481">
        <v>2025</v>
      </c>
      <c r="C290" s="481" t="s">
        <v>73</v>
      </c>
      <c r="D290" s="481">
        <v>1</v>
      </c>
      <c r="E290" s="481">
        <v>407</v>
      </c>
      <c r="F290" s="481">
        <v>0</v>
      </c>
    </row>
    <row r="291" spans="1:6">
      <c r="A291" s="481" t="s">
        <v>75</v>
      </c>
      <c r="B291" s="481">
        <v>2025</v>
      </c>
      <c r="C291" s="481" t="s">
        <v>76</v>
      </c>
      <c r="D291" s="481">
        <v>2</v>
      </c>
      <c r="E291" s="481">
        <v>329</v>
      </c>
      <c r="F291" s="481">
        <v>0</v>
      </c>
    </row>
    <row r="292" spans="1:6">
      <c r="A292" s="481" t="s">
        <v>75</v>
      </c>
      <c r="B292" s="481">
        <v>2025</v>
      </c>
      <c r="C292" s="481" t="s">
        <v>78</v>
      </c>
      <c r="D292" s="481">
        <v>3</v>
      </c>
      <c r="E292" s="481">
        <v>260</v>
      </c>
      <c r="F292" s="481">
        <v>1</v>
      </c>
    </row>
    <row r="293" spans="1:6">
      <c r="A293" s="481" t="s">
        <v>75</v>
      </c>
      <c r="B293" s="481">
        <v>2025</v>
      </c>
      <c r="C293" s="481" t="s">
        <v>80</v>
      </c>
      <c r="D293" s="481">
        <v>4</v>
      </c>
      <c r="E293" s="481">
        <v>142</v>
      </c>
      <c r="F293" s="481">
        <v>17</v>
      </c>
    </row>
    <row r="294" spans="1:6">
      <c r="A294" s="481" t="s">
        <v>75</v>
      </c>
      <c r="B294" s="481">
        <v>2025</v>
      </c>
      <c r="C294" s="481" t="s">
        <v>81</v>
      </c>
      <c r="D294" s="481">
        <v>5</v>
      </c>
      <c r="E294" s="481">
        <v>91</v>
      </c>
      <c r="F294" s="481">
        <v>45</v>
      </c>
    </row>
    <row r="295" spans="1:6">
      <c r="A295" s="481" t="s">
        <v>75</v>
      </c>
      <c r="B295" s="481">
        <v>2025</v>
      </c>
      <c r="C295" s="481" t="s">
        <v>82</v>
      </c>
      <c r="D295" s="481">
        <v>6</v>
      </c>
      <c r="E295" s="481">
        <v>24</v>
      </c>
      <c r="F295" s="481">
        <v>140</v>
      </c>
    </row>
    <row r="296" spans="1:6">
      <c r="A296" s="481" t="s">
        <v>75</v>
      </c>
      <c r="B296" s="481">
        <v>2025</v>
      </c>
      <c r="C296" s="481" t="s">
        <v>83</v>
      </c>
      <c r="D296" s="481">
        <v>7</v>
      </c>
      <c r="E296" s="481">
        <v>18</v>
      </c>
      <c r="F296" s="481">
        <v>133</v>
      </c>
    </row>
    <row r="297" spans="1:6">
      <c r="A297" s="481" t="s">
        <v>75</v>
      </c>
      <c r="B297" s="481">
        <v>2025</v>
      </c>
      <c r="C297" s="481" t="s">
        <v>84</v>
      </c>
      <c r="D297" s="481">
        <v>8</v>
      </c>
      <c r="E297" s="481">
        <v>22</v>
      </c>
      <c r="F297" s="481">
        <v>125</v>
      </c>
    </row>
    <row r="298" spans="1:6">
      <c r="A298" s="482" t="s">
        <v>75</v>
      </c>
      <c r="B298" s="483">
        <v>2025</v>
      </c>
      <c r="C298" s="483" t="s">
        <v>904</v>
      </c>
      <c r="D298" s="483">
        <v>9</v>
      </c>
      <c r="E298" s="483">
        <v>73</v>
      </c>
      <c r="F298" s="483">
        <v>39</v>
      </c>
    </row>
    <row r="299" spans="1:6">
      <c r="A299" s="482" t="s">
        <v>75</v>
      </c>
      <c r="B299" s="483">
        <v>2025</v>
      </c>
      <c r="C299" s="483" t="s">
        <v>905</v>
      </c>
      <c r="D299" s="483">
        <v>10</v>
      </c>
      <c r="E299" s="483">
        <v>140</v>
      </c>
      <c r="F299" s="483">
        <v>4</v>
      </c>
    </row>
    <row r="300" spans="1:6">
      <c r="A300" s="482" t="s">
        <v>75</v>
      </c>
      <c r="B300" s="483">
        <v>2025</v>
      </c>
      <c r="C300" s="483" t="s">
        <v>906</v>
      </c>
      <c r="D300" s="483">
        <v>11</v>
      </c>
      <c r="E300" s="483">
        <v>231</v>
      </c>
      <c r="F300" s="483">
        <v>2</v>
      </c>
    </row>
    <row r="301" spans="1:6">
      <c r="A301" s="482" t="s">
        <v>75</v>
      </c>
      <c r="B301" s="483">
        <v>2025</v>
      </c>
      <c r="C301" s="483" t="s">
        <v>907</v>
      </c>
      <c r="D301" s="483">
        <v>12</v>
      </c>
      <c r="E301" s="483">
        <v>309</v>
      </c>
      <c r="F301" s="483">
        <v>0</v>
      </c>
    </row>
    <row r="302" spans="1:6">
      <c r="A302" s="481" t="s">
        <v>75</v>
      </c>
      <c r="B302" s="481">
        <v>2026</v>
      </c>
      <c r="C302" s="481" t="s">
        <v>73</v>
      </c>
      <c r="D302" s="481">
        <v>1</v>
      </c>
      <c r="E302" s="481">
        <v>338.2</v>
      </c>
      <c r="F302" s="481">
        <v>0</v>
      </c>
    </row>
    <row r="303" spans="1:6">
      <c r="A303" s="482"/>
      <c r="B303" s="483"/>
      <c r="C303" s="483"/>
      <c r="D303" s="483"/>
      <c r="E303" s="483"/>
      <c r="F303" s="483"/>
    </row>
    <row r="304" spans="1:6">
      <c r="A304" s="482"/>
      <c r="B304" s="483"/>
      <c r="C304" s="483"/>
      <c r="D304" s="483"/>
      <c r="E304" s="483"/>
      <c r="F304" s="483"/>
    </row>
    <row r="305" spans="1:6">
      <c r="A305" s="482"/>
      <c r="B305" s="483"/>
      <c r="C305" s="483"/>
      <c r="D305" s="483"/>
      <c r="E305" s="483"/>
      <c r="F305" s="483"/>
    </row>
    <row r="306" spans="1:6">
      <c r="A306" s="482"/>
      <c r="B306" s="483"/>
      <c r="C306" s="483"/>
      <c r="D306" s="483"/>
      <c r="E306" s="483"/>
      <c r="F306" s="483"/>
    </row>
    <row r="307" spans="1:6">
      <c r="A307" s="482"/>
      <c r="B307" s="483"/>
      <c r="C307" s="483"/>
      <c r="D307" s="483"/>
      <c r="E307" s="483"/>
      <c r="F307" s="483"/>
    </row>
    <row r="308" spans="1:6">
      <c r="A308" s="482"/>
      <c r="B308" s="483"/>
      <c r="C308" s="483"/>
      <c r="D308" s="483"/>
      <c r="E308" s="483"/>
      <c r="F308" s="483"/>
    </row>
    <row r="309" spans="1:6">
      <c r="A309" s="482"/>
      <c r="B309" s="483"/>
      <c r="C309" s="483"/>
      <c r="D309" s="483"/>
      <c r="E309" s="483"/>
      <c r="F309" s="483"/>
    </row>
    <row r="310" spans="1:6">
      <c r="A310" s="482"/>
      <c r="B310" s="483"/>
      <c r="C310" s="483"/>
      <c r="D310" s="483"/>
      <c r="E310" s="483"/>
      <c r="F310" s="483"/>
    </row>
    <row r="311" spans="1:6">
      <c r="A311" s="482"/>
      <c r="B311" s="483"/>
      <c r="C311" s="483"/>
      <c r="D311" s="483"/>
      <c r="E311" s="483"/>
      <c r="F311" s="483"/>
    </row>
    <row r="312" spans="1:6">
      <c r="A312" s="482"/>
      <c r="B312" s="483"/>
      <c r="C312" s="483"/>
      <c r="D312" s="483"/>
      <c r="E312" s="483"/>
      <c r="F312" s="483"/>
    </row>
    <row r="313" spans="1:6">
      <c r="A313" s="482"/>
      <c r="B313" s="483"/>
      <c r="C313" s="483"/>
      <c r="D313" s="483"/>
      <c r="E313" s="483"/>
      <c r="F313" s="483"/>
    </row>
    <row r="314" spans="1:6">
      <c r="A314" s="482"/>
      <c r="B314" s="483"/>
      <c r="C314" s="483"/>
      <c r="D314" s="483"/>
      <c r="E314" s="483"/>
      <c r="F314" s="483"/>
    </row>
    <row r="315" spans="1:6">
      <c r="A315" s="482"/>
      <c r="B315" s="483"/>
      <c r="C315" s="483"/>
      <c r="D315" s="483"/>
      <c r="E315" s="483"/>
      <c r="F315" s="483"/>
    </row>
    <row r="316" spans="1:6">
      <c r="A316" s="482"/>
      <c r="B316" s="483"/>
      <c r="C316" s="483"/>
      <c r="D316" s="483"/>
      <c r="E316" s="483"/>
      <c r="F316" s="483"/>
    </row>
    <row r="317" spans="1:6">
      <c r="A317" s="482"/>
      <c r="B317" s="483"/>
      <c r="C317" s="483"/>
      <c r="D317" s="483"/>
      <c r="E317" s="483"/>
      <c r="F317" s="483"/>
    </row>
    <row r="318" spans="1:6">
      <c r="A318" s="482"/>
      <c r="B318" s="483"/>
      <c r="C318" s="483"/>
      <c r="D318" s="483"/>
      <c r="E318" s="483"/>
      <c r="F318" s="483"/>
    </row>
    <row r="319" spans="1:6">
      <c r="A319" s="482"/>
      <c r="B319" s="483"/>
      <c r="C319" s="483"/>
      <c r="D319" s="483"/>
      <c r="E319" s="483"/>
      <c r="F319" s="483"/>
    </row>
    <row r="320" spans="1:6">
      <c r="A320" s="482"/>
      <c r="B320" s="483"/>
      <c r="C320" s="483"/>
      <c r="D320" s="483"/>
      <c r="E320" s="483"/>
      <c r="F320" s="483"/>
    </row>
    <row r="321" spans="1:6">
      <c r="A321" s="482"/>
      <c r="B321" s="483"/>
      <c r="C321" s="483"/>
      <c r="D321" s="483"/>
      <c r="E321" s="483"/>
      <c r="F321" s="483"/>
    </row>
    <row r="322" spans="1:6">
      <c r="A322" s="482"/>
      <c r="B322" s="483"/>
      <c r="C322" s="483"/>
      <c r="D322" s="483"/>
      <c r="E322" s="483"/>
      <c r="F322" s="483"/>
    </row>
    <row r="323" spans="1:6">
      <c r="A323" s="482"/>
      <c r="B323" s="483"/>
      <c r="C323" s="483"/>
      <c r="D323" s="483"/>
      <c r="E323" s="483"/>
      <c r="F323" s="483"/>
    </row>
    <row r="324" spans="1:6">
      <c r="A324" s="482"/>
      <c r="B324" s="483"/>
      <c r="C324" s="483"/>
      <c r="D324" s="483"/>
      <c r="E324" s="483"/>
      <c r="F324" s="483"/>
    </row>
    <row r="325" spans="1:6">
      <c r="A325" s="482"/>
      <c r="B325" s="483"/>
      <c r="C325" s="483"/>
      <c r="D325" s="483"/>
      <c r="E325" s="483"/>
      <c r="F325" s="483"/>
    </row>
    <row r="326" spans="1:6">
      <c r="A326" s="482"/>
      <c r="B326" s="483"/>
      <c r="C326" s="483"/>
      <c r="D326" s="483"/>
      <c r="E326" s="483"/>
      <c r="F326" s="483"/>
    </row>
    <row r="327" spans="1:6">
      <c r="A327" s="482"/>
      <c r="B327" s="483"/>
      <c r="C327" s="483"/>
      <c r="D327" s="483"/>
      <c r="E327" s="483"/>
      <c r="F327" s="483"/>
    </row>
    <row r="328" spans="1:6">
      <c r="A328" s="482"/>
      <c r="B328" s="483"/>
      <c r="C328" s="483"/>
      <c r="D328" s="483"/>
      <c r="E328" s="483"/>
      <c r="F328" s="483"/>
    </row>
    <row r="329" spans="1:6">
      <c r="A329" s="482"/>
      <c r="B329" s="483"/>
      <c r="C329" s="483"/>
      <c r="D329" s="483"/>
      <c r="E329" s="483"/>
      <c r="F329" s="483"/>
    </row>
    <row r="330" spans="1:6">
      <c r="A330" s="482"/>
      <c r="B330" s="483"/>
      <c r="C330" s="483"/>
      <c r="D330" s="483"/>
      <c r="E330" s="483"/>
      <c r="F330" s="483"/>
    </row>
    <row r="331" spans="1:6">
      <c r="A331" s="482"/>
      <c r="B331" s="483"/>
      <c r="C331" s="483"/>
      <c r="D331" s="483"/>
      <c r="E331" s="483"/>
      <c r="F331" s="483"/>
    </row>
    <row r="332" spans="1:6">
      <c r="A332" s="482"/>
      <c r="B332" s="483"/>
      <c r="C332" s="483"/>
      <c r="D332" s="483"/>
      <c r="E332" s="483"/>
      <c r="F332" s="483"/>
    </row>
    <row r="333" spans="1:6">
      <c r="A333" s="482"/>
      <c r="B333" s="483"/>
      <c r="C333" s="483"/>
      <c r="D333" s="483"/>
      <c r="E333" s="483"/>
      <c r="F333" s="483"/>
    </row>
    <row r="334" spans="1:6">
      <c r="A334" s="482"/>
      <c r="B334" s="483"/>
      <c r="C334" s="483"/>
      <c r="D334" s="483"/>
      <c r="E334" s="483"/>
      <c r="F334" s="483"/>
    </row>
    <row r="335" spans="1:6">
      <c r="A335" s="482"/>
      <c r="B335" s="483"/>
      <c r="C335" s="483"/>
      <c r="D335" s="483"/>
      <c r="E335" s="483"/>
      <c r="F335" s="483"/>
    </row>
    <row r="336" spans="1:6">
      <c r="A336" s="482"/>
      <c r="B336" s="483"/>
      <c r="C336" s="483"/>
      <c r="D336" s="483"/>
      <c r="E336" s="483"/>
      <c r="F336" s="483"/>
    </row>
    <row r="337" spans="1:6">
      <c r="A337" s="482"/>
      <c r="B337" s="483"/>
      <c r="C337" s="483"/>
      <c r="D337" s="483"/>
      <c r="E337" s="483"/>
      <c r="F337" s="483"/>
    </row>
    <row r="338" spans="1:6">
      <c r="A338" s="482"/>
      <c r="B338" s="483"/>
      <c r="C338" s="483"/>
      <c r="D338" s="483"/>
      <c r="E338" s="483"/>
      <c r="F338" s="483"/>
    </row>
    <row r="339" spans="1:6">
      <c r="A339" s="482"/>
      <c r="B339" s="483"/>
      <c r="C339" s="483"/>
      <c r="D339" s="483"/>
      <c r="E339" s="483"/>
      <c r="F339" s="483"/>
    </row>
    <row r="340" spans="1:6">
      <c r="A340" s="482"/>
      <c r="B340" s="483"/>
      <c r="C340" s="483"/>
      <c r="D340" s="483"/>
      <c r="E340" s="483"/>
      <c r="F340" s="483"/>
    </row>
    <row r="341" spans="1:6">
      <c r="A341" s="482"/>
      <c r="B341" s="483"/>
      <c r="C341" s="483"/>
      <c r="D341" s="483"/>
      <c r="E341" s="483"/>
      <c r="F341" s="483"/>
    </row>
    <row r="342" spans="1:6">
      <c r="A342" s="482"/>
      <c r="B342" s="483"/>
      <c r="C342" s="483"/>
      <c r="D342" s="483"/>
      <c r="E342" s="483"/>
      <c r="F342" s="483"/>
    </row>
    <row r="343" spans="1:6">
      <c r="A343" s="482"/>
      <c r="B343" s="483"/>
      <c r="C343" s="483"/>
      <c r="D343" s="483"/>
      <c r="E343" s="483"/>
      <c r="F343" s="483"/>
    </row>
    <row r="344" spans="1:6">
      <c r="A344" s="482"/>
      <c r="B344" s="483"/>
      <c r="C344" s="483"/>
      <c r="D344" s="483"/>
      <c r="E344" s="483"/>
      <c r="F344" s="483"/>
    </row>
    <row r="345" spans="1:6">
      <c r="A345" s="482"/>
      <c r="B345" s="483"/>
      <c r="C345" s="483"/>
      <c r="D345" s="483"/>
      <c r="E345" s="483"/>
      <c r="F345" s="483"/>
    </row>
    <row r="346" spans="1:6">
      <c r="A346" s="482"/>
      <c r="B346" s="483"/>
      <c r="C346" s="483"/>
      <c r="D346" s="483"/>
      <c r="E346" s="483"/>
      <c r="F346" s="483"/>
    </row>
    <row r="347" spans="1:6">
      <c r="A347" s="482"/>
      <c r="B347" s="483"/>
      <c r="C347" s="483"/>
      <c r="D347" s="483"/>
      <c r="E347" s="483"/>
      <c r="F347" s="483"/>
    </row>
    <row r="348" spans="1:6">
      <c r="A348" s="482"/>
      <c r="B348" s="483"/>
      <c r="C348" s="483"/>
      <c r="D348" s="483"/>
      <c r="E348" s="483"/>
      <c r="F348" s="483"/>
    </row>
    <row r="349" spans="1:6">
      <c r="A349" s="482"/>
      <c r="B349" s="483"/>
      <c r="C349" s="483"/>
      <c r="D349" s="483"/>
      <c r="E349" s="483"/>
      <c r="F349" s="483"/>
    </row>
    <row r="350" spans="1:6">
      <c r="A350" s="482"/>
      <c r="B350" s="483"/>
      <c r="C350" s="483"/>
      <c r="D350" s="483"/>
      <c r="E350" s="483"/>
      <c r="F350" s="483"/>
    </row>
    <row r="351" spans="1:6">
      <c r="A351" s="482"/>
      <c r="B351" s="483"/>
      <c r="C351" s="483"/>
      <c r="D351" s="483"/>
      <c r="E351" s="483"/>
      <c r="F351" s="483"/>
    </row>
    <row r="352" spans="1:6">
      <c r="A352" s="482"/>
      <c r="B352" s="483"/>
      <c r="C352" s="483"/>
      <c r="D352" s="483"/>
      <c r="E352" s="483"/>
      <c r="F352" s="483"/>
    </row>
    <row r="353" spans="1:6">
      <c r="A353" s="482"/>
      <c r="B353" s="483"/>
      <c r="C353" s="483"/>
      <c r="D353" s="483"/>
      <c r="E353" s="483"/>
      <c r="F353" s="483"/>
    </row>
    <row r="354" spans="1:6">
      <c r="A354" s="482"/>
      <c r="B354" s="483"/>
      <c r="C354" s="483"/>
      <c r="D354" s="483"/>
      <c r="E354" s="483"/>
      <c r="F354" s="483"/>
    </row>
    <row r="355" spans="1:6">
      <c r="A355" s="482"/>
      <c r="B355" s="483"/>
      <c r="C355" s="483"/>
      <c r="D355" s="483"/>
      <c r="E355" s="483"/>
      <c r="F355" s="483"/>
    </row>
    <row r="356" spans="1:6">
      <c r="A356" s="482"/>
      <c r="B356" s="483"/>
      <c r="C356" s="483"/>
      <c r="D356" s="483"/>
      <c r="E356" s="483"/>
      <c r="F356" s="483"/>
    </row>
    <row r="357" spans="1:6">
      <c r="A357" s="482"/>
      <c r="B357" s="483"/>
      <c r="C357" s="483"/>
      <c r="D357" s="483"/>
      <c r="E357" s="483"/>
      <c r="F357" s="483"/>
    </row>
    <row r="358" spans="1:6">
      <c r="A358" s="482"/>
      <c r="B358" s="483"/>
      <c r="C358" s="483"/>
      <c r="D358" s="483"/>
      <c r="E358" s="483"/>
      <c r="F358" s="483"/>
    </row>
    <row r="359" spans="1:6">
      <c r="A359" s="482"/>
      <c r="B359" s="483"/>
      <c r="C359" s="483"/>
      <c r="D359" s="483"/>
      <c r="E359" s="483"/>
      <c r="F359" s="483"/>
    </row>
    <row r="360" spans="1:6">
      <c r="A360" s="482"/>
      <c r="B360" s="483"/>
      <c r="C360" s="483"/>
      <c r="D360" s="483"/>
      <c r="E360" s="483"/>
      <c r="F360" s="483"/>
    </row>
    <row r="361" spans="1:6">
      <c r="A361" s="482"/>
      <c r="B361" s="483"/>
      <c r="C361" s="483"/>
      <c r="D361" s="483"/>
      <c r="E361" s="483"/>
      <c r="F361" s="483"/>
    </row>
    <row r="362" spans="1:6">
      <c r="A362" s="482"/>
      <c r="B362" s="483"/>
      <c r="C362" s="483"/>
      <c r="D362" s="483"/>
      <c r="E362" s="483"/>
      <c r="F362" s="483"/>
    </row>
    <row r="363" spans="1:6">
      <c r="A363" s="482"/>
      <c r="B363" s="483"/>
      <c r="C363" s="483"/>
      <c r="D363" s="483"/>
      <c r="E363" s="483"/>
      <c r="F363" s="483"/>
    </row>
    <row r="364" spans="1:6">
      <c r="A364" s="482"/>
      <c r="B364" s="483"/>
      <c r="C364" s="483"/>
      <c r="D364" s="483"/>
      <c r="E364" s="483"/>
      <c r="F364" s="483"/>
    </row>
    <row r="365" spans="1:6">
      <c r="A365" s="482"/>
      <c r="B365" s="483"/>
      <c r="C365" s="483"/>
      <c r="D365" s="483"/>
      <c r="E365" s="483"/>
      <c r="F365" s="483"/>
    </row>
    <row r="366" spans="1:6">
      <c r="A366" s="482"/>
      <c r="B366" s="483"/>
      <c r="C366" s="483"/>
      <c r="D366" s="483"/>
      <c r="E366" s="483"/>
      <c r="F366" s="483"/>
    </row>
    <row r="367" spans="1:6">
      <c r="A367" s="482"/>
      <c r="B367" s="483"/>
      <c r="C367" s="483"/>
      <c r="D367" s="483"/>
      <c r="E367" s="483"/>
      <c r="F367" s="483"/>
    </row>
    <row r="368" spans="1:6">
      <c r="A368" s="482"/>
      <c r="B368" s="483"/>
      <c r="C368" s="483"/>
      <c r="D368" s="483"/>
      <c r="E368" s="483"/>
      <c r="F368" s="483"/>
    </row>
    <row r="369" spans="1:6">
      <c r="A369" s="482"/>
      <c r="B369" s="483"/>
      <c r="C369" s="483"/>
      <c r="D369" s="483"/>
      <c r="E369" s="483"/>
      <c r="F369" s="483"/>
    </row>
    <row r="370" spans="1:6">
      <c r="A370" s="482"/>
      <c r="B370" s="483"/>
      <c r="C370" s="483"/>
      <c r="D370" s="483"/>
      <c r="E370" s="483"/>
      <c r="F370" s="483"/>
    </row>
    <row r="371" spans="1:6">
      <c r="A371" s="482"/>
      <c r="B371" s="483"/>
      <c r="C371" s="483"/>
      <c r="D371" s="483"/>
      <c r="E371" s="483"/>
      <c r="F371" s="483"/>
    </row>
    <row r="372" spans="1:6">
      <c r="A372" s="482"/>
      <c r="B372" s="483"/>
      <c r="C372" s="483"/>
      <c r="D372" s="483"/>
      <c r="E372" s="483"/>
      <c r="F372" s="483"/>
    </row>
    <row r="373" spans="1:6">
      <c r="A373" s="482"/>
      <c r="B373" s="483"/>
      <c r="C373" s="483"/>
      <c r="D373" s="483"/>
      <c r="E373" s="483"/>
      <c r="F373" s="483"/>
    </row>
    <row r="374" spans="1:6">
      <c r="A374" s="482"/>
      <c r="B374" s="483"/>
      <c r="C374" s="483"/>
      <c r="D374" s="483"/>
      <c r="E374" s="483"/>
      <c r="F374" s="483"/>
    </row>
    <row r="375" spans="1:6">
      <c r="A375" s="482"/>
      <c r="B375" s="483"/>
      <c r="C375" s="483"/>
      <c r="D375" s="483"/>
      <c r="E375" s="483"/>
      <c r="F375" s="483"/>
    </row>
    <row r="376" spans="1:6">
      <c r="A376" s="482"/>
      <c r="B376" s="483"/>
      <c r="C376" s="483"/>
      <c r="D376" s="483"/>
      <c r="E376" s="483"/>
      <c r="F376" s="483"/>
    </row>
    <row r="377" spans="1:6">
      <c r="A377" s="482"/>
      <c r="B377" s="483"/>
      <c r="C377" s="483"/>
      <c r="D377" s="483"/>
      <c r="E377" s="483"/>
      <c r="F377" s="483"/>
    </row>
    <row r="378" spans="1:6">
      <c r="A378" s="482"/>
      <c r="B378" s="483"/>
      <c r="C378" s="483"/>
      <c r="D378" s="483"/>
      <c r="E378" s="483"/>
      <c r="F378" s="483"/>
    </row>
    <row r="379" spans="1:6">
      <c r="A379" s="482"/>
      <c r="B379" s="483"/>
      <c r="C379" s="483"/>
      <c r="D379" s="483"/>
      <c r="E379" s="483"/>
      <c r="F379" s="483"/>
    </row>
    <row r="380" spans="1:6">
      <c r="A380" s="482"/>
      <c r="B380" s="483"/>
      <c r="C380" s="483"/>
      <c r="D380" s="483"/>
      <c r="E380" s="483"/>
      <c r="F380" s="483"/>
    </row>
    <row r="381" spans="1:6">
      <c r="A381" s="482"/>
      <c r="B381" s="483"/>
      <c r="C381" s="483"/>
      <c r="D381" s="483"/>
      <c r="E381" s="483"/>
      <c r="F381" s="483"/>
    </row>
    <row r="382" spans="1:6">
      <c r="A382" s="482"/>
      <c r="B382" s="483"/>
      <c r="C382" s="483"/>
      <c r="D382" s="483"/>
      <c r="E382" s="483"/>
      <c r="F382" s="483"/>
    </row>
    <row r="383" spans="1:6">
      <c r="A383" s="482"/>
      <c r="B383" s="483"/>
      <c r="C383" s="483"/>
      <c r="D383" s="483"/>
      <c r="E383" s="483"/>
      <c r="F383" s="483"/>
    </row>
    <row r="384" spans="1:6">
      <c r="A384" s="482"/>
      <c r="B384" s="483"/>
      <c r="C384" s="483"/>
      <c r="D384" s="483"/>
      <c r="E384" s="483"/>
      <c r="F384" s="483"/>
    </row>
    <row r="385" spans="1:6">
      <c r="A385" s="482"/>
      <c r="B385" s="483"/>
      <c r="C385" s="483"/>
      <c r="D385" s="483"/>
      <c r="E385" s="483"/>
      <c r="F385" s="483"/>
    </row>
    <row r="386" spans="1:6">
      <c r="A386" s="482"/>
      <c r="B386" s="483"/>
      <c r="C386" s="483"/>
      <c r="D386" s="483"/>
      <c r="E386" s="483"/>
      <c r="F386" s="483"/>
    </row>
    <row r="387" spans="1:6">
      <c r="A387" s="482"/>
      <c r="B387" s="483"/>
      <c r="C387" s="483"/>
      <c r="D387" s="483"/>
      <c r="E387" s="483"/>
      <c r="F387" s="483"/>
    </row>
    <row r="388" spans="1:6">
      <c r="A388" s="482"/>
      <c r="B388" s="483"/>
      <c r="C388" s="483"/>
      <c r="D388" s="483"/>
      <c r="E388" s="483"/>
      <c r="F388" s="483"/>
    </row>
    <row r="389" spans="1:6">
      <c r="A389" s="482"/>
      <c r="B389" s="483"/>
      <c r="C389" s="483"/>
      <c r="D389" s="483"/>
      <c r="E389" s="483"/>
      <c r="F389" s="483"/>
    </row>
    <row r="390" spans="1:6">
      <c r="A390" s="482"/>
      <c r="B390" s="483"/>
      <c r="C390" s="483"/>
      <c r="D390" s="483"/>
      <c r="E390" s="483"/>
      <c r="F390" s="483"/>
    </row>
    <row r="391" spans="1:6">
      <c r="A391" s="482"/>
      <c r="B391" s="483"/>
      <c r="C391" s="483"/>
      <c r="D391" s="483"/>
      <c r="E391" s="483"/>
      <c r="F391" s="483"/>
    </row>
    <row r="392" spans="1:6">
      <c r="A392" s="482"/>
      <c r="B392" s="483"/>
      <c r="C392" s="483"/>
      <c r="D392" s="483"/>
      <c r="E392" s="483"/>
      <c r="F392" s="483"/>
    </row>
    <row r="393" spans="1:6">
      <c r="A393" s="482"/>
      <c r="B393" s="483"/>
      <c r="C393" s="483"/>
      <c r="D393" s="483"/>
      <c r="E393" s="483"/>
      <c r="F393" s="483"/>
    </row>
    <row r="394" spans="1:6">
      <c r="A394" s="482"/>
      <c r="B394" s="483"/>
      <c r="C394" s="483"/>
      <c r="D394" s="483"/>
      <c r="E394" s="483"/>
      <c r="F394" s="483"/>
    </row>
    <row r="395" spans="1:6">
      <c r="A395" s="482"/>
      <c r="B395" s="483"/>
      <c r="C395" s="483"/>
      <c r="D395" s="483"/>
      <c r="E395" s="483"/>
      <c r="F395" s="483"/>
    </row>
    <row r="396" spans="1:6">
      <c r="A396" s="482"/>
      <c r="B396" s="483"/>
      <c r="C396" s="483"/>
      <c r="D396" s="483"/>
      <c r="E396" s="483"/>
      <c r="F396" s="483"/>
    </row>
    <row r="397" spans="1:6">
      <c r="A397" s="482"/>
      <c r="B397" s="483"/>
      <c r="C397" s="483"/>
      <c r="D397" s="483"/>
      <c r="E397" s="483"/>
      <c r="F397" s="483"/>
    </row>
    <row r="398" spans="1:6">
      <c r="A398" s="482"/>
      <c r="B398" s="483"/>
      <c r="C398" s="483"/>
      <c r="D398" s="483"/>
      <c r="E398" s="483"/>
      <c r="F398" s="483"/>
    </row>
    <row r="399" spans="1:6">
      <c r="A399" s="482"/>
      <c r="B399" s="483"/>
      <c r="C399" s="483"/>
      <c r="D399" s="483"/>
      <c r="E399" s="483"/>
      <c r="F399" s="483"/>
    </row>
    <row r="400" spans="1:6">
      <c r="A400" s="482"/>
      <c r="B400" s="483"/>
      <c r="C400" s="483"/>
      <c r="D400" s="483"/>
      <c r="E400" s="483"/>
      <c r="F400" s="483"/>
    </row>
    <row r="401" spans="1:6">
      <c r="A401" s="482"/>
      <c r="B401" s="483"/>
      <c r="C401" s="483"/>
      <c r="D401" s="483"/>
      <c r="E401" s="483"/>
      <c r="F401" s="483"/>
    </row>
    <row r="402" spans="1:6">
      <c r="A402" s="482"/>
      <c r="B402" s="483"/>
      <c r="C402" s="483"/>
      <c r="D402" s="483"/>
      <c r="E402" s="483"/>
      <c r="F402" s="483"/>
    </row>
    <row r="403" spans="1:6">
      <c r="A403" s="482"/>
      <c r="B403" s="483"/>
      <c r="C403" s="483"/>
      <c r="D403" s="483"/>
      <c r="E403" s="483"/>
      <c r="F403" s="483"/>
    </row>
    <row r="404" spans="1:6">
      <c r="A404" s="482"/>
      <c r="B404" s="483"/>
      <c r="C404" s="483"/>
      <c r="D404" s="483"/>
      <c r="E404" s="483"/>
      <c r="F404" s="483"/>
    </row>
    <row r="405" spans="1:6">
      <c r="A405" s="482"/>
      <c r="B405" s="483"/>
      <c r="C405" s="483"/>
      <c r="D405" s="483"/>
      <c r="E405" s="483"/>
      <c r="F405" s="483"/>
    </row>
    <row r="406" spans="1:6">
      <c r="A406" s="482"/>
      <c r="B406" s="483"/>
      <c r="C406" s="483"/>
      <c r="D406" s="483"/>
      <c r="E406" s="483"/>
      <c r="F406" s="483"/>
    </row>
    <row r="407" spans="1:6">
      <c r="A407" s="482"/>
      <c r="B407" s="483"/>
      <c r="C407" s="483"/>
      <c r="D407" s="483"/>
      <c r="E407" s="483"/>
      <c r="F407" s="483"/>
    </row>
    <row r="408" spans="1:6">
      <c r="A408" s="482"/>
      <c r="B408" s="483"/>
      <c r="C408" s="483"/>
      <c r="D408" s="483"/>
      <c r="E408" s="483"/>
      <c r="F408" s="483"/>
    </row>
    <row r="409" spans="1:6">
      <c r="A409" s="482"/>
      <c r="B409" s="483"/>
      <c r="C409" s="483"/>
      <c r="D409" s="483"/>
      <c r="E409" s="483"/>
      <c r="F409" s="483"/>
    </row>
    <row r="410" spans="1:6">
      <c r="A410" s="482"/>
      <c r="B410" s="483"/>
      <c r="C410" s="483"/>
      <c r="D410" s="483"/>
      <c r="E410" s="483"/>
      <c r="F410" s="483"/>
    </row>
    <row r="411" spans="1:6">
      <c r="A411" s="482"/>
      <c r="B411" s="483"/>
      <c r="C411" s="483"/>
      <c r="D411" s="483"/>
      <c r="E411" s="483"/>
      <c r="F411" s="483"/>
    </row>
    <row r="412" spans="1:6">
      <c r="A412" s="482"/>
      <c r="B412" s="483"/>
      <c r="C412" s="483"/>
      <c r="D412" s="483"/>
      <c r="E412" s="483"/>
      <c r="F412" s="483"/>
    </row>
    <row r="413" spans="1:6">
      <c r="A413" s="482"/>
      <c r="B413" s="483"/>
      <c r="C413" s="483"/>
      <c r="D413" s="483"/>
      <c r="E413" s="483"/>
      <c r="F413" s="483"/>
    </row>
    <row r="414" spans="1:6">
      <c r="A414" s="482"/>
      <c r="B414" s="483"/>
      <c r="C414" s="483"/>
      <c r="D414" s="483"/>
      <c r="E414" s="483"/>
      <c r="F414" s="483"/>
    </row>
    <row r="415" spans="1:6">
      <c r="A415" s="482"/>
      <c r="B415" s="483"/>
      <c r="C415" s="483"/>
      <c r="D415" s="483"/>
      <c r="E415" s="483"/>
      <c r="F415" s="483"/>
    </row>
    <row r="416" spans="1:6">
      <c r="A416" s="482"/>
      <c r="B416" s="483"/>
      <c r="C416" s="483"/>
      <c r="D416" s="483"/>
      <c r="E416" s="483"/>
      <c r="F416" s="483"/>
    </row>
    <row r="417" spans="1:6">
      <c r="A417" s="482"/>
      <c r="B417" s="483"/>
      <c r="C417" s="483"/>
      <c r="D417" s="483"/>
      <c r="E417" s="483"/>
      <c r="F417" s="483"/>
    </row>
    <row r="418" spans="1:6">
      <c r="A418" s="482"/>
      <c r="B418" s="483"/>
      <c r="C418" s="483"/>
      <c r="D418" s="483"/>
      <c r="E418" s="483"/>
      <c r="F418" s="483"/>
    </row>
    <row r="419" spans="1:6">
      <c r="A419" s="482"/>
      <c r="B419" s="483"/>
      <c r="C419" s="483"/>
      <c r="D419" s="483"/>
      <c r="E419" s="483"/>
      <c r="F419" s="483"/>
    </row>
    <row r="420" spans="1:6">
      <c r="A420" s="482"/>
      <c r="B420" s="483"/>
      <c r="C420" s="483"/>
      <c r="D420" s="483"/>
      <c r="E420" s="483"/>
      <c r="F420" s="483"/>
    </row>
    <row r="421" spans="1:6">
      <c r="A421" s="482"/>
      <c r="B421" s="483"/>
      <c r="C421" s="483"/>
      <c r="D421" s="483"/>
      <c r="E421" s="483"/>
      <c r="F421" s="483"/>
    </row>
    <row r="422" spans="1:6">
      <c r="A422" s="482"/>
      <c r="B422" s="483"/>
      <c r="C422" s="483"/>
      <c r="D422" s="483"/>
      <c r="E422" s="483"/>
      <c r="F422" s="483"/>
    </row>
    <row r="423" spans="1:6">
      <c r="A423" s="482"/>
      <c r="B423" s="483"/>
      <c r="C423" s="483"/>
      <c r="D423" s="483"/>
      <c r="E423" s="483"/>
      <c r="F423" s="483"/>
    </row>
    <row r="424" spans="1:6">
      <c r="A424" s="482"/>
      <c r="B424" s="483"/>
      <c r="C424" s="483"/>
      <c r="D424" s="483"/>
      <c r="E424" s="483"/>
      <c r="F424" s="483"/>
    </row>
    <row r="425" spans="1:6">
      <c r="A425" s="482"/>
      <c r="B425" s="483"/>
      <c r="C425" s="483"/>
      <c r="D425" s="483"/>
      <c r="E425" s="483"/>
      <c r="F425" s="483"/>
    </row>
    <row r="426" spans="1:6">
      <c r="A426" s="482"/>
      <c r="B426" s="483"/>
      <c r="C426" s="483"/>
      <c r="D426" s="483"/>
      <c r="E426" s="483"/>
      <c r="F426" s="483"/>
    </row>
    <row r="427" spans="1:6">
      <c r="A427" s="482"/>
      <c r="B427" s="483"/>
      <c r="C427" s="483"/>
      <c r="D427" s="483"/>
      <c r="E427" s="483"/>
      <c r="F427" s="483"/>
    </row>
    <row r="428" spans="1:6">
      <c r="A428" s="482"/>
      <c r="B428" s="483"/>
      <c r="C428" s="483"/>
      <c r="D428" s="483"/>
      <c r="E428" s="483"/>
      <c r="F428" s="483"/>
    </row>
    <row r="429" spans="1:6">
      <c r="A429" s="482"/>
      <c r="B429" s="483"/>
      <c r="C429" s="483"/>
      <c r="D429" s="483"/>
      <c r="E429" s="483"/>
      <c r="F429" s="483"/>
    </row>
    <row r="430" spans="1:6">
      <c r="A430" s="482"/>
      <c r="B430" s="483"/>
      <c r="C430" s="483"/>
      <c r="D430" s="483"/>
      <c r="E430" s="483"/>
      <c r="F430" s="483"/>
    </row>
    <row r="431" spans="1:6">
      <c r="A431" s="482"/>
      <c r="B431" s="483"/>
      <c r="C431" s="483"/>
      <c r="D431" s="483"/>
      <c r="E431" s="483"/>
      <c r="F431" s="483"/>
    </row>
    <row r="432" spans="1:6">
      <c r="A432" s="482"/>
      <c r="B432" s="483"/>
      <c r="C432" s="483"/>
      <c r="D432" s="483"/>
      <c r="E432" s="483"/>
      <c r="F432" s="483"/>
    </row>
    <row r="433" spans="1:6">
      <c r="A433" s="482"/>
      <c r="B433" s="483"/>
      <c r="C433" s="483"/>
      <c r="D433" s="483"/>
      <c r="E433" s="483"/>
      <c r="F433" s="483"/>
    </row>
    <row r="434" spans="1:6">
      <c r="A434" s="482"/>
      <c r="B434" s="483"/>
      <c r="C434" s="483"/>
      <c r="D434" s="483"/>
      <c r="E434" s="483"/>
      <c r="F434" s="483"/>
    </row>
    <row r="435" spans="1:6">
      <c r="A435" s="482"/>
      <c r="B435" s="483"/>
      <c r="C435" s="483"/>
      <c r="D435" s="483"/>
      <c r="E435" s="483"/>
      <c r="F435" s="483"/>
    </row>
    <row r="436" spans="1:6">
      <c r="A436" s="482"/>
      <c r="B436" s="483"/>
      <c r="C436" s="483"/>
      <c r="D436" s="483"/>
      <c r="E436" s="483"/>
      <c r="F436" s="483"/>
    </row>
    <row r="437" spans="1:6">
      <c r="A437" s="482"/>
      <c r="B437" s="483"/>
      <c r="C437" s="483"/>
      <c r="D437" s="483"/>
      <c r="E437" s="483"/>
      <c r="F437" s="483"/>
    </row>
    <row r="438" spans="1:6">
      <c r="A438" s="482"/>
      <c r="B438" s="483"/>
      <c r="C438" s="483"/>
      <c r="D438" s="483"/>
      <c r="E438" s="483"/>
      <c r="F438" s="483"/>
    </row>
    <row r="439" spans="1:6">
      <c r="A439" s="482"/>
      <c r="B439" s="483"/>
      <c r="C439" s="483"/>
      <c r="D439" s="483"/>
      <c r="E439" s="483"/>
      <c r="F439" s="483"/>
    </row>
    <row r="440" spans="1:6">
      <c r="A440" s="482"/>
      <c r="B440" s="483"/>
      <c r="C440" s="483"/>
      <c r="D440" s="483"/>
      <c r="E440" s="483"/>
      <c r="F440" s="483"/>
    </row>
    <row r="441" spans="1:6">
      <c r="A441" s="482"/>
      <c r="B441" s="483"/>
      <c r="C441" s="483"/>
      <c r="D441" s="483"/>
      <c r="E441" s="483"/>
      <c r="F441" s="483"/>
    </row>
    <row r="442" spans="1:6">
      <c r="A442" s="482"/>
      <c r="B442" s="483"/>
      <c r="C442" s="483"/>
      <c r="D442" s="483"/>
      <c r="E442" s="483"/>
      <c r="F442" s="483"/>
    </row>
    <row r="443" spans="1:6">
      <c r="A443" s="482"/>
      <c r="B443" s="483"/>
      <c r="C443" s="483"/>
      <c r="D443" s="483"/>
      <c r="E443" s="483"/>
      <c r="F443" s="483"/>
    </row>
    <row r="444" spans="1:6">
      <c r="A444" s="482"/>
      <c r="B444" s="483"/>
      <c r="C444" s="483"/>
      <c r="D444" s="483"/>
      <c r="E444" s="483"/>
      <c r="F444" s="483"/>
    </row>
    <row r="445" spans="1:6">
      <c r="A445" s="482"/>
      <c r="B445" s="483"/>
      <c r="C445" s="483"/>
      <c r="D445" s="483"/>
      <c r="E445" s="483"/>
      <c r="F445" s="483"/>
    </row>
    <row r="446" spans="1:6">
      <c r="A446" s="482"/>
      <c r="B446" s="483"/>
      <c r="C446" s="483"/>
      <c r="D446" s="483"/>
      <c r="E446" s="483"/>
      <c r="F446" s="483"/>
    </row>
    <row r="447" spans="1:6">
      <c r="A447" s="482"/>
      <c r="B447" s="483"/>
      <c r="C447" s="483"/>
      <c r="D447" s="483"/>
      <c r="E447" s="483"/>
      <c r="F447" s="483"/>
    </row>
    <row r="448" spans="1:6">
      <c r="A448" s="482"/>
      <c r="B448" s="483"/>
      <c r="C448" s="483"/>
      <c r="D448" s="483"/>
      <c r="E448" s="483"/>
      <c r="F448" s="483"/>
    </row>
    <row r="449" spans="1:6">
      <c r="A449" s="482"/>
      <c r="B449" s="483"/>
      <c r="C449" s="483"/>
      <c r="D449" s="483"/>
      <c r="E449" s="483"/>
      <c r="F449" s="483"/>
    </row>
    <row r="450" spans="1:6">
      <c r="A450" s="482"/>
      <c r="B450" s="483"/>
      <c r="C450" s="483"/>
      <c r="D450" s="483"/>
      <c r="E450" s="483"/>
      <c r="F450" s="483"/>
    </row>
    <row r="451" spans="1:6">
      <c r="A451" s="482"/>
      <c r="B451" s="483"/>
      <c r="C451" s="483"/>
      <c r="D451" s="483"/>
      <c r="E451" s="483"/>
      <c r="F451" s="483"/>
    </row>
    <row r="452" spans="1:6">
      <c r="A452" s="482"/>
      <c r="B452" s="483"/>
      <c r="C452" s="483"/>
      <c r="D452" s="483"/>
      <c r="E452" s="483"/>
      <c r="F452" s="483"/>
    </row>
    <row r="453" spans="1:6">
      <c r="A453" s="482"/>
      <c r="B453" s="483"/>
      <c r="C453" s="483"/>
      <c r="D453" s="483"/>
      <c r="E453" s="483"/>
      <c r="F453" s="483"/>
    </row>
    <row r="454" spans="1:6">
      <c r="A454" s="482"/>
      <c r="B454" s="483"/>
      <c r="C454" s="483"/>
      <c r="D454" s="483"/>
      <c r="E454" s="483"/>
      <c r="F454" s="483"/>
    </row>
    <row r="455" spans="1:6">
      <c r="A455" s="482"/>
      <c r="B455" s="483"/>
      <c r="C455" s="483"/>
      <c r="D455" s="483"/>
      <c r="E455" s="483"/>
      <c r="F455" s="483"/>
    </row>
    <row r="456" spans="1:6">
      <c r="A456" s="482"/>
      <c r="B456" s="483"/>
      <c r="C456" s="483"/>
      <c r="D456" s="483"/>
      <c r="E456" s="483"/>
      <c r="F456" s="483"/>
    </row>
    <row r="457" spans="1:6">
      <c r="A457" s="482"/>
      <c r="B457" s="483"/>
      <c r="C457" s="483"/>
      <c r="D457" s="483"/>
      <c r="E457" s="483"/>
      <c r="F457" s="483"/>
    </row>
    <row r="458" spans="1:6">
      <c r="A458" s="482"/>
      <c r="B458" s="483"/>
      <c r="C458" s="483"/>
      <c r="D458" s="483"/>
      <c r="E458" s="483"/>
      <c r="F458" s="483"/>
    </row>
    <row r="459" spans="1:6">
      <c r="A459" s="482"/>
      <c r="B459" s="483"/>
      <c r="C459" s="483"/>
      <c r="D459" s="483"/>
      <c r="E459" s="483"/>
      <c r="F459" s="483"/>
    </row>
    <row r="460" spans="1:6">
      <c r="A460" s="482"/>
      <c r="B460" s="483"/>
      <c r="C460" s="483"/>
      <c r="D460" s="483"/>
      <c r="E460" s="483"/>
      <c r="F460" s="483"/>
    </row>
    <row r="461" spans="1:6">
      <c r="A461" s="482"/>
      <c r="B461" s="483"/>
      <c r="C461" s="483"/>
      <c r="D461" s="483"/>
      <c r="E461" s="483"/>
      <c r="F461" s="483"/>
    </row>
    <row r="462" spans="1:6">
      <c r="A462" s="482"/>
      <c r="B462" s="483"/>
      <c r="C462" s="483"/>
      <c r="D462" s="483"/>
      <c r="E462" s="483"/>
      <c r="F462" s="483"/>
    </row>
    <row r="463" spans="1:6">
      <c r="A463" s="482"/>
      <c r="B463" s="483"/>
      <c r="C463" s="483"/>
      <c r="D463" s="483"/>
      <c r="E463" s="483"/>
      <c r="F463" s="483"/>
    </row>
    <row r="464" spans="1:6">
      <c r="A464" s="482"/>
      <c r="B464" s="483"/>
      <c r="C464" s="483"/>
      <c r="D464" s="483"/>
      <c r="E464" s="483"/>
      <c r="F464" s="483"/>
    </row>
    <row r="465" spans="1:6">
      <c r="A465" s="482"/>
      <c r="B465" s="483"/>
      <c r="C465" s="483"/>
      <c r="D465" s="483"/>
      <c r="E465" s="483"/>
      <c r="F465" s="483"/>
    </row>
    <row r="466" spans="1:6">
      <c r="A466" s="482"/>
      <c r="B466" s="483"/>
      <c r="C466" s="483"/>
      <c r="D466" s="483"/>
      <c r="E466" s="483"/>
      <c r="F466" s="483"/>
    </row>
    <row r="467" spans="1:6">
      <c r="A467" s="482"/>
      <c r="B467" s="483"/>
      <c r="C467" s="483"/>
      <c r="D467" s="483"/>
      <c r="E467" s="483"/>
      <c r="F467" s="483"/>
    </row>
    <row r="468" spans="1:6">
      <c r="A468" s="482"/>
      <c r="B468" s="483"/>
      <c r="C468" s="483"/>
      <c r="D468" s="483"/>
      <c r="E468" s="483"/>
      <c r="F468" s="483"/>
    </row>
    <row r="469" spans="1:6">
      <c r="A469" s="482"/>
      <c r="B469" s="483"/>
      <c r="C469" s="483"/>
      <c r="D469" s="483"/>
      <c r="E469" s="483"/>
      <c r="F469" s="483"/>
    </row>
    <row r="470" spans="1:6">
      <c r="A470" s="482"/>
      <c r="B470" s="483"/>
      <c r="C470" s="483"/>
      <c r="D470" s="483"/>
      <c r="E470" s="483"/>
      <c r="F470" s="483"/>
    </row>
    <row r="471" spans="1:6">
      <c r="A471" s="482"/>
      <c r="B471" s="483"/>
      <c r="C471" s="483"/>
      <c r="D471" s="483"/>
      <c r="E471" s="483"/>
      <c r="F471" s="483"/>
    </row>
    <row r="472" spans="1:6">
      <c r="A472" s="482"/>
      <c r="B472" s="483"/>
      <c r="C472" s="483"/>
      <c r="D472" s="483"/>
      <c r="E472" s="483"/>
      <c r="F472" s="483"/>
    </row>
    <row r="473" spans="1:6">
      <c r="A473" s="482"/>
      <c r="B473" s="483"/>
      <c r="C473" s="483"/>
      <c r="D473" s="483"/>
      <c r="E473" s="483"/>
      <c r="F473" s="483"/>
    </row>
    <row r="474" spans="1:6">
      <c r="A474" s="482"/>
      <c r="B474" s="483"/>
      <c r="C474" s="483"/>
      <c r="D474" s="483"/>
      <c r="E474" s="483"/>
      <c r="F474" s="483"/>
    </row>
    <row r="475" spans="1:6">
      <c r="A475" s="482"/>
      <c r="B475" s="483"/>
      <c r="C475" s="483"/>
      <c r="D475" s="483"/>
      <c r="E475" s="483"/>
      <c r="F475" s="483"/>
    </row>
    <row r="476" spans="1:6">
      <c r="A476" s="482"/>
      <c r="B476" s="483"/>
      <c r="C476" s="483"/>
      <c r="D476" s="483"/>
      <c r="E476" s="483"/>
      <c r="F476" s="483"/>
    </row>
    <row r="477" spans="1:6">
      <c r="A477" s="482"/>
      <c r="B477" s="483"/>
      <c r="C477" s="483"/>
      <c r="D477" s="483"/>
      <c r="E477" s="483"/>
      <c r="F477" s="483"/>
    </row>
    <row r="478" spans="1:6">
      <c r="A478" s="482"/>
      <c r="B478" s="483"/>
      <c r="C478" s="483"/>
      <c r="D478" s="483"/>
      <c r="E478" s="483"/>
      <c r="F478" s="483"/>
    </row>
    <row r="479" spans="1:6">
      <c r="A479" s="482"/>
      <c r="B479" s="483"/>
      <c r="C479" s="483"/>
      <c r="D479" s="483"/>
      <c r="E479" s="483"/>
      <c r="F479" s="483"/>
    </row>
    <row r="480" spans="1:6">
      <c r="A480" s="482"/>
      <c r="B480" s="483"/>
      <c r="C480" s="483"/>
      <c r="D480" s="483"/>
      <c r="E480" s="483"/>
      <c r="F480" s="483"/>
    </row>
    <row r="481" spans="1:6">
      <c r="A481" s="482"/>
      <c r="B481" s="483"/>
      <c r="C481" s="483"/>
      <c r="D481" s="483"/>
      <c r="E481" s="483"/>
      <c r="F481" s="483"/>
    </row>
    <row r="482" spans="1:6">
      <c r="A482" s="482"/>
      <c r="B482" s="483"/>
      <c r="C482" s="483"/>
      <c r="D482" s="483"/>
      <c r="E482" s="483"/>
      <c r="F482" s="483"/>
    </row>
    <row r="483" spans="1:6">
      <c r="A483" s="482"/>
      <c r="B483" s="483"/>
      <c r="C483" s="483"/>
      <c r="D483" s="483"/>
      <c r="E483" s="483"/>
      <c r="F483" s="483"/>
    </row>
    <row r="484" spans="1:6">
      <c r="A484" s="482"/>
      <c r="B484" s="483"/>
      <c r="C484" s="483"/>
      <c r="D484" s="483"/>
      <c r="E484" s="483"/>
      <c r="F484" s="483"/>
    </row>
    <row r="485" spans="1:6">
      <c r="A485" s="482"/>
      <c r="B485" s="483"/>
      <c r="C485" s="483"/>
      <c r="D485" s="483"/>
      <c r="E485" s="483"/>
      <c r="F485" s="483"/>
    </row>
    <row r="486" spans="1:6">
      <c r="A486" s="482"/>
      <c r="B486" s="483"/>
      <c r="C486" s="483"/>
      <c r="D486" s="483"/>
      <c r="E486" s="483"/>
      <c r="F486" s="483"/>
    </row>
    <row r="487" spans="1:6">
      <c r="A487" s="482"/>
      <c r="B487" s="483"/>
      <c r="C487" s="483"/>
      <c r="D487" s="483"/>
      <c r="E487" s="483"/>
      <c r="F487" s="483"/>
    </row>
    <row r="488" spans="1:6">
      <c r="A488" s="482"/>
      <c r="B488" s="483"/>
      <c r="C488" s="483"/>
      <c r="D488" s="483"/>
      <c r="E488" s="483"/>
      <c r="F488" s="483"/>
    </row>
    <row r="489" spans="1:6">
      <c r="A489" s="482"/>
      <c r="B489" s="483"/>
      <c r="C489" s="483"/>
      <c r="D489" s="483"/>
      <c r="E489" s="483"/>
      <c r="F489" s="483"/>
    </row>
    <row r="490" spans="1:6">
      <c r="A490" s="482"/>
      <c r="B490" s="483"/>
      <c r="C490" s="483"/>
      <c r="D490" s="483"/>
      <c r="E490" s="483"/>
      <c r="F490" s="483"/>
    </row>
    <row r="491" spans="1:6">
      <c r="A491" s="482"/>
      <c r="B491" s="483"/>
      <c r="C491" s="483"/>
      <c r="D491" s="483"/>
      <c r="E491" s="483"/>
      <c r="F491" s="483"/>
    </row>
    <row r="492" spans="1:6">
      <c r="A492" s="482"/>
      <c r="B492" s="483"/>
      <c r="C492" s="483"/>
      <c r="D492" s="483"/>
      <c r="E492" s="483"/>
      <c r="F492" s="483"/>
    </row>
    <row r="493" spans="1:6">
      <c r="A493" s="482"/>
      <c r="B493" s="483"/>
      <c r="C493" s="483"/>
      <c r="D493" s="483"/>
      <c r="E493" s="483"/>
      <c r="F493" s="483"/>
    </row>
    <row r="494" spans="1:6">
      <c r="A494" s="482"/>
      <c r="B494" s="483"/>
      <c r="C494" s="483"/>
      <c r="D494" s="483"/>
      <c r="E494" s="483"/>
      <c r="F494" s="483"/>
    </row>
    <row r="495" spans="1:6">
      <c r="A495" s="482"/>
      <c r="B495" s="483"/>
      <c r="C495" s="483"/>
      <c r="D495" s="483"/>
      <c r="E495" s="483"/>
      <c r="F495" s="483"/>
    </row>
    <row r="496" spans="1:6">
      <c r="A496" s="482"/>
      <c r="B496" s="483"/>
      <c r="C496" s="483"/>
      <c r="D496" s="483"/>
      <c r="E496" s="483"/>
      <c r="F496" s="483"/>
    </row>
    <row r="497" spans="1:6">
      <c r="A497" s="482"/>
      <c r="B497" s="483"/>
      <c r="C497" s="483"/>
      <c r="D497" s="483"/>
      <c r="E497" s="483"/>
      <c r="F497" s="483"/>
    </row>
    <row r="498" spans="1:6">
      <c r="A498" s="482"/>
      <c r="B498" s="483"/>
      <c r="C498" s="483"/>
      <c r="D498" s="483"/>
      <c r="E498" s="483"/>
      <c r="F498" s="483"/>
    </row>
    <row r="499" spans="1:6">
      <c r="A499" s="482"/>
      <c r="B499" s="483"/>
      <c r="C499" s="483"/>
      <c r="D499" s="483"/>
      <c r="E499" s="483"/>
      <c r="F499" s="483"/>
    </row>
    <row r="500" spans="1:6">
      <c r="A500" s="482"/>
      <c r="B500" s="483"/>
      <c r="C500" s="483"/>
      <c r="D500" s="483"/>
      <c r="E500" s="483"/>
      <c r="F500" s="483"/>
    </row>
    <row r="501" spans="1:6">
      <c r="A501" s="482"/>
      <c r="B501" s="483"/>
      <c r="C501" s="483"/>
      <c r="D501" s="483"/>
      <c r="E501" s="483"/>
      <c r="F501" s="483"/>
    </row>
    <row r="502" spans="1:6">
      <c r="A502" s="482"/>
      <c r="B502" s="483"/>
      <c r="C502" s="483"/>
      <c r="D502" s="483"/>
      <c r="E502" s="483"/>
      <c r="F502" s="483"/>
    </row>
    <row r="503" spans="1:6">
      <c r="A503" s="482"/>
      <c r="B503" s="483"/>
      <c r="C503" s="483"/>
      <c r="D503" s="483"/>
      <c r="E503" s="483"/>
      <c r="F503" s="483"/>
    </row>
    <row r="504" spans="1:6">
      <c r="A504" s="482"/>
      <c r="B504" s="483"/>
      <c r="C504" s="483"/>
      <c r="D504" s="483"/>
      <c r="E504" s="483"/>
      <c r="F504" s="483"/>
    </row>
    <row r="505" spans="1:6">
      <c r="A505" s="482"/>
      <c r="B505" s="483"/>
      <c r="C505" s="483"/>
      <c r="D505" s="483"/>
      <c r="E505" s="483"/>
      <c r="F505" s="483"/>
    </row>
    <row r="506" spans="1:6">
      <c r="A506" s="482"/>
      <c r="B506" s="483"/>
      <c r="C506" s="483"/>
      <c r="D506" s="483"/>
      <c r="E506" s="483"/>
      <c r="F506" s="483"/>
    </row>
    <row r="507" spans="1:6">
      <c r="A507" s="482"/>
      <c r="B507" s="483"/>
      <c r="C507" s="483"/>
      <c r="D507" s="483"/>
      <c r="E507" s="483"/>
      <c r="F507" s="483"/>
    </row>
    <row r="508" spans="1:6">
      <c r="A508" s="482"/>
      <c r="B508" s="483"/>
      <c r="C508" s="483"/>
      <c r="D508" s="483"/>
      <c r="E508" s="483"/>
      <c r="F508" s="483"/>
    </row>
    <row r="509" spans="1:6">
      <c r="A509" s="482"/>
      <c r="B509" s="483"/>
      <c r="C509" s="483"/>
      <c r="D509" s="483"/>
      <c r="E509" s="483"/>
      <c r="F509" s="483"/>
    </row>
    <row r="510" spans="1:6">
      <c r="A510" s="482"/>
      <c r="B510" s="483"/>
      <c r="C510" s="483"/>
      <c r="D510" s="483"/>
      <c r="E510" s="483"/>
      <c r="F510" s="483"/>
    </row>
    <row r="511" spans="1:6">
      <c r="A511" s="482"/>
      <c r="B511" s="483"/>
      <c r="C511" s="483"/>
      <c r="D511" s="483"/>
      <c r="E511" s="483"/>
      <c r="F511" s="483"/>
    </row>
    <row r="512" spans="1:6">
      <c r="A512" s="482"/>
      <c r="B512" s="483"/>
      <c r="C512" s="483"/>
      <c r="D512" s="483"/>
      <c r="E512" s="483"/>
      <c r="F512" s="483"/>
    </row>
    <row r="513" spans="1:6">
      <c r="A513" s="482"/>
      <c r="B513" s="483"/>
      <c r="C513" s="483"/>
      <c r="D513" s="483"/>
      <c r="E513" s="483"/>
      <c r="F513" s="483"/>
    </row>
    <row r="514" spans="1:6">
      <c r="A514" s="482"/>
      <c r="B514" s="483"/>
      <c r="C514" s="483"/>
      <c r="D514" s="483"/>
      <c r="E514" s="483"/>
      <c r="F514" s="483"/>
    </row>
    <row r="515" spans="1:6">
      <c r="A515" s="482"/>
      <c r="B515" s="483"/>
      <c r="C515" s="483"/>
      <c r="D515" s="483"/>
      <c r="E515" s="483"/>
      <c r="F515" s="483"/>
    </row>
    <row r="516" spans="1:6">
      <c r="A516" s="482"/>
      <c r="B516" s="483"/>
      <c r="C516" s="483"/>
      <c r="D516" s="483"/>
      <c r="E516" s="483"/>
      <c r="F516" s="483"/>
    </row>
    <row r="517" spans="1:6">
      <c r="A517" s="482"/>
      <c r="B517" s="483"/>
      <c r="C517" s="483"/>
      <c r="D517" s="483"/>
      <c r="E517" s="483"/>
      <c r="F517" s="483"/>
    </row>
    <row r="518" spans="1:6">
      <c r="A518" s="482"/>
      <c r="B518" s="483"/>
      <c r="C518" s="483"/>
      <c r="D518" s="483"/>
      <c r="E518" s="483"/>
      <c r="F518" s="483"/>
    </row>
    <row r="519" spans="1:6">
      <c r="A519" s="482"/>
      <c r="B519" s="483"/>
      <c r="C519" s="483"/>
      <c r="D519" s="483"/>
      <c r="E519" s="483"/>
      <c r="F519" s="483"/>
    </row>
    <row r="520" spans="1:6">
      <c r="A520" s="482"/>
      <c r="B520" s="483"/>
      <c r="C520" s="483"/>
      <c r="D520" s="483"/>
      <c r="E520" s="483"/>
      <c r="F520" s="483"/>
    </row>
    <row r="521" spans="1:6">
      <c r="A521" s="482"/>
      <c r="B521" s="483"/>
      <c r="C521" s="483"/>
      <c r="D521" s="483"/>
      <c r="E521" s="483"/>
      <c r="F521" s="483"/>
    </row>
    <row r="522" spans="1:6">
      <c r="A522" s="482"/>
      <c r="B522" s="483"/>
      <c r="C522" s="483"/>
      <c r="D522" s="483"/>
      <c r="E522" s="483"/>
      <c r="F522" s="483"/>
    </row>
    <row r="523" spans="1:6">
      <c r="A523" s="482"/>
      <c r="B523" s="483"/>
      <c r="C523" s="483"/>
      <c r="D523" s="483"/>
      <c r="E523" s="483"/>
      <c r="F523" s="483"/>
    </row>
    <row r="524" spans="1:6">
      <c r="A524" s="482"/>
      <c r="B524" s="483"/>
      <c r="C524" s="483"/>
      <c r="D524" s="483"/>
      <c r="E524" s="483"/>
      <c r="F524" s="483"/>
    </row>
    <row r="525" spans="1:6">
      <c r="A525" s="482"/>
      <c r="B525" s="483"/>
      <c r="C525" s="483"/>
      <c r="D525" s="483"/>
      <c r="E525" s="483"/>
      <c r="F525" s="483"/>
    </row>
    <row r="526" spans="1:6">
      <c r="A526" s="482"/>
      <c r="B526" s="483"/>
      <c r="C526" s="483"/>
      <c r="D526" s="483"/>
      <c r="E526" s="483"/>
      <c r="F526" s="483"/>
    </row>
    <row r="527" spans="1:6">
      <c r="A527" s="482"/>
      <c r="B527" s="483"/>
      <c r="C527" s="483"/>
      <c r="D527" s="483"/>
      <c r="E527" s="483"/>
      <c r="F527" s="483"/>
    </row>
    <row r="528" spans="1:6">
      <c r="A528" s="482"/>
      <c r="B528" s="483"/>
      <c r="C528" s="483"/>
      <c r="D528" s="483"/>
      <c r="E528" s="483"/>
      <c r="F528" s="483"/>
    </row>
    <row r="529" spans="1:6">
      <c r="A529" s="482"/>
      <c r="B529" s="483"/>
      <c r="C529" s="483"/>
      <c r="D529" s="483"/>
      <c r="E529" s="483"/>
      <c r="F529" s="483"/>
    </row>
    <row r="530" spans="1:6">
      <c r="A530" s="482"/>
      <c r="B530" s="483"/>
      <c r="C530" s="483"/>
      <c r="D530" s="483"/>
      <c r="E530" s="483"/>
      <c r="F530" s="483"/>
    </row>
    <row r="531" spans="1:6">
      <c r="A531" s="482"/>
      <c r="B531" s="483"/>
      <c r="C531" s="483"/>
      <c r="D531" s="483"/>
      <c r="E531" s="483"/>
      <c r="F531" s="483"/>
    </row>
    <row r="532" spans="1:6">
      <c r="A532" s="482"/>
      <c r="B532" s="483"/>
      <c r="C532" s="483"/>
      <c r="D532" s="483"/>
      <c r="E532" s="483"/>
      <c r="F532" s="483"/>
    </row>
    <row r="533" spans="1:6">
      <c r="A533" s="482"/>
      <c r="B533" s="483"/>
      <c r="C533" s="483"/>
      <c r="D533" s="483"/>
      <c r="E533" s="483"/>
      <c r="F533" s="483"/>
    </row>
    <row r="534" spans="1:6">
      <c r="A534" s="482"/>
      <c r="B534" s="483"/>
      <c r="C534" s="483"/>
      <c r="D534" s="483"/>
      <c r="E534" s="483"/>
      <c r="F534" s="483"/>
    </row>
    <row r="535" spans="1:6">
      <c r="A535" s="482"/>
      <c r="B535" s="483"/>
      <c r="C535" s="483"/>
      <c r="D535" s="483"/>
      <c r="E535" s="483"/>
      <c r="F535" s="483"/>
    </row>
    <row r="536" spans="1:6">
      <c r="A536" s="482"/>
      <c r="B536" s="483"/>
      <c r="C536" s="483"/>
      <c r="D536" s="483"/>
      <c r="E536" s="483"/>
      <c r="F536" s="483"/>
    </row>
    <row r="537" spans="1:6">
      <c r="A537" s="482"/>
      <c r="B537" s="483"/>
      <c r="C537" s="483"/>
      <c r="D537" s="483"/>
      <c r="E537" s="483"/>
      <c r="F537" s="483"/>
    </row>
    <row r="538" spans="1:6">
      <c r="A538" s="482"/>
      <c r="B538" s="483"/>
      <c r="C538" s="483"/>
      <c r="D538" s="483"/>
      <c r="E538" s="483"/>
      <c r="F538" s="483"/>
    </row>
    <row r="539" spans="1:6">
      <c r="A539" s="482"/>
      <c r="B539" s="483"/>
      <c r="C539" s="483"/>
      <c r="D539" s="483"/>
      <c r="E539" s="483"/>
      <c r="F539" s="483"/>
    </row>
    <row r="540" spans="1:6">
      <c r="A540" s="482"/>
      <c r="B540" s="483"/>
      <c r="C540" s="483"/>
      <c r="D540" s="483"/>
      <c r="E540" s="483"/>
      <c r="F540" s="483"/>
    </row>
    <row r="541" spans="1:6">
      <c r="A541" s="482"/>
      <c r="B541" s="483"/>
      <c r="C541" s="483"/>
      <c r="D541" s="483"/>
      <c r="E541" s="483"/>
      <c r="F541" s="483"/>
    </row>
    <row r="542" spans="1:6">
      <c r="A542" s="482"/>
      <c r="B542" s="483"/>
      <c r="C542" s="483"/>
      <c r="D542" s="483"/>
      <c r="E542" s="483"/>
      <c r="F542" s="483"/>
    </row>
    <row r="543" spans="1:6">
      <c r="A543" s="482"/>
      <c r="B543" s="483"/>
      <c r="C543" s="483"/>
      <c r="D543" s="483"/>
      <c r="E543" s="483"/>
      <c r="F543" s="483"/>
    </row>
    <row r="544" spans="1:6">
      <c r="A544" s="482"/>
      <c r="B544" s="483"/>
      <c r="C544" s="483"/>
      <c r="D544" s="483"/>
      <c r="E544" s="483"/>
      <c r="F544" s="483"/>
    </row>
    <row r="545" spans="1:6">
      <c r="A545" s="482"/>
      <c r="B545" s="483"/>
      <c r="C545" s="483"/>
      <c r="D545" s="483"/>
      <c r="E545" s="483"/>
      <c r="F545" s="483"/>
    </row>
    <row r="546" spans="1:6">
      <c r="A546" s="482"/>
      <c r="B546" s="483"/>
      <c r="C546" s="483"/>
      <c r="D546" s="483"/>
      <c r="E546" s="483"/>
      <c r="F546" s="483"/>
    </row>
    <row r="547" spans="1:6">
      <c r="A547" s="482"/>
      <c r="B547" s="483"/>
      <c r="C547" s="483"/>
      <c r="D547" s="483"/>
      <c r="E547" s="483"/>
      <c r="F547" s="483"/>
    </row>
    <row r="548" spans="1:6">
      <c r="A548" s="482"/>
      <c r="B548" s="483"/>
      <c r="C548" s="483"/>
      <c r="D548" s="483"/>
      <c r="E548" s="483"/>
      <c r="F548" s="483"/>
    </row>
    <row r="549" spans="1:6">
      <c r="A549" s="482"/>
      <c r="B549" s="483"/>
      <c r="C549" s="483"/>
      <c r="D549" s="483"/>
      <c r="E549" s="483"/>
      <c r="F549" s="483"/>
    </row>
    <row r="550" spans="1:6">
      <c r="A550" s="482"/>
      <c r="B550" s="483"/>
      <c r="C550" s="483"/>
      <c r="D550" s="483"/>
      <c r="E550" s="483"/>
      <c r="F550" s="483"/>
    </row>
    <row r="551" spans="1:6">
      <c r="A551" s="482"/>
      <c r="B551" s="483"/>
      <c r="C551" s="483"/>
      <c r="D551" s="483"/>
      <c r="E551" s="483"/>
      <c r="F551" s="483"/>
    </row>
    <row r="552" spans="1:6">
      <c r="A552" s="482"/>
      <c r="B552" s="483"/>
      <c r="C552" s="483"/>
      <c r="D552" s="483"/>
      <c r="E552" s="483"/>
      <c r="F552" s="483"/>
    </row>
    <row r="553" spans="1:6">
      <c r="A553" s="482"/>
      <c r="B553" s="483"/>
      <c r="C553" s="483"/>
      <c r="D553" s="483"/>
      <c r="E553" s="483"/>
      <c r="F553" s="483"/>
    </row>
    <row r="554" spans="1:6">
      <c r="A554" s="482"/>
      <c r="B554" s="483"/>
      <c r="C554" s="483"/>
      <c r="D554" s="483"/>
      <c r="E554" s="483"/>
      <c r="F554" s="483"/>
    </row>
    <row r="555" spans="1:6">
      <c r="A555" s="482"/>
      <c r="B555" s="483"/>
      <c r="C555" s="483"/>
      <c r="D555" s="483"/>
      <c r="E555" s="483"/>
      <c r="F555" s="483"/>
    </row>
    <row r="556" spans="1:6">
      <c r="A556" s="482"/>
      <c r="B556" s="483"/>
      <c r="C556" s="483"/>
      <c r="D556" s="483"/>
      <c r="E556" s="483"/>
      <c r="F556" s="483"/>
    </row>
    <row r="557" spans="1:6">
      <c r="A557" s="482"/>
      <c r="B557" s="483"/>
      <c r="C557" s="483"/>
      <c r="D557" s="483"/>
      <c r="E557" s="483"/>
      <c r="F557" s="483"/>
    </row>
    <row r="558" spans="1:6">
      <c r="A558" s="482"/>
      <c r="B558" s="483"/>
      <c r="C558" s="483"/>
      <c r="D558" s="483"/>
      <c r="E558" s="483"/>
      <c r="F558" s="483"/>
    </row>
    <row r="559" spans="1:6">
      <c r="A559" s="482"/>
      <c r="B559" s="483"/>
      <c r="C559" s="483"/>
      <c r="D559" s="483"/>
      <c r="E559" s="483"/>
      <c r="F559" s="483"/>
    </row>
    <row r="560" spans="1:6">
      <c r="A560" s="482"/>
      <c r="B560" s="483"/>
      <c r="C560" s="483"/>
      <c r="D560" s="483"/>
      <c r="E560" s="483"/>
      <c r="F560" s="483"/>
    </row>
    <row r="561" spans="1:6">
      <c r="A561" s="482"/>
      <c r="B561" s="483"/>
      <c r="C561" s="483"/>
      <c r="D561" s="483"/>
      <c r="E561" s="483"/>
      <c r="F561" s="483"/>
    </row>
    <row r="562" spans="1:6">
      <c r="A562" s="482"/>
      <c r="B562" s="483"/>
      <c r="C562" s="483"/>
      <c r="D562" s="483"/>
      <c r="E562" s="483"/>
      <c r="F562" s="483"/>
    </row>
    <row r="563" spans="1:6">
      <c r="A563" s="482"/>
      <c r="B563" s="483"/>
      <c r="C563" s="483"/>
      <c r="D563" s="483"/>
      <c r="E563" s="483"/>
      <c r="F563" s="483"/>
    </row>
    <row r="564" spans="1:6">
      <c r="A564" s="482"/>
      <c r="B564" s="483"/>
      <c r="C564" s="483"/>
      <c r="D564" s="483"/>
      <c r="E564" s="483"/>
      <c r="F564" s="483"/>
    </row>
    <row r="565" spans="1:6">
      <c r="A565" s="482"/>
      <c r="B565" s="483"/>
      <c r="C565" s="483"/>
      <c r="D565" s="483"/>
      <c r="E565" s="483"/>
      <c r="F565" s="483"/>
    </row>
    <row r="566" spans="1:6">
      <c r="A566" s="482"/>
      <c r="B566" s="483"/>
      <c r="C566" s="483"/>
      <c r="D566" s="483"/>
      <c r="E566" s="483"/>
      <c r="F566" s="483"/>
    </row>
    <row r="567" spans="1:6">
      <c r="A567" s="482"/>
      <c r="B567" s="483"/>
      <c r="C567" s="483"/>
      <c r="D567" s="483"/>
      <c r="E567" s="483"/>
      <c r="F567" s="483"/>
    </row>
    <row r="568" spans="1:6">
      <c r="A568" s="482"/>
      <c r="B568" s="483"/>
      <c r="C568" s="483"/>
      <c r="D568" s="483"/>
      <c r="E568" s="483"/>
      <c r="F568" s="483"/>
    </row>
    <row r="569" spans="1:6">
      <c r="A569" s="482"/>
      <c r="B569" s="483"/>
      <c r="C569" s="483"/>
      <c r="D569" s="483"/>
      <c r="E569" s="483"/>
      <c r="F569" s="483"/>
    </row>
    <row r="570" spans="1:6">
      <c r="A570" s="482"/>
      <c r="B570" s="483"/>
      <c r="C570" s="483"/>
      <c r="D570" s="483"/>
      <c r="E570" s="483"/>
      <c r="F570" s="483"/>
    </row>
    <row r="571" spans="1:6">
      <c r="A571" s="482"/>
      <c r="B571" s="483"/>
      <c r="C571" s="483"/>
      <c r="D571" s="483"/>
      <c r="E571" s="483"/>
      <c r="F571" s="483"/>
    </row>
    <row r="572" spans="1:6">
      <c r="A572" s="482"/>
      <c r="B572" s="483"/>
      <c r="C572" s="483"/>
      <c r="D572" s="483"/>
      <c r="E572" s="483"/>
      <c r="F572" s="483"/>
    </row>
    <row r="573" spans="1:6">
      <c r="A573" s="482"/>
      <c r="B573" s="483"/>
      <c r="C573" s="483"/>
      <c r="D573" s="483"/>
      <c r="E573" s="483"/>
      <c r="F573" s="483"/>
    </row>
    <row r="574" spans="1:6">
      <c r="A574" s="482"/>
      <c r="B574" s="483"/>
      <c r="C574" s="483"/>
      <c r="D574" s="483"/>
      <c r="E574" s="483"/>
      <c r="F574" s="483"/>
    </row>
    <row r="575" spans="1:6">
      <c r="A575" s="482"/>
      <c r="B575" s="483"/>
      <c r="C575" s="483"/>
      <c r="D575" s="483"/>
      <c r="E575" s="483"/>
      <c r="F575" s="483"/>
    </row>
    <row r="576" spans="1:6">
      <c r="A576" s="482"/>
      <c r="B576" s="483"/>
      <c r="C576" s="483"/>
      <c r="D576" s="483"/>
      <c r="E576" s="483"/>
      <c r="F576" s="483"/>
    </row>
    <row r="577" spans="1:6">
      <c r="A577" s="482"/>
      <c r="B577" s="483"/>
      <c r="C577" s="483"/>
      <c r="D577" s="483"/>
      <c r="E577" s="483"/>
      <c r="F577" s="483"/>
    </row>
    <row r="578" spans="1:6">
      <c r="A578" s="482"/>
      <c r="B578" s="483"/>
      <c r="C578" s="483"/>
      <c r="D578" s="483"/>
      <c r="E578" s="483"/>
      <c r="F578" s="483"/>
    </row>
    <row r="579" spans="1:6">
      <c r="A579" s="482"/>
      <c r="B579" s="483"/>
      <c r="C579" s="483"/>
      <c r="D579" s="483"/>
      <c r="E579" s="483"/>
      <c r="F579" s="483"/>
    </row>
    <row r="580" spans="1:6">
      <c r="A580" s="482"/>
      <c r="B580" s="483"/>
      <c r="C580" s="483"/>
      <c r="D580" s="483"/>
      <c r="E580" s="483"/>
      <c r="F580" s="483"/>
    </row>
    <row r="581" spans="1:6">
      <c r="A581" s="482"/>
      <c r="B581" s="483"/>
      <c r="C581" s="483"/>
      <c r="D581" s="483"/>
      <c r="E581" s="483"/>
      <c r="F581" s="483"/>
    </row>
    <row r="582" spans="1:6">
      <c r="A582" s="482"/>
      <c r="B582" s="483"/>
      <c r="C582" s="483"/>
      <c r="D582" s="483"/>
      <c r="E582" s="483"/>
      <c r="F582" s="483"/>
    </row>
    <row r="583" spans="1:6">
      <c r="A583" s="482"/>
      <c r="B583" s="483"/>
      <c r="C583" s="483"/>
      <c r="D583" s="483"/>
      <c r="E583" s="483"/>
      <c r="F583" s="483"/>
    </row>
    <row r="584" spans="1:6">
      <c r="A584" s="482"/>
      <c r="B584" s="483"/>
      <c r="C584" s="483"/>
      <c r="D584" s="483"/>
      <c r="E584" s="483"/>
      <c r="F584" s="483"/>
    </row>
    <row r="585" spans="1:6">
      <c r="A585" s="482"/>
      <c r="B585" s="483"/>
      <c r="C585" s="483"/>
      <c r="D585" s="483"/>
      <c r="E585" s="483"/>
      <c r="F585" s="483"/>
    </row>
    <row r="586" spans="1:6">
      <c r="A586" s="482"/>
      <c r="B586" s="483"/>
      <c r="C586" s="483"/>
      <c r="D586" s="483"/>
      <c r="E586" s="483"/>
      <c r="F586" s="483"/>
    </row>
    <row r="587" spans="1:6">
      <c r="A587" s="482"/>
      <c r="B587" s="483"/>
      <c r="C587" s="483"/>
      <c r="D587" s="483"/>
      <c r="E587" s="483"/>
      <c r="F587" s="483"/>
    </row>
    <row r="588" spans="1:6">
      <c r="A588" s="482"/>
      <c r="B588" s="483"/>
      <c r="C588" s="483"/>
      <c r="D588" s="483"/>
      <c r="E588" s="483"/>
      <c r="F588" s="483"/>
    </row>
    <row r="589" spans="1:6">
      <c r="A589" s="482"/>
      <c r="B589" s="483"/>
      <c r="C589" s="483"/>
      <c r="D589" s="483"/>
      <c r="E589" s="483"/>
      <c r="F589" s="483"/>
    </row>
    <row r="590" spans="1:6">
      <c r="A590" s="482"/>
      <c r="B590" s="483"/>
      <c r="C590" s="483"/>
      <c r="D590" s="483"/>
      <c r="E590" s="483"/>
      <c r="F590" s="483"/>
    </row>
    <row r="591" spans="1:6">
      <c r="A591" s="482"/>
      <c r="B591" s="483"/>
      <c r="C591" s="483"/>
      <c r="D591" s="483"/>
      <c r="E591" s="483"/>
      <c r="F591" s="483"/>
    </row>
    <row r="592" spans="1:6">
      <c r="A592" s="482"/>
      <c r="B592" s="483"/>
      <c r="C592" s="483"/>
      <c r="D592" s="483"/>
      <c r="E592" s="483"/>
      <c r="F592" s="483"/>
    </row>
    <row r="593" spans="1:6">
      <c r="A593" s="482"/>
      <c r="B593" s="483"/>
      <c r="C593" s="483"/>
      <c r="D593" s="483"/>
      <c r="E593" s="483"/>
      <c r="F593" s="483"/>
    </row>
    <row r="594" spans="1:6">
      <c r="A594" s="482"/>
      <c r="B594" s="483"/>
      <c r="C594" s="483"/>
      <c r="D594" s="483"/>
      <c r="E594" s="483"/>
      <c r="F594" s="483"/>
    </row>
    <row r="595" spans="1:6">
      <c r="A595" s="482"/>
      <c r="B595" s="483"/>
      <c r="C595" s="483"/>
      <c r="D595" s="483"/>
      <c r="E595" s="483"/>
      <c r="F595" s="483"/>
    </row>
    <row r="596" spans="1:6">
      <c r="A596" s="482"/>
      <c r="B596" s="483"/>
      <c r="C596" s="483"/>
      <c r="D596" s="483"/>
      <c r="E596" s="483"/>
      <c r="F596" s="483"/>
    </row>
    <row r="597" spans="1:6">
      <c r="A597" s="482"/>
      <c r="B597" s="483"/>
      <c r="C597" s="483"/>
      <c r="D597" s="483"/>
      <c r="E597" s="483"/>
      <c r="F597" s="483"/>
    </row>
    <row r="598" spans="1:6">
      <c r="A598" s="482"/>
      <c r="B598" s="483"/>
      <c r="C598" s="483"/>
      <c r="D598" s="483"/>
      <c r="E598" s="483"/>
      <c r="F598" s="483"/>
    </row>
    <row r="599" spans="1:6">
      <c r="A599" s="482"/>
      <c r="B599" s="483"/>
      <c r="C599" s="483"/>
      <c r="D599" s="483"/>
      <c r="E599" s="483"/>
      <c r="F599" s="483"/>
    </row>
    <row r="600" spans="1:6">
      <c r="A600" s="482"/>
      <c r="B600" s="483"/>
      <c r="C600" s="483"/>
      <c r="D600" s="483"/>
      <c r="E600" s="483"/>
      <c r="F600" s="483"/>
    </row>
    <row r="601" spans="1:6">
      <c r="A601" s="482"/>
      <c r="B601" s="483"/>
      <c r="C601" s="483"/>
      <c r="D601" s="483"/>
      <c r="E601" s="483"/>
      <c r="F601" s="483"/>
    </row>
    <row r="602" spans="1:6">
      <c r="A602" s="482"/>
      <c r="B602" s="483"/>
      <c r="C602" s="483"/>
      <c r="D602" s="483"/>
      <c r="E602" s="483"/>
      <c r="F602" s="483"/>
    </row>
    <row r="603" spans="1:6">
      <c r="A603" s="482"/>
      <c r="B603" s="483"/>
      <c r="C603" s="483"/>
      <c r="D603" s="483"/>
      <c r="E603" s="483"/>
      <c r="F603" s="483"/>
    </row>
    <row r="604" spans="1:6">
      <c r="A604" s="482"/>
      <c r="B604" s="483"/>
      <c r="C604" s="483"/>
      <c r="D604" s="483"/>
      <c r="E604" s="483"/>
      <c r="F604" s="483"/>
    </row>
    <row r="605" spans="1:6">
      <c r="A605" s="482"/>
      <c r="B605" s="483"/>
      <c r="C605" s="483"/>
      <c r="D605" s="483"/>
      <c r="E605" s="483"/>
      <c r="F605" s="483"/>
    </row>
    <row r="606" spans="1:6">
      <c r="A606" s="482"/>
      <c r="B606" s="483"/>
      <c r="C606" s="483"/>
      <c r="D606" s="483"/>
      <c r="E606" s="483"/>
      <c r="F606" s="483"/>
    </row>
    <row r="607" spans="1:6">
      <c r="A607" s="482"/>
      <c r="B607" s="483"/>
      <c r="C607" s="483"/>
      <c r="D607" s="483"/>
      <c r="E607" s="483"/>
      <c r="F607" s="483"/>
    </row>
    <row r="608" spans="1:6">
      <c r="A608" s="482"/>
      <c r="B608" s="483"/>
      <c r="C608" s="483"/>
      <c r="D608" s="483"/>
      <c r="E608" s="483"/>
      <c r="F608" s="483"/>
    </row>
    <row r="609" spans="1:6">
      <c r="A609" s="482"/>
      <c r="B609" s="483"/>
      <c r="C609" s="483"/>
      <c r="D609" s="483"/>
      <c r="E609" s="483"/>
      <c r="F609" s="483"/>
    </row>
    <row r="610" spans="1:6">
      <c r="A610" s="482"/>
      <c r="B610" s="483"/>
      <c r="C610" s="483"/>
      <c r="D610" s="483"/>
      <c r="E610" s="483"/>
      <c r="F610" s="483"/>
    </row>
    <row r="611" spans="1:6">
      <c r="A611" s="482"/>
      <c r="B611" s="483"/>
      <c r="C611" s="483"/>
      <c r="D611" s="483"/>
      <c r="E611" s="483"/>
      <c r="F611" s="483"/>
    </row>
    <row r="612" spans="1:6">
      <c r="A612" s="482"/>
      <c r="B612" s="483"/>
      <c r="C612" s="483"/>
      <c r="D612" s="483"/>
      <c r="E612" s="483"/>
      <c r="F612" s="483"/>
    </row>
    <row r="613" spans="1:6">
      <c r="A613" s="482"/>
      <c r="B613" s="483"/>
      <c r="C613" s="483"/>
      <c r="D613" s="483"/>
      <c r="E613" s="483"/>
      <c r="F613" s="483"/>
    </row>
    <row r="614" spans="1:6">
      <c r="A614" s="482"/>
      <c r="B614" s="483"/>
      <c r="C614" s="483"/>
      <c r="D614" s="483"/>
      <c r="E614" s="483"/>
      <c r="F614" s="483"/>
    </row>
    <row r="615" spans="1:6">
      <c r="A615" s="482"/>
      <c r="B615" s="483"/>
      <c r="C615" s="483"/>
      <c r="D615" s="483"/>
      <c r="E615" s="483"/>
      <c r="F615" s="483"/>
    </row>
    <row r="616" spans="1:6">
      <c r="A616" s="482"/>
      <c r="B616" s="483"/>
      <c r="C616" s="483"/>
      <c r="D616" s="483"/>
      <c r="E616" s="483"/>
      <c r="F616" s="483"/>
    </row>
    <row r="617" spans="1:6">
      <c r="A617" s="482"/>
      <c r="B617" s="483"/>
      <c r="C617" s="483"/>
      <c r="D617" s="483"/>
      <c r="E617" s="483"/>
      <c r="F617" s="483"/>
    </row>
    <row r="618" spans="1:6">
      <c r="A618" s="482"/>
      <c r="B618" s="483"/>
      <c r="C618" s="483"/>
      <c r="D618" s="483"/>
      <c r="E618" s="483"/>
      <c r="F618" s="483"/>
    </row>
    <row r="619" spans="1:6">
      <c r="A619" s="482"/>
      <c r="B619" s="483"/>
      <c r="C619" s="483"/>
      <c r="D619" s="483"/>
      <c r="E619" s="483"/>
      <c r="F619" s="483"/>
    </row>
    <row r="620" spans="1:6">
      <c r="A620" s="482"/>
      <c r="B620" s="483"/>
      <c r="C620" s="483"/>
      <c r="D620" s="483"/>
      <c r="E620" s="483"/>
      <c r="F620" s="483"/>
    </row>
    <row r="621" spans="1:6">
      <c r="A621" s="482"/>
      <c r="B621" s="483"/>
      <c r="C621" s="483"/>
      <c r="D621" s="483"/>
      <c r="E621" s="483"/>
      <c r="F621" s="483"/>
    </row>
    <row r="622" spans="1:6">
      <c r="A622" s="482"/>
      <c r="B622" s="483"/>
      <c r="C622" s="483"/>
      <c r="D622" s="483"/>
      <c r="E622" s="483"/>
      <c r="F622" s="483"/>
    </row>
    <row r="623" spans="1:6">
      <c r="A623" s="482"/>
      <c r="B623" s="483"/>
      <c r="C623" s="483"/>
      <c r="D623" s="483"/>
      <c r="E623" s="483"/>
      <c r="F623" s="483"/>
    </row>
    <row r="624" spans="1:6">
      <c r="A624" s="482"/>
      <c r="B624" s="483"/>
      <c r="C624" s="483"/>
      <c r="D624" s="483"/>
      <c r="E624" s="483"/>
      <c r="F624" s="483"/>
    </row>
    <row r="625" spans="1:6">
      <c r="A625" s="482"/>
      <c r="B625" s="483"/>
      <c r="C625" s="483"/>
      <c r="D625" s="483"/>
      <c r="E625" s="483"/>
      <c r="F625" s="483"/>
    </row>
    <row r="626" spans="1:6">
      <c r="A626" s="482"/>
      <c r="B626" s="483"/>
      <c r="C626" s="483"/>
      <c r="D626" s="483"/>
      <c r="E626" s="483"/>
      <c r="F626" s="483"/>
    </row>
    <row r="627" spans="1:6">
      <c r="A627" s="482"/>
      <c r="B627" s="483"/>
      <c r="C627" s="483"/>
      <c r="D627" s="483"/>
      <c r="E627" s="483"/>
      <c r="F627" s="483"/>
    </row>
    <row r="628" spans="1:6">
      <c r="A628" s="482"/>
      <c r="B628" s="483"/>
      <c r="C628" s="483"/>
      <c r="D628" s="483"/>
      <c r="E628" s="483"/>
      <c r="F628" s="483"/>
    </row>
    <row r="629" spans="1:6">
      <c r="A629" s="482"/>
      <c r="B629" s="483"/>
      <c r="C629" s="483"/>
      <c r="D629" s="483"/>
      <c r="E629" s="483"/>
      <c r="F629" s="483"/>
    </row>
    <row r="630" spans="1:6">
      <c r="A630" s="482"/>
      <c r="B630" s="483"/>
      <c r="C630" s="483"/>
      <c r="D630" s="483"/>
      <c r="E630" s="483"/>
      <c r="F630" s="483"/>
    </row>
    <row r="631" spans="1:6">
      <c r="A631" s="482"/>
      <c r="B631" s="483"/>
      <c r="C631" s="483"/>
      <c r="D631" s="483"/>
      <c r="E631" s="483"/>
      <c r="F631" s="483"/>
    </row>
    <row r="632" spans="1:6">
      <c r="A632" s="482"/>
      <c r="B632" s="483"/>
      <c r="C632" s="483"/>
      <c r="D632" s="483"/>
      <c r="E632" s="483"/>
      <c r="F632" s="483"/>
    </row>
    <row r="633" spans="1:6">
      <c r="A633" s="482"/>
      <c r="B633" s="483"/>
      <c r="C633" s="483"/>
      <c r="D633" s="483"/>
      <c r="E633" s="483"/>
      <c r="F633" s="483"/>
    </row>
    <row r="634" spans="1:6">
      <c r="A634" s="482"/>
      <c r="B634" s="483"/>
      <c r="C634" s="483"/>
      <c r="D634" s="483"/>
      <c r="E634" s="483"/>
      <c r="F634" s="483"/>
    </row>
    <row r="635" spans="1:6">
      <c r="A635" s="482"/>
      <c r="B635" s="483"/>
      <c r="C635" s="483"/>
      <c r="D635" s="483"/>
      <c r="E635" s="483"/>
      <c r="F635" s="483"/>
    </row>
    <row r="636" spans="1:6">
      <c r="A636" s="482"/>
      <c r="B636" s="483"/>
      <c r="C636" s="483"/>
      <c r="D636" s="483"/>
      <c r="E636" s="483"/>
      <c r="F636" s="483"/>
    </row>
    <row r="637" spans="1:6">
      <c r="A637" s="482"/>
      <c r="B637" s="483"/>
      <c r="C637" s="483"/>
      <c r="D637" s="483"/>
      <c r="E637" s="483"/>
      <c r="F637" s="483"/>
    </row>
    <row r="638" spans="1:6">
      <c r="A638" s="482"/>
      <c r="B638" s="483"/>
      <c r="C638" s="483"/>
      <c r="D638" s="483"/>
      <c r="E638" s="483"/>
      <c r="F638" s="483"/>
    </row>
    <row r="639" spans="1:6">
      <c r="A639" s="482"/>
      <c r="B639" s="483"/>
      <c r="C639" s="483"/>
      <c r="D639" s="483"/>
      <c r="E639" s="483"/>
      <c r="F639" s="483"/>
    </row>
    <row r="640" spans="1:6">
      <c r="A640" s="482"/>
      <c r="B640" s="483"/>
      <c r="C640" s="483"/>
      <c r="D640" s="483"/>
      <c r="E640" s="483"/>
      <c r="F640" s="483"/>
    </row>
    <row r="641" spans="1:6">
      <c r="A641" s="482"/>
      <c r="B641" s="483"/>
      <c r="C641" s="483"/>
      <c r="D641" s="483"/>
      <c r="E641" s="483"/>
      <c r="F641" s="483"/>
    </row>
    <row r="642" spans="1:6">
      <c r="A642" s="482"/>
      <c r="B642" s="483"/>
      <c r="C642" s="483"/>
      <c r="D642" s="483"/>
      <c r="E642" s="483"/>
      <c r="F642" s="483"/>
    </row>
    <row r="643" spans="1:6">
      <c r="A643" s="482"/>
      <c r="B643" s="483"/>
      <c r="C643" s="483"/>
      <c r="D643" s="483"/>
      <c r="E643" s="483"/>
      <c r="F643" s="483"/>
    </row>
    <row r="644" spans="1:6">
      <c r="A644" s="482"/>
      <c r="B644" s="483"/>
      <c r="C644" s="483"/>
      <c r="D644" s="483"/>
      <c r="E644" s="483"/>
      <c r="F644" s="483"/>
    </row>
    <row r="645" spans="1:6">
      <c r="A645" s="482"/>
      <c r="B645" s="483"/>
      <c r="C645" s="483"/>
      <c r="D645" s="483"/>
      <c r="E645" s="483"/>
      <c r="F645" s="483"/>
    </row>
    <row r="646" spans="1:6">
      <c r="A646" s="482"/>
      <c r="B646" s="483"/>
      <c r="C646" s="483"/>
      <c r="D646" s="483"/>
      <c r="E646" s="483"/>
      <c r="F646" s="483"/>
    </row>
    <row r="647" spans="1:6">
      <c r="A647" s="482"/>
      <c r="B647" s="483"/>
      <c r="C647" s="483"/>
      <c r="D647" s="483"/>
      <c r="E647" s="483"/>
      <c r="F647" s="483"/>
    </row>
    <row r="648" spans="1:6">
      <c r="A648" s="482"/>
      <c r="B648" s="483"/>
      <c r="C648" s="483"/>
      <c r="D648" s="483"/>
      <c r="E648" s="483"/>
      <c r="F648" s="483"/>
    </row>
    <row r="649" spans="1:6">
      <c r="A649" s="482"/>
      <c r="B649" s="483"/>
      <c r="C649" s="483"/>
      <c r="D649" s="483"/>
      <c r="E649" s="483"/>
      <c r="F649" s="483"/>
    </row>
    <row r="650" spans="1:6">
      <c r="A650" s="482"/>
      <c r="B650" s="483"/>
      <c r="C650" s="483"/>
      <c r="D650" s="483"/>
      <c r="E650" s="483"/>
      <c r="F650" s="483"/>
    </row>
    <row r="651" spans="1:6">
      <c r="A651" s="482"/>
      <c r="B651" s="483"/>
      <c r="C651" s="483"/>
      <c r="D651" s="483"/>
      <c r="E651" s="483"/>
      <c r="F651" s="483"/>
    </row>
    <row r="652" spans="1:6">
      <c r="A652" s="482"/>
      <c r="B652" s="483"/>
      <c r="C652" s="483"/>
      <c r="D652" s="483"/>
      <c r="E652" s="483"/>
      <c r="F652" s="483"/>
    </row>
    <row r="653" spans="1:6">
      <c r="A653" s="482"/>
      <c r="B653" s="483"/>
      <c r="C653" s="483"/>
      <c r="D653" s="483"/>
      <c r="E653" s="483"/>
      <c r="F653" s="483"/>
    </row>
    <row r="654" spans="1:6">
      <c r="A654" s="482"/>
      <c r="B654" s="483"/>
      <c r="C654" s="483"/>
      <c r="D654" s="483"/>
      <c r="E654" s="483"/>
      <c r="F654" s="483"/>
    </row>
    <row r="655" spans="1:6">
      <c r="A655" s="482"/>
      <c r="B655" s="483"/>
      <c r="C655" s="483"/>
      <c r="D655" s="483"/>
      <c r="E655" s="483"/>
      <c r="F655" s="483"/>
    </row>
    <row r="656" spans="1:6">
      <c r="A656" s="482"/>
      <c r="B656" s="483"/>
      <c r="C656" s="483"/>
      <c r="D656" s="483"/>
      <c r="E656" s="483"/>
      <c r="F656" s="483"/>
    </row>
    <row r="657" spans="1:6">
      <c r="A657" s="482"/>
      <c r="B657" s="483"/>
      <c r="C657" s="483"/>
      <c r="D657" s="483"/>
      <c r="E657" s="483"/>
      <c r="F657" s="483"/>
    </row>
    <row r="658" spans="1:6">
      <c r="A658" s="482"/>
      <c r="B658" s="483"/>
      <c r="C658" s="483"/>
      <c r="D658" s="483"/>
      <c r="E658" s="483"/>
      <c r="F658" s="483"/>
    </row>
    <row r="659" spans="1:6">
      <c r="A659" s="482"/>
      <c r="B659" s="483"/>
      <c r="C659" s="483"/>
      <c r="D659" s="483"/>
      <c r="E659" s="483"/>
      <c r="F659" s="483"/>
    </row>
    <row r="660" spans="1:6">
      <c r="A660" s="482"/>
      <c r="B660" s="483"/>
      <c r="C660" s="483"/>
      <c r="D660" s="483"/>
      <c r="E660" s="483"/>
      <c r="F660" s="483"/>
    </row>
    <row r="661" spans="1:6">
      <c r="A661" s="482"/>
      <c r="B661" s="483"/>
      <c r="C661" s="483"/>
      <c r="D661" s="483"/>
      <c r="E661" s="483"/>
      <c r="F661" s="483"/>
    </row>
    <row r="662" spans="1:6">
      <c r="A662" s="482"/>
      <c r="B662" s="483"/>
      <c r="C662" s="483"/>
      <c r="D662" s="483"/>
      <c r="E662" s="483"/>
      <c r="F662" s="483"/>
    </row>
    <row r="663" spans="1:6">
      <c r="A663" s="482"/>
      <c r="B663" s="483"/>
      <c r="C663" s="483"/>
      <c r="D663" s="483"/>
      <c r="E663" s="483"/>
      <c r="F663" s="483"/>
    </row>
    <row r="664" spans="1:6">
      <c r="A664" s="482"/>
      <c r="B664" s="483"/>
      <c r="C664" s="483"/>
      <c r="D664" s="483"/>
      <c r="E664" s="483"/>
      <c r="F664" s="483"/>
    </row>
    <row r="665" spans="1:6">
      <c r="A665" s="482"/>
      <c r="B665" s="483"/>
      <c r="C665" s="483"/>
      <c r="D665" s="483"/>
      <c r="E665" s="483"/>
      <c r="F665" s="483"/>
    </row>
    <row r="666" spans="1:6">
      <c r="A666" s="482"/>
      <c r="B666" s="483"/>
      <c r="C666" s="483"/>
      <c r="D666" s="483"/>
      <c r="E666" s="483"/>
      <c r="F666" s="483"/>
    </row>
    <row r="667" spans="1:6">
      <c r="A667" s="482"/>
      <c r="B667" s="483"/>
      <c r="C667" s="483"/>
      <c r="D667" s="483"/>
      <c r="E667" s="483"/>
      <c r="F667" s="483"/>
    </row>
    <row r="668" spans="1:6">
      <c r="A668" s="482"/>
      <c r="B668" s="483"/>
      <c r="C668" s="483"/>
      <c r="D668" s="483"/>
      <c r="E668" s="483"/>
      <c r="F668" s="483"/>
    </row>
    <row r="669" spans="1:6">
      <c r="A669" s="482"/>
      <c r="B669" s="483"/>
      <c r="C669" s="483"/>
      <c r="D669" s="483"/>
      <c r="E669" s="483"/>
      <c r="F669" s="483"/>
    </row>
    <row r="670" spans="1:6">
      <c r="A670" s="482"/>
      <c r="B670" s="483"/>
      <c r="C670" s="483"/>
      <c r="D670" s="483"/>
      <c r="E670" s="483"/>
      <c r="F670" s="483"/>
    </row>
    <row r="671" spans="1:6">
      <c r="A671" s="482"/>
      <c r="B671" s="483"/>
      <c r="C671" s="483"/>
      <c r="D671" s="483"/>
      <c r="E671" s="483"/>
      <c r="F671" s="483"/>
    </row>
    <row r="672" spans="1:6">
      <c r="A672" s="482"/>
      <c r="B672" s="483"/>
      <c r="C672" s="483"/>
      <c r="D672" s="483"/>
      <c r="E672" s="483"/>
      <c r="F672" s="483"/>
    </row>
    <row r="673" spans="1:6">
      <c r="A673" s="482"/>
      <c r="B673" s="483"/>
      <c r="C673" s="483"/>
      <c r="D673" s="483"/>
      <c r="E673" s="483"/>
      <c r="F673" s="483"/>
    </row>
    <row r="674" spans="1:6">
      <c r="A674" s="482"/>
      <c r="B674" s="483"/>
      <c r="C674" s="483"/>
      <c r="D674" s="483"/>
      <c r="E674" s="483"/>
      <c r="F674" s="483"/>
    </row>
    <row r="675" spans="1:6">
      <c r="A675" s="482"/>
      <c r="B675" s="483"/>
      <c r="C675" s="483"/>
      <c r="D675" s="483"/>
      <c r="E675" s="483"/>
      <c r="F675" s="483"/>
    </row>
    <row r="676" spans="1:6">
      <c r="A676" s="482"/>
      <c r="B676" s="483"/>
      <c r="C676" s="483"/>
      <c r="D676" s="483"/>
      <c r="E676" s="483"/>
      <c r="F676" s="483"/>
    </row>
    <row r="677" spans="1:6">
      <c r="A677" s="482"/>
      <c r="B677" s="483"/>
      <c r="C677" s="483"/>
      <c r="D677" s="483"/>
      <c r="E677" s="483"/>
      <c r="F677" s="483"/>
    </row>
    <row r="678" spans="1:6">
      <c r="A678" s="482"/>
      <c r="B678" s="483"/>
      <c r="C678" s="483"/>
      <c r="D678" s="483"/>
      <c r="E678" s="483"/>
      <c r="F678" s="483"/>
    </row>
    <row r="679" spans="1:6">
      <c r="A679" s="482"/>
      <c r="B679" s="483"/>
      <c r="C679" s="483"/>
      <c r="D679" s="483"/>
      <c r="E679" s="483"/>
      <c r="F679" s="483"/>
    </row>
    <row r="680" spans="1:6">
      <c r="A680" s="482"/>
      <c r="B680" s="483"/>
      <c r="C680" s="483"/>
      <c r="D680" s="483"/>
      <c r="E680" s="483"/>
      <c r="F680" s="483"/>
    </row>
    <row r="681" spans="1:6">
      <c r="A681" s="482"/>
      <c r="B681" s="483"/>
      <c r="C681" s="483"/>
      <c r="D681" s="483"/>
      <c r="E681" s="483"/>
      <c r="F681" s="483"/>
    </row>
    <row r="682" spans="1:6">
      <c r="A682" s="482"/>
      <c r="B682" s="483"/>
      <c r="C682" s="483"/>
      <c r="D682" s="483"/>
      <c r="E682" s="483"/>
      <c r="F682" s="483"/>
    </row>
    <row r="683" spans="1:6">
      <c r="A683" s="482"/>
      <c r="B683" s="483"/>
      <c r="C683" s="483"/>
      <c r="D683" s="483"/>
      <c r="E683" s="483"/>
      <c r="F683" s="483"/>
    </row>
    <row r="684" spans="1:6">
      <c r="A684" s="482"/>
      <c r="B684" s="483"/>
      <c r="C684" s="483"/>
      <c r="D684" s="483"/>
      <c r="E684" s="483"/>
      <c r="F684" s="483"/>
    </row>
    <row r="685" spans="1:6">
      <c r="A685" s="482"/>
      <c r="B685" s="483"/>
      <c r="C685" s="483"/>
      <c r="D685" s="483"/>
      <c r="E685" s="483"/>
      <c r="F685" s="483"/>
    </row>
    <row r="686" spans="1:6">
      <c r="A686" s="482"/>
      <c r="B686" s="483"/>
      <c r="C686" s="483"/>
      <c r="D686" s="483"/>
      <c r="E686" s="483"/>
      <c r="F686" s="483"/>
    </row>
    <row r="687" spans="1:6">
      <c r="A687" s="482"/>
      <c r="B687" s="483"/>
      <c r="C687" s="483"/>
      <c r="D687" s="483"/>
      <c r="E687" s="483"/>
      <c r="F687" s="483"/>
    </row>
    <row r="688" spans="1:6">
      <c r="A688" s="482"/>
      <c r="B688" s="483"/>
      <c r="C688" s="483"/>
      <c r="D688" s="483"/>
      <c r="E688" s="483"/>
      <c r="F688" s="483"/>
    </row>
    <row r="689" spans="1:6">
      <c r="A689" s="482"/>
      <c r="B689" s="483"/>
      <c r="C689" s="483"/>
      <c r="D689" s="483"/>
      <c r="E689" s="483"/>
      <c r="F689" s="483"/>
    </row>
    <row r="690" spans="1:6">
      <c r="A690" s="482"/>
      <c r="B690" s="483"/>
      <c r="C690" s="483"/>
      <c r="D690" s="483"/>
      <c r="E690" s="483"/>
      <c r="F690" s="483"/>
    </row>
    <row r="691" spans="1:6">
      <c r="A691" s="482"/>
      <c r="B691" s="483"/>
      <c r="C691" s="483"/>
      <c r="D691" s="483"/>
      <c r="E691" s="483"/>
      <c r="F691" s="483"/>
    </row>
    <row r="692" spans="1:6">
      <c r="A692" s="482"/>
      <c r="B692" s="483"/>
      <c r="C692" s="483"/>
      <c r="D692" s="483"/>
      <c r="E692" s="483"/>
      <c r="F692" s="483"/>
    </row>
    <row r="693" spans="1:6">
      <c r="A693" s="482"/>
      <c r="B693" s="483"/>
      <c r="C693" s="483"/>
      <c r="D693" s="483"/>
      <c r="E693" s="483"/>
      <c r="F693" s="483"/>
    </row>
    <row r="694" spans="1:6">
      <c r="A694" s="482"/>
      <c r="B694" s="483"/>
      <c r="C694" s="483"/>
      <c r="D694" s="483"/>
      <c r="E694" s="483"/>
      <c r="F694" s="483"/>
    </row>
    <row r="695" spans="1:6">
      <c r="A695" s="482"/>
      <c r="B695" s="483"/>
      <c r="C695" s="483"/>
      <c r="D695" s="483"/>
      <c r="E695" s="483"/>
      <c r="F695" s="483"/>
    </row>
    <row r="696" spans="1:6">
      <c r="A696" s="482"/>
      <c r="B696" s="483"/>
      <c r="C696" s="483"/>
      <c r="D696" s="483"/>
      <c r="E696" s="483"/>
      <c r="F696" s="483"/>
    </row>
    <row r="697" spans="1:6">
      <c r="A697" s="482"/>
      <c r="B697" s="483"/>
      <c r="C697" s="483"/>
      <c r="D697" s="483"/>
      <c r="E697" s="483"/>
      <c r="F697" s="483"/>
    </row>
    <row r="698" spans="1:6">
      <c r="A698" s="482"/>
      <c r="B698" s="483"/>
      <c r="C698" s="483"/>
      <c r="D698" s="483"/>
      <c r="E698" s="483"/>
      <c r="F698" s="483"/>
    </row>
    <row r="699" spans="1:6">
      <c r="A699" s="482"/>
      <c r="B699" s="483"/>
      <c r="C699" s="483"/>
      <c r="D699" s="483"/>
      <c r="E699" s="483"/>
      <c r="F699" s="483"/>
    </row>
    <row r="700" spans="1:6">
      <c r="A700" s="482"/>
      <c r="B700" s="483"/>
      <c r="C700" s="483"/>
      <c r="D700" s="483"/>
      <c r="E700" s="483"/>
      <c r="F700" s="483"/>
    </row>
    <row r="701" spans="1:6">
      <c r="A701" s="482"/>
      <c r="B701" s="483"/>
      <c r="C701" s="483"/>
      <c r="D701" s="483"/>
      <c r="E701" s="483"/>
      <c r="F701" s="483"/>
    </row>
    <row r="702" spans="1:6">
      <c r="A702" s="482"/>
      <c r="B702" s="483"/>
      <c r="C702" s="483"/>
      <c r="D702" s="483"/>
      <c r="E702" s="483"/>
      <c r="F702" s="483"/>
    </row>
    <row r="703" spans="1:6">
      <c r="A703" s="482"/>
      <c r="B703" s="483"/>
      <c r="C703" s="483"/>
      <c r="D703" s="483"/>
      <c r="E703" s="483"/>
      <c r="F703" s="483"/>
    </row>
    <row r="704" spans="1:6">
      <c r="A704" s="482"/>
      <c r="B704" s="483"/>
      <c r="C704" s="483"/>
      <c r="D704" s="483"/>
      <c r="E704" s="483"/>
      <c r="F704" s="483"/>
    </row>
    <row r="705" spans="1:6">
      <c r="A705" s="482"/>
      <c r="B705" s="483"/>
      <c r="C705" s="483"/>
      <c r="D705" s="483"/>
      <c r="E705" s="483"/>
      <c r="F705" s="483"/>
    </row>
    <row r="706" spans="1:6">
      <c r="A706" s="482"/>
      <c r="B706" s="483"/>
      <c r="C706" s="483"/>
      <c r="D706" s="483"/>
      <c r="E706" s="483"/>
      <c r="F706" s="483"/>
    </row>
    <row r="707" spans="1:6">
      <c r="A707" s="482"/>
      <c r="B707" s="483"/>
      <c r="C707" s="483"/>
      <c r="D707" s="483"/>
      <c r="E707" s="483"/>
      <c r="F707" s="483"/>
    </row>
    <row r="708" spans="1:6">
      <c r="A708" s="482"/>
      <c r="B708" s="483"/>
      <c r="C708" s="483"/>
      <c r="D708" s="483"/>
      <c r="E708" s="483"/>
      <c r="F708" s="483"/>
    </row>
    <row r="709" spans="1:6">
      <c r="A709" s="482"/>
      <c r="B709" s="483"/>
      <c r="C709" s="483"/>
      <c r="D709" s="483"/>
      <c r="E709" s="483"/>
      <c r="F709" s="483"/>
    </row>
    <row r="710" spans="1:6">
      <c r="A710" s="482"/>
      <c r="B710" s="483"/>
      <c r="C710" s="483"/>
      <c r="D710" s="483"/>
      <c r="E710" s="483"/>
      <c r="F710" s="483"/>
    </row>
    <row r="711" spans="1:6">
      <c r="A711" s="482"/>
      <c r="B711" s="483"/>
      <c r="C711" s="483"/>
      <c r="D711" s="483"/>
      <c r="E711" s="483"/>
      <c r="F711" s="483"/>
    </row>
    <row r="712" spans="1:6">
      <c r="A712" s="482"/>
      <c r="B712" s="483"/>
      <c r="C712" s="483"/>
      <c r="D712" s="483"/>
      <c r="E712" s="483"/>
      <c r="F712" s="483"/>
    </row>
    <row r="713" spans="1:6">
      <c r="A713" s="482"/>
      <c r="B713" s="483"/>
      <c r="C713" s="483"/>
      <c r="D713" s="483"/>
      <c r="E713" s="483"/>
      <c r="F713" s="483"/>
    </row>
    <row r="714" spans="1:6">
      <c r="A714" s="482"/>
      <c r="B714" s="483"/>
      <c r="C714" s="483"/>
      <c r="D714" s="483"/>
      <c r="E714" s="483"/>
      <c r="F714" s="483"/>
    </row>
    <row r="715" spans="1:6">
      <c r="A715" s="482"/>
      <c r="B715" s="483"/>
      <c r="C715" s="483"/>
      <c r="D715" s="483"/>
      <c r="E715" s="483"/>
      <c r="F715" s="483"/>
    </row>
    <row r="716" spans="1:6">
      <c r="A716" s="482"/>
      <c r="B716" s="483"/>
      <c r="C716" s="483"/>
      <c r="D716" s="483"/>
      <c r="E716" s="483"/>
      <c r="F716" s="483"/>
    </row>
    <row r="717" spans="1:6">
      <c r="A717" s="482"/>
      <c r="B717" s="483"/>
      <c r="C717" s="483"/>
      <c r="D717" s="483"/>
      <c r="E717" s="483"/>
      <c r="F717" s="483"/>
    </row>
    <row r="718" spans="1:6">
      <c r="A718" s="482"/>
      <c r="B718" s="483"/>
      <c r="C718" s="483"/>
      <c r="D718" s="483"/>
      <c r="E718" s="483"/>
      <c r="F718" s="483"/>
    </row>
    <row r="719" spans="1:6">
      <c r="A719" s="482"/>
      <c r="B719" s="483"/>
      <c r="C719" s="483"/>
      <c r="D719" s="483"/>
      <c r="E719" s="483"/>
      <c r="F719" s="483"/>
    </row>
    <row r="720" spans="1:6">
      <c r="A720" s="482"/>
      <c r="B720" s="483"/>
      <c r="C720" s="483"/>
      <c r="D720" s="483"/>
      <c r="E720" s="483"/>
      <c r="F720" s="483"/>
    </row>
    <row r="721" spans="1:6">
      <c r="A721" s="482"/>
      <c r="B721" s="483"/>
      <c r="C721" s="483"/>
      <c r="D721" s="483"/>
      <c r="E721" s="483"/>
      <c r="F721" s="483"/>
    </row>
    <row r="722" spans="1:6">
      <c r="A722" s="482"/>
      <c r="B722" s="483"/>
      <c r="C722" s="483"/>
      <c r="D722" s="483"/>
      <c r="E722" s="483"/>
      <c r="F722" s="483"/>
    </row>
    <row r="723" spans="1:6">
      <c r="A723" s="482"/>
      <c r="B723" s="483"/>
      <c r="C723" s="483"/>
      <c r="D723" s="483"/>
      <c r="E723" s="483"/>
      <c r="F723" s="483"/>
    </row>
    <row r="724" spans="1:6">
      <c r="A724" s="482"/>
      <c r="B724" s="483"/>
      <c r="C724" s="483"/>
      <c r="D724" s="483"/>
      <c r="E724" s="483"/>
      <c r="F724" s="483"/>
    </row>
    <row r="725" spans="1:6">
      <c r="A725" s="482"/>
      <c r="B725" s="483"/>
      <c r="C725" s="483"/>
      <c r="D725" s="483"/>
      <c r="E725" s="483"/>
      <c r="F725" s="483"/>
    </row>
    <row r="726" spans="1:6">
      <c r="A726" s="482"/>
      <c r="B726" s="483"/>
      <c r="C726" s="483"/>
      <c r="D726" s="483"/>
      <c r="E726" s="483"/>
      <c r="F726" s="483"/>
    </row>
    <row r="727" spans="1:6">
      <c r="A727" s="482"/>
      <c r="B727" s="483"/>
      <c r="C727" s="483"/>
      <c r="D727" s="483"/>
      <c r="E727" s="483"/>
      <c r="F727" s="483"/>
    </row>
    <row r="728" spans="1:6">
      <c r="A728" s="482"/>
      <c r="B728" s="483"/>
      <c r="C728" s="483"/>
      <c r="D728" s="483"/>
      <c r="E728" s="483"/>
      <c r="F728" s="483"/>
    </row>
    <row r="729" spans="1:6">
      <c r="A729" s="482"/>
      <c r="B729" s="483"/>
      <c r="C729" s="483"/>
      <c r="D729" s="483"/>
      <c r="E729" s="483"/>
      <c r="F729" s="483"/>
    </row>
    <row r="730" spans="1:6">
      <c r="A730" s="482"/>
      <c r="B730" s="483"/>
      <c r="C730" s="483"/>
      <c r="D730" s="483"/>
      <c r="E730" s="483"/>
      <c r="F730" s="483"/>
    </row>
    <row r="731" spans="1:6">
      <c r="A731" s="482"/>
      <c r="B731" s="483"/>
      <c r="C731" s="483"/>
      <c r="D731" s="483"/>
      <c r="E731" s="483"/>
      <c r="F731" s="483"/>
    </row>
    <row r="732" spans="1:6">
      <c r="A732" s="482"/>
      <c r="B732" s="483"/>
      <c r="C732" s="483"/>
      <c r="D732" s="483"/>
      <c r="E732" s="483"/>
      <c r="F732" s="483"/>
    </row>
    <row r="733" spans="1:6">
      <c r="A733" s="482"/>
      <c r="B733" s="483"/>
      <c r="C733" s="483"/>
      <c r="D733" s="483"/>
      <c r="E733" s="483"/>
      <c r="F733" s="483"/>
    </row>
    <row r="734" spans="1:6">
      <c r="A734" s="482"/>
      <c r="B734" s="483"/>
      <c r="C734" s="483"/>
      <c r="D734" s="483"/>
      <c r="E734" s="483"/>
      <c r="F734" s="483"/>
    </row>
    <row r="735" spans="1:6">
      <c r="A735" s="482"/>
      <c r="B735" s="483"/>
      <c r="C735" s="483"/>
      <c r="D735" s="483"/>
      <c r="E735" s="483"/>
      <c r="F735" s="483"/>
    </row>
    <row r="736" spans="1:6">
      <c r="A736" s="482"/>
      <c r="B736" s="483"/>
      <c r="C736" s="483"/>
      <c r="D736" s="483"/>
      <c r="E736" s="483"/>
      <c r="F736" s="483"/>
    </row>
    <row r="737" spans="1:6">
      <c r="A737" s="482"/>
      <c r="B737" s="483"/>
      <c r="C737" s="483"/>
      <c r="D737" s="483"/>
      <c r="E737" s="483"/>
      <c r="F737" s="483"/>
    </row>
    <row r="738" spans="1:6">
      <c r="A738" s="482"/>
      <c r="B738" s="483"/>
      <c r="C738" s="483"/>
      <c r="D738" s="483"/>
      <c r="E738" s="483"/>
      <c r="F738" s="483"/>
    </row>
    <row r="739" spans="1:6">
      <c r="A739" s="482"/>
      <c r="B739" s="483"/>
      <c r="C739" s="483"/>
      <c r="D739" s="483"/>
      <c r="E739" s="483"/>
      <c r="F739" s="483"/>
    </row>
    <row r="740" spans="1:6">
      <c r="A740" s="482"/>
      <c r="B740" s="483"/>
      <c r="C740" s="483"/>
      <c r="D740" s="483"/>
      <c r="E740" s="483"/>
      <c r="F740" s="483"/>
    </row>
    <row r="741" spans="1:6">
      <c r="A741" s="482"/>
      <c r="B741" s="483"/>
      <c r="C741" s="483"/>
      <c r="D741" s="483"/>
      <c r="E741" s="483"/>
      <c r="F741" s="483"/>
    </row>
    <row r="742" spans="1:6">
      <c r="A742" s="482"/>
      <c r="B742" s="483"/>
      <c r="C742" s="483"/>
      <c r="D742" s="483"/>
      <c r="E742" s="483"/>
      <c r="F742" s="483"/>
    </row>
    <row r="743" spans="1:6">
      <c r="A743" s="482"/>
      <c r="B743" s="483"/>
      <c r="C743" s="483"/>
      <c r="D743" s="483"/>
      <c r="E743" s="483"/>
      <c r="F743" s="483"/>
    </row>
    <row r="744" spans="1:6">
      <c r="A744" s="482"/>
      <c r="B744" s="483"/>
      <c r="C744" s="483"/>
      <c r="D744" s="483"/>
      <c r="E744" s="483"/>
      <c r="F744" s="483"/>
    </row>
    <row r="745" spans="1:6">
      <c r="A745" s="482"/>
      <c r="B745" s="483"/>
      <c r="C745" s="483"/>
      <c r="D745" s="483"/>
      <c r="E745" s="483"/>
      <c r="F745" s="483"/>
    </row>
    <row r="746" spans="1:6">
      <c r="A746" s="482"/>
      <c r="B746" s="483"/>
      <c r="C746" s="483"/>
      <c r="D746" s="483"/>
      <c r="E746" s="483"/>
      <c r="F746" s="483"/>
    </row>
    <row r="747" spans="1:6">
      <c r="A747" s="482"/>
      <c r="B747" s="483"/>
      <c r="C747" s="483"/>
      <c r="D747" s="483"/>
      <c r="E747" s="483"/>
      <c r="F747" s="483"/>
    </row>
    <row r="748" spans="1:6">
      <c r="A748" s="482"/>
      <c r="B748" s="483"/>
      <c r="C748" s="483"/>
      <c r="D748" s="483"/>
      <c r="E748" s="483"/>
      <c r="F748" s="483"/>
    </row>
    <row r="749" spans="1:6">
      <c r="A749" s="482"/>
      <c r="B749" s="483"/>
      <c r="C749" s="483"/>
      <c r="D749" s="483"/>
      <c r="E749" s="483"/>
      <c r="F749" s="483"/>
    </row>
    <row r="750" spans="1:6">
      <c r="A750" s="482"/>
      <c r="B750" s="483"/>
      <c r="C750" s="483"/>
      <c r="D750" s="483"/>
      <c r="E750" s="483"/>
      <c r="F750" s="483"/>
    </row>
    <row r="751" spans="1:6">
      <c r="A751" s="482"/>
      <c r="B751" s="483"/>
      <c r="C751" s="483"/>
      <c r="D751" s="483"/>
      <c r="E751" s="483"/>
      <c r="F751" s="483"/>
    </row>
    <row r="752" spans="1:6">
      <c r="A752" s="482"/>
      <c r="B752" s="483"/>
      <c r="C752" s="483"/>
      <c r="D752" s="483"/>
      <c r="E752" s="483"/>
      <c r="F752" s="483"/>
    </row>
    <row r="753" spans="1:6">
      <c r="A753" s="482"/>
      <c r="B753" s="483"/>
      <c r="C753" s="483"/>
      <c r="D753" s="483"/>
      <c r="E753" s="483"/>
      <c r="F753" s="483"/>
    </row>
    <row r="754" spans="1:6">
      <c r="A754" s="482"/>
      <c r="B754" s="483"/>
      <c r="C754" s="483"/>
      <c r="D754" s="483"/>
      <c r="E754" s="483"/>
      <c r="F754" s="483"/>
    </row>
    <row r="755" spans="1:6">
      <c r="A755" s="482"/>
      <c r="B755" s="483"/>
      <c r="C755" s="483"/>
      <c r="D755" s="483"/>
      <c r="E755" s="483"/>
      <c r="F755" s="483"/>
    </row>
    <row r="756" spans="1:6">
      <c r="A756" s="482"/>
      <c r="B756" s="483"/>
      <c r="C756" s="483"/>
      <c r="D756" s="483"/>
      <c r="E756" s="483"/>
      <c r="F756" s="483"/>
    </row>
    <row r="757" spans="1:6">
      <c r="A757" s="482"/>
      <c r="B757" s="483"/>
      <c r="C757" s="483"/>
      <c r="D757" s="483"/>
      <c r="E757" s="483"/>
      <c r="F757" s="483"/>
    </row>
    <row r="758" spans="1:6">
      <c r="A758" s="482"/>
      <c r="B758" s="483"/>
      <c r="C758" s="483"/>
      <c r="D758" s="483"/>
      <c r="E758" s="483"/>
      <c r="F758" s="483"/>
    </row>
    <row r="759" spans="1:6">
      <c r="A759" s="482"/>
      <c r="B759" s="483"/>
      <c r="C759" s="483"/>
      <c r="D759" s="483"/>
      <c r="E759" s="483"/>
      <c r="F759" s="483"/>
    </row>
    <row r="760" spans="1:6">
      <c r="A760" s="482"/>
      <c r="B760" s="483"/>
      <c r="C760" s="483"/>
      <c r="D760" s="483"/>
      <c r="E760" s="483"/>
      <c r="F760" s="483"/>
    </row>
    <row r="761" spans="1:6">
      <c r="A761" s="482"/>
      <c r="B761" s="483"/>
      <c r="C761" s="483"/>
      <c r="D761" s="483"/>
      <c r="E761" s="483"/>
      <c r="F761" s="483"/>
    </row>
    <row r="762" spans="1:6">
      <c r="A762" s="482"/>
      <c r="B762" s="483"/>
      <c r="C762" s="483"/>
      <c r="D762" s="483"/>
      <c r="E762" s="483"/>
      <c r="F762" s="483"/>
    </row>
    <row r="763" spans="1:6">
      <c r="A763" s="482"/>
      <c r="B763" s="483"/>
      <c r="C763" s="483"/>
      <c r="D763" s="483"/>
      <c r="E763" s="483"/>
      <c r="F763" s="483"/>
    </row>
    <row r="764" spans="1:6">
      <c r="A764" s="482"/>
      <c r="B764" s="483"/>
      <c r="C764" s="483"/>
      <c r="D764" s="483"/>
      <c r="E764" s="483"/>
      <c r="F764" s="483"/>
    </row>
    <row r="765" spans="1:6">
      <c r="A765" s="482"/>
      <c r="B765" s="483"/>
      <c r="C765" s="483"/>
      <c r="D765" s="483"/>
      <c r="E765" s="483"/>
      <c r="F765" s="483"/>
    </row>
    <row r="766" spans="1:6">
      <c r="A766" s="482"/>
      <c r="B766" s="483"/>
      <c r="C766" s="483"/>
      <c r="D766" s="483"/>
      <c r="E766" s="483"/>
      <c r="F766" s="483"/>
    </row>
    <row r="767" spans="1:6">
      <c r="A767" s="482"/>
      <c r="B767" s="483"/>
      <c r="C767" s="483"/>
      <c r="D767" s="483"/>
      <c r="E767" s="483"/>
      <c r="F767" s="483"/>
    </row>
    <row r="768" spans="1:6">
      <c r="A768" s="482"/>
      <c r="B768" s="483"/>
      <c r="C768" s="483"/>
      <c r="D768" s="483"/>
      <c r="E768" s="483"/>
      <c r="F768" s="483"/>
    </row>
    <row r="769" spans="1:6">
      <c r="A769" s="482"/>
      <c r="B769" s="483"/>
      <c r="C769" s="483"/>
      <c r="D769" s="483"/>
      <c r="E769" s="483"/>
      <c r="F769" s="483"/>
    </row>
    <row r="770" spans="1:6">
      <c r="A770" s="482"/>
      <c r="B770" s="483"/>
      <c r="C770" s="483"/>
      <c r="D770" s="483"/>
      <c r="E770" s="483"/>
      <c r="F770" s="483"/>
    </row>
    <row r="771" spans="1:6">
      <c r="A771" s="482"/>
      <c r="B771" s="483"/>
      <c r="C771" s="483"/>
      <c r="D771" s="483"/>
      <c r="E771" s="483"/>
      <c r="F771" s="483"/>
    </row>
    <row r="772" spans="1:6">
      <c r="A772" s="482"/>
      <c r="B772" s="483"/>
      <c r="C772" s="483"/>
      <c r="D772" s="483"/>
      <c r="E772" s="483"/>
      <c r="F772" s="483"/>
    </row>
    <row r="773" spans="1:6">
      <c r="A773" s="482"/>
      <c r="B773" s="483"/>
      <c r="C773" s="483"/>
      <c r="D773" s="483"/>
      <c r="E773" s="483"/>
      <c r="F773" s="483"/>
    </row>
    <row r="774" spans="1:6">
      <c r="A774" s="482"/>
      <c r="B774" s="483"/>
      <c r="C774" s="483"/>
      <c r="D774" s="483"/>
      <c r="E774" s="483"/>
      <c r="F774" s="483"/>
    </row>
    <row r="775" spans="1:6">
      <c r="A775" s="482"/>
      <c r="B775" s="483"/>
      <c r="C775" s="483"/>
      <c r="D775" s="483"/>
      <c r="E775" s="483"/>
      <c r="F775" s="483"/>
    </row>
    <row r="776" spans="1:6">
      <c r="A776" s="482"/>
      <c r="B776" s="483"/>
      <c r="C776" s="483"/>
      <c r="D776" s="483"/>
      <c r="E776" s="483"/>
      <c r="F776" s="483"/>
    </row>
    <row r="777" spans="1:6">
      <c r="A777" s="482"/>
      <c r="B777" s="483"/>
      <c r="C777" s="483"/>
      <c r="D777" s="483"/>
      <c r="E777" s="483"/>
      <c r="F777" s="483"/>
    </row>
    <row r="778" spans="1:6">
      <c r="A778" s="482"/>
      <c r="B778" s="483"/>
      <c r="C778" s="483"/>
      <c r="D778" s="483"/>
      <c r="E778" s="483"/>
      <c r="F778" s="483"/>
    </row>
    <row r="779" spans="1:6">
      <c r="A779" s="482"/>
      <c r="B779" s="483"/>
      <c r="C779" s="483"/>
      <c r="D779" s="483"/>
      <c r="E779" s="483"/>
      <c r="F779" s="483"/>
    </row>
    <row r="780" spans="1:6">
      <c r="A780" s="482"/>
      <c r="B780" s="483"/>
      <c r="C780" s="483"/>
      <c r="D780" s="483"/>
      <c r="E780" s="483"/>
      <c r="F780" s="483"/>
    </row>
    <row r="781" spans="1:6">
      <c r="A781" s="482"/>
      <c r="B781" s="483"/>
      <c r="C781" s="483"/>
      <c r="D781" s="483"/>
      <c r="E781" s="483"/>
      <c r="F781" s="483"/>
    </row>
    <row r="782" spans="1:6">
      <c r="A782" s="482"/>
      <c r="B782" s="483"/>
      <c r="C782" s="483"/>
      <c r="D782" s="483"/>
      <c r="E782" s="483"/>
      <c r="F782" s="483"/>
    </row>
    <row r="783" spans="1:6">
      <c r="A783" s="482"/>
      <c r="B783" s="483"/>
      <c r="C783" s="483"/>
      <c r="D783" s="483"/>
      <c r="E783" s="483"/>
      <c r="F783" s="483"/>
    </row>
    <row r="784" spans="1:6">
      <c r="A784" s="482"/>
      <c r="B784" s="483"/>
      <c r="C784" s="483"/>
      <c r="D784" s="483"/>
      <c r="E784" s="483"/>
      <c r="F784" s="483"/>
    </row>
    <row r="785" spans="1:6">
      <c r="A785" s="482"/>
      <c r="B785" s="483"/>
      <c r="C785" s="483"/>
      <c r="D785" s="483"/>
      <c r="E785" s="483"/>
      <c r="F785" s="483"/>
    </row>
    <row r="786" spans="1:6">
      <c r="A786" s="482"/>
      <c r="B786" s="483"/>
      <c r="C786" s="483"/>
      <c r="D786" s="483"/>
      <c r="E786" s="483"/>
      <c r="F786" s="483"/>
    </row>
    <row r="787" spans="1:6">
      <c r="A787" s="482"/>
      <c r="B787" s="483"/>
      <c r="C787" s="483"/>
      <c r="D787" s="483"/>
      <c r="E787" s="483"/>
      <c r="F787" s="483"/>
    </row>
    <row r="788" spans="1:6">
      <c r="A788" s="482"/>
      <c r="B788" s="483"/>
      <c r="C788" s="483"/>
      <c r="D788" s="483"/>
      <c r="E788" s="483"/>
      <c r="F788" s="483"/>
    </row>
    <row r="789" spans="1:6">
      <c r="A789" s="482"/>
      <c r="B789" s="483"/>
      <c r="C789" s="483"/>
      <c r="D789" s="483"/>
      <c r="E789" s="483"/>
      <c r="F789" s="483"/>
    </row>
    <row r="790" spans="1:6">
      <c r="A790" s="482"/>
      <c r="B790" s="483"/>
      <c r="C790" s="483"/>
      <c r="D790" s="483"/>
      <c r="E790" s="483"/>
      <c r="F790" s="483"/>
    </row>
    <row r="791" spans="1:6">
      <c r="A791" s="482"/>
      <c r="B791" s="483"/>
      <c r="C791" s="483"/>
      <c r="D791" s="483"/>
      <c r="E791" s="483"/>
      <c r="F791" s="483"/>
    </row>
    <row r="792" spans="1:6">
      <c r="A792" s="482"/>
      <c r="B792" s="483"/>
      <c r="C792" s="483"/>
      <c r="D792" s="483"/>
      <c r="E792" s="483"/>
      <c r="F792" s="483"/>
    </row>
    <row r="793" spans="1:6">
      <c r="A793" s="482"/>
      <c r="B793" s="483"/>
      <c r="C793" s="483"/>
      <c r="D793" s="483"/>
      <c r="E793" s="483"/>
      <c r="F793" s="483"/>
    </row>
    <row r="794" spans="1:6">
      <c r="A794" s="482"/>
      <c r="B794" s="483"/>
      <c r="C794" s="483"/>
      <c r="D794" s="483"/>
      <c r="E794" s="483"/>
      <c r="F794" s="483"/>
    </row>
    <row r="795" spans="1:6">
      <c r="A795" s="482"/>
      <c r="B795" s="483"/>
      <c r="C795" s="483"/>
      <c r="D795" s="483"/>
      <c r="E795" s="483"/>
      <c r="F795" s="483"/>
    </row>
    <row r="796" spans="1:6">
      <c r="A796" s="482"/>
      <c r="B796" s="483"/>
      <c r="C796" s="483"/>
      <c r="D796" s="483"/>
      <c r="E796" s="483"/>
      <c r="F796" s="483"/>
    </row>
    <row r="797" spans="1:6">
      <c r="A797" s="482"/>
      <c r="B797" s="483"/>
      <c r="C797" s="483"/>
      <c r="D797" s="483"/>
      <c r="E797" s="483"/>
      <c r="F797" s="483"/>
    </row>
    <row r="798" spans="1:6">
      <c r="A798" s="482"/>
      <c r="B798" s="483"/>
      <c r="C798" s="483"/>
      <c r="D798" s="483"/>
      <c r="E798" s="483"/>
      <c r="F798" s="483"/>
    </row>
    <row r="799" spans="1:6">
      <c r="A799" s="482"/>
      <c r="B799" s="483"/>
      <c r="C799" s="483"/>
      <c r="D799" s="483"/>
      <c r="E799" s="483"/>
      <c r="F799" s="483"/>
    </row>
    <row r="800" spans="1:6">
      <c r="A800" s="482"/>
      <c r="B800" s="483"/>
      <c r="C800" s="483"/>
      <c r="D800" s="483"/>
      <c r="E800" s="483"/>
      <c r="F800" s="483"/>
    </row>
    <row r="801" spans="1:6">
      <c r="A801" s="482"/>
      <c r="B801" s="483"/>
      <c r="C801" s="483"/>
      <c r="D801" s="483"/>
      <c r="E801" s="483"/>
      <c r="F801" s="483"/>
    </row>
    <row r="802" spans="1:6">
      <c r="A802" s="482"/>
      <c r="B802" s="483"/>
      <c r="C802" s="483"/>
      <c r="D802" s="483"/>
      <c r="E802" s="483"/>
      <c r="F802" s="483"/>
    </row>
    <row r="803" spans="1:6">
      <c r="A803" s="482"/>
      <c r="B803" s="483"/>
      <c r="C803" s="483"/>
      <c r="D803" s="483"/>
      <c r="E803" s="483"/>
      <c r="F803" s="483"/>
    </row>
    <row r="804" spans="1:6">
      <c r="A804" s="482"/>
      <c r="B804" s="483"/>
      <c r="C804" s="483"/>
      <c r="D804" s="483"/>
      <c r="E804" s="483"/>
      <c r="F804" s="483"/>
    </row>
    <row r="805" spans="1:6">
      <c r="A805" s="482"/>
      <c r="B805" s="483"/>
      <c r="C805" s="483"/>
      <c r="D805" s="483"/>
      <c r="E805" s="483"/>
      <c r="F805" s="483"/>
    </row>
    <row r="806" spans="1:6">
      <c r="A806" s="482"/>
      <c r="B806" s="483"/>
      <c r="C806" s="483"/>
      <c r="D806" s="483"/>
      <c r="E806" s="483"/>
      <c r="F806" s="483"/>
    </row>
    <row r="807" spans="1:6">
      <c r="A807" s="482"/>
      <c r="B807" s="483"/>
      <c r="C807" s="483"/>
      <c r="D807" s="483"/>
      <c r="E807" s="483"/>
      <c r="F807" s="483"/>
    </row>
    <row r="808" spans="1:6">
      <c r="A808" s="482"/>
      <c r="B808" s="483"/>
      <c r="C808" s="483"/>
      <c r="D808" s="483"/>
      <c r="E808" s="483"/>
      <c r="F808" s="483"/>
    </row>
    <row r="809" spans="1:6">
      <c r="A809" s="482"/>
      <c r="B809" s="483"/>
      <c r="C809" s="483"/>
      <c r="D809" s="483"/>
      <c r="E809" s="483"/>
      <c r="F809" s="483"/>
    </row>
    <row r="810" spans="1:6">
      <c r="A810" s="482"/>
      <c r="B810" s="483"/>
      <c r="C810" s="483"/>
      <c r="D810" s="483"/>
      <c r="E810" s="483"/>
      <c r="F810" s="483"/>
    </row>
    <row r="811" spans="1:6">
      <c r="A811" s="482"/>
      <c r="B811" s="483"/>
      <c r="C811" s="483"/>
      <c r="D811" s="483"/>
      <c r="E811" s="483"/>
      <c r="F811" s="483"/>
    </row>
    <row r="812" spans="1:6">
      <c r="A812" s="482"/>
      <c r="B812" s="483"/>
      <c r="C812" s="483"/>
      <c r="D812" s="483"/>
      <c r="E812" s="483"/>
      <c r="F812" s="483"/>
    </row>
    <row r="813" spans="1:6">
      <c r="A813" s="482"/>
      <c r="B813" s="483"/>
      <c r="C813" s="483"/>
      <c r="D813" s="483"/>
      <c r="E813" s="483"/>
      <c r="F813" s="483"/>
    </row>
    <row r="814" spans="1:6">
      <c r="A814" s="482"/>
      <c r="B814" s="483"/>
      <c r="C814" s="483"/>
      <c r="D814" s="483"/>
      <c r="E814" s="483"/>
      <c r="F814" s="483"/>
    </row>
    <row r="815" spans="1:6">
      <c r="A815" s="482"/>
      <c r="B815" s="483"/>
      <c r="C815" s="483"/>
      <c r="D815" s="483"/>
      <c r="E815" s="483"/>
      <c r="F815" s="483"/>
    </row>
    <row r="816" spans="1:6">
      <c r="A816" s="482"/>
      <c r="B816" s="483"/>
      <c r="C816" s="483"/>
      <c r="D816" s="483"/>
      <c r="E816" s="483"/>
      <c r="F816" s="483"/>
    </row>
    <row r="817" spans="1:6">
      <c r="A817" s="482"/>
      <c r="B817" s="483"/>
      <c r="C817" s="483"/>
      <c r="D817" s="483"/>
      <c r="E817" s="483"/>
      <c r="F817" s="483"/>
    </row>
    <row r="818" spans="1:6">
      <c r="A818" s="482"/>
      <c r="B818" s="483"/>
      <c r="C818" s="483"/>
      <c r="D818" s="483"/>
      <c r="E818" s="483"/>
      <c r="F818" s="483"/>
    </row>
    <row r="819" spans="1:6">
      <c r="A819" s="482"/>
      <c r="B819" s="483"/>
      <c r="C819" s="483"/>
      <c r="D819" s="483"/>
      <c r="E819" s="483"/>
      <c r="F819" s="483"/>
    </row>
    <row r="820" spans="1:6">
      <c r="A820" s="482"/>
      <c r="B820" s="483"/>
      <c r="C820" s="483"/>
      <c r="D820" s="483"/>
      <c r="E820" s="483"/>
      <c r="F820" s="483"/>
    </row>
    <row r="821" spans="1:6">
      <c r="A821" s="482"/>
      <c r="B821" s="483"/>
      <c r="C821" s="483"/>
      <c r="D821" s="483"/>
      <c r="E821" s="483"/>
      <c r="F821" s="483"/>
    </row>
    <row r="822" spans="1:6">
      <c r="A822" s="482"/>
      <c r="B822" s="483"/>
      <c r="C822" s="483"/>
      <c r="D822" s="483"/>
      <c r="E822" s="483"/>
      <c r="F822" s="483"/>
    </row>
    <row r="823" spans="1:6">
      <c r="A823" s="482"/>
      <c r="B823" s="483"/>
      <c r="C823" s="483"/>
      <c r="D823" s="483"/>
      <c r="E823" s="483"/>
      <c r="F823" s="483"/>
    </row>
    <row r="824" spans="1:6">
      <c r="A824" s="482"/>
      <c r="B824" s="483"/>
      <c r="C824" s="483"/>
      <c r="D824" s="483"/>
      <c r="E824" s="483"/>
      <c r="F824" s="483"/>
    </row>
    <row r="825" spans="1:6">
      <c r="A825" s="482"/>
      <c r="B825" s="483"/>
      <c r="C825" s="483"/>
      <c r="D825" s="483"/>
      <c r="E825" s="483"/>
      <c r="F825" s="483"/>
    </row>
    <row r="826" spans="1:6">
      <c r="A826" s="482"/>
      <c r="B826" s="483"/>
      <c r="C826" s="483"/>
      <c r="D826" s="483"/>
      <c r="E826" s="483"/>
      <c r="F826" s="483"/>
    </row>
    <row r="827" spans="1:6">
      <c r="A827" s="482"/>
      <c r="B827" s="483"/>
      <c r="C827" s="483"/>
      <c r="D827" s="483"/>
      <c r="E827" s="483"/>
      <c r="F827" s="483"/>
    </row>
    <row r="828" spans="1:6">
      <c r="A828" s="482"/>
      <c r="B828" s="483"/>
      <c r="C828" s="483"/>
      <c r="D828" s="483"/>
      <c r="E828" s="483"/>
      <c r="F828" s="483"/>
    </row>
    <row r="829" spans="1:6">
      <c r="A829" s="482"/>
      <c r="B829" s="483"/>
      <c r="C829" s="483"/>
      <c r="D829" s="483"/>
      <c r="E829" s="483"/>
      <c r="F829" s="483"/>
    </row>
    <row r="830" spans="1:6">
      <c r="A830" s="482"/>
      <c r="B830" s="483"/>
      <c r="C830" s="483"/>
      <c r="D830" s="483"/>
      <c r="E830" s="483"/>
      <c r="F830" s="483"/>
    </row>
    <row r="831" spans="1:6">
      <c r="A831" s="482"/>
      <c r="B831" s="483"/>
      <c r="C831" s="483"/>
      <c r="D831" s="483"/>
      <c r="E831" s="483"/>
      <c r="F831" s="483"/>
    </row>
    <row r="832" spans="1:6">
      <c r="A832" s="482"/>
      <c r="B832" s="483"/>
      <c r="C832" s="483"/>
      <c r="D832" s="483"/>
      <c r="E832" s="483"/>
      <c r="F832" s="483"/>
    </row>
    <row r="833" spans="1:6">
      <c r="A833" s="482"/>
      <c r="B833" s="483"/>
      <c r="C833" s="483"/>
      <c r="D833" s="483"/>
      <c r="E833" s="483"/>
      <c r="F833" s="483"/>
    </row>
    <row r="834" spans="1:6">
      <c r="A834" s="482"/>
      <c r="B834" s="483"/>
      <c r="C834" s="483"/>
      <c r="D834" s="483"/>
      <c r="E834" s="483"/>
      <c r="F834" s="483"/>
    </row>
    <row r="835" spans="1:6">
      <c r="A835" s="482"/>
      <c r="B835" s="483"/>
      <c r="C835" s="483"/>
      <c r="D835" s="483"/>
      <c r="E835" s="483"/>
      <c r="F835" s="483"/>
    </row>
    <row r="836" spans="1:6">
      <c r="A836" s="482"/>
      <c r="B836" s="483"/>
      <c r="C836" s="483"/>
      <c r="D836" s="483"/>
      <c r="E836" s="483"/>
      <c r="F836" s="483"/>
    </row>
    <row r="837" spans="1:6">
      <c r="A837" s="482"/>
      <c r="B837" s="483"/>
      <c r="C837" s="483"/>
      <c r="D837" s="483"/>
      <c r="E837" s="483"/>
      <c r="F837" s="483"/>
    </row>
    <row r="838" spans="1:6">
      <c r="A838" s="482"/>
      <c r="B838" s="483"/>
      <c r="C838" s="483"/>
      <c r="D838" s="483"/>
      <c r="E838" s="483"/>
      <c r="F838" s="483"/>
    </row>
    <row r="839" spans="1:6">
      <c r="A839" s="482"/>
      <c r="B839" s="483"/>
      <c r="C839" s="483"/>
      <c r="D839" s="483"/>
      <c r="E839" s="483"/>
      <c r="F839" s="483"/>
    </row>
    <row r="840" spans="1:6">
      <c r="A840" s="482"/>
      <c r="B840" s="483"/>
      <c r="C840" s="483"/>
      <c r="D840" s="483"/>
      <c r="E840" s="483"/>
      <c r="F840" s="483"/>
    </row>
    <row r="841" spans="1:6">
      <c r="A841" s="482"/>
      <c r="B841" s="483"/>
      <c r="C841" s="483"/>
      <c r="D841" s="483"/>
      <c r="E841" s="483"/>
      <c r="F841" s="483"/>
    </row>
    <row r="842" spans="1:6">
      <c r="A842" s="482"/>
      <c r="B842" s="483"/>
      <c r="C842" s="483"/>
      <c r="D842" s="483"/>
      <c r="E842" s="483"/>
      <c r="F842" s="483"/>
    </row>
    <row r="843" spans="1:6">
      <c r="A843" s="482"/>
      <c r="B843" s="483"/>
      <c r="C843" s="483"/>
      <c r="D843" s="483"/>
      <c r="E843" s="483"/>
      <c r="F843" s="483"/>
    </row>
    <row r="844" spans="1:6">
      <c r="A844" s="482"/>
      <c r="B844" s="483"/>
      <c r="C844" s="483"/>
      <c r="D844" s="483"/>
      <c r="E844" s="483"/>
      <c r="F844" s="483"/>
    </row>
    <row r="845" spans="1:6">
      <c r="A845" s="482"/>
      <c r="B845" s="483"/>
      <c r="C845" s="483"/>
      <c r="D845" s="483"/>
      <c r="E845" s="483"/>
      <c r="F845" s="483"/>
    </row>
    <row r="846" spans="1:6">
      <c r="A846" s="482"/>
      <c r="B846" s="483"/>
      <c r="C846" s="483"/>
      <c r="D846" s="483"/>
      <c r="E846" s="483"/>
      <c r="F846" s="483"/>
    </row>
    <row r="847" spans="1:6">
      <c r="A847" s="482"/>
      <c r="B847" s="483"/>
      <c r="C847" s="483"/>
      <c r="D847" s="483"/>
      <c r="E847" s="483"/>
      <c r="F847" s="483"/>
    </row>
    <row r="848" spans="1:6">
      <c r="A848" s="482"/>
      <c r="B848" s="483"/>
      <c r="C848" s="483"/>
      <c r="D848" s="483"/>
      <c r="E848" s="483"/>
      <c r="F848" s="483"/>
    </row>
    <row r="849" spans="1:6">
      <c r="A849" s="482"/>
      <c r="B849" s="483"/>
      <c r="C849" s="483"/>
      <c r="D849" s="483"/>
      <c r="E849" s="483"/>
      <c r="F849" s="483"/>
    </row>
    <row r="850" spans="1:6">
      <c r="A850" s="482"/>
      <c r="B850" s="483"/>
      <c r="C850" s="483"/>
      <c r="D850" s="483"/>
      <c r="E850" s="483"/>
      <c r="F850" s="483"/>
    </row>
    <row r="851" spans="1:6">
      <c r="A851" s="482"/>
      <c r="B851" s="483"/>
      <c r="C851" s="483"/>
      <c r="D851" s="483"/>
      <c r="E851" s="483"/>
      <c r="F851" s="483"/>
    </row>
    <row r="852" spans="1:6">
      <c r="A852" s="482"/>
      <c r="B852" s="483"/>
      <c r="C852" s="483"/>
      <c r="D852" s="483"/>
      <c r="E852" s="483"/>
      <c r="F852" s="483"/>
    </row>
    <row r="853" spans="1:6">
      <c r="A853" s="482"/>
      <c r="B853" s="483"/>
      <c r="C853" s="483"/>
      <c r="D853" s="483"/>
      <c r="E853" s="483"/>
      <c r="F853" s="483"/>
    </row>
    <row r="854" spans="1:6">
      <c r="A854" s="482"/>
      <c r="B854" s="483"/>
      <c r="C854" s="483"/>
      <c r="D854" s="483"/>
      <c r="E854" s="483"/>
      <c r="F854" s="483"/>
    </row>
    <row r="855" spans="1:6">
      <c r="A855" s="482"/>
      <c r="B855" s="483"/>
      <c r="C855" s="483"/>
      <c r="D855" s="483"/>
      <c r="E855" s="483"/>
      <c r="F855" s="483"/>
    </row>
    <row r="856" spans="1:6">
      <c r="A856" s="482"/>
      <c r="B856" s="483"/>
      <c r="C856" s="483"/>
      <c r="D856" s="483"/>
      <c r="E856" s="483"/>
      <c r="F856" s="483"/>
    </row>
    <row r="857" spans="1:6">
      <c r="A857" s="482"/>
      <c r="B857" s="483"/>
      <c r="C857" s="483"/>
      <c r="D857" s="483"/>
      <c r="E857" s="483"/>
      <c r="F857" s="483"/>
    </row>
    <row r="858" spans="1:6">
      <c r="A858" s="482"/>
      <c r="B858" s="483"/>
      <c r="C858" s="483"/>
      <c r="D858" s="483"/>
      <c r="E858" s="483"/>
      <c r="F858" s="483"/>
    </row>
    <row r="859" spans="1:6">
      <c r="A859" s="482"/>
      <c r="B859" s="483"/>
      <c r="C859" s="483"/>
      <c r="D859" s="483"/>
      <c r="E859" s="483"/>
      <c r="F859" s="483"/>
    </row>
    <row r="860" spans="1:6">
      <c r="A860" s="482"/>
      <c r="B860" s="483"/>
      <c r="C860" s="483"/>
      <c r="D860" s="483"/>
      <c r="E860" s="483"/>
      <c r="F860" s="483"/>
    </row>
    <row r="861" spans="1:6">
      <c r="A861" s="482"/>
      <c r="B861" s="483"/>
      <c r="C861" s="483"/>
      <c r="D861" s="483"/>
      <c r="E861" s="483"/>
      <c r="F861" s="483"/>
    </row>
    <row r="862" spans="1:6">
      <c r="A862" s="482"/>
      <c r="B862" s="483"/>
      <c r="C862" s="483"/>
      <c r="D862" s="483"/>
      <c r="E862" s="483"/>
      <c r="F862" s="483"/>
    </row>
    <row r="863" spans="1:6">
      <c r="A863" s="482"/>
      <c r="B863" s="483"/>
      <c r="C863" s="483"/>
      <c r="D863" s="483"/>
      <c r="E863" s="483"/>
      <c r="F863" s="483"/>
    </row>
    <row r="864" spans="1:6">
      <c r="A864" s="482"/>
      <c r="B864" s="483"/>
      <c r="C864" s="483"/>
      <c r="D864" s="483"/>
      <c r="E864" s="483"/>
      <c r="F864" s="483"/>
    </row>
    <row r="865" spans="1:6">
      <c r="A865" s="482"/>
      <c r="B865" s="483"/>
      <c r="C865" s="483"/>
      <c r="D865" s="483"/>
      <c r="E865" s="483"/>
      <c r="F865" s="483"/>
    </row>
    <row r="866" spans="1:6">
      <c r="A866" s="482"/>
      <c r="B866" s="483"/>
      <c r="C866" s="483"/>
      <c r="D866" s="483"/>
      <c r="E866" s="483"/>
      <c r="F866" s="483"/>
    </row>
    <row r="867" spans="1:6">
      <c r="A867" s="482"/>
      <c r="B867" s="483"/>
      <c r="C867" s="483"/>
      <c r="D867" s="483"/>
      <c r="E867" s="483"/>
      <c r="F867" s="483"/>
    </row>
    <row r="868" spans="1:6">
      <c r="A868" s="482"/>
      <c r="B868" s="483"/>
      <c r="C868" s="483"/>
      <c r="D868" s="483"/>
      <c r="E868" s="483"/>
      <c r="F868" s="483"/>
    </row>
    <row r="869" spans="1:6">
      <c r="A869" s="482"/>
      <c r="B869" s="483"/>
      <c r="C869" s="483"/>
      <c r="D869" s="483"/>
      <c r="E869" s="483"/>
      <c r="F869" s="483"/>
    </row>
    <row r="870" spans="1:6">
      <c r="A870" s="482"/>
      <c r="B870" s="483"/>
      <c r="C870" s="483"/>
      <c r="D870" s="483"/>
      <c r="E870" s="483"/>
      <c r="F870" s="483"/>
    </row>
    <row r="871" spans="1:6">
      <c r="A871" s="482"/>
      <c r="B871" s="483"/>
      <c r="C871" s="483"/>
      <c r="D871" s="483"/>
      <c r="E871" s="483"/>
      <c r="F871" s="483"/>
    </row>
    <row r="872" spans="1:6">
      <c r="A872" s="482"/>
      <c r="B872" s="483"/>
      <c r="C872" s="483"/>
      <c r="D872" s="483"/>
      <c r="E872" s="483"/>
      <c r="F872" s="483"/>
    </row>
    <row r="873" spans="1:6">
      <c r="A873" s="482"/>
      <c r="B873" s="483"/>
      <c r="C873" s="483"/>
      <c r="D873" s="483"/>
      <c r="E873" s="483"/>
      <c r="F873" s="483"/>
    </row>
    <row r="874" spans="1:6">
      <c r="A874" s="482"/>
      <c r="B874" s="483"/>
      <c r="C874" s="483"/>
      <c r="D874" s="483"/>
      <c r="E874" s="483"/>
      <c r="F874" s="483"/>
    </row>
    <row r="875" spans="1:6">
      <c r="A875" s="482"/>
      <c r="B875" s="483"/>
      <c r="C875" s="483"/>
      <c r="D875" s="483"/>
      <c r="E875" s="483"/>
      <c r="F875" s="483"/>
    </row>
    <row r="876" spans="1:6">
      <c r="A876" s="482"/>
      <c r="B876" s="483"/>
      <c r="C876" s="483"/>
      <c r="D876" s="483"/>
      <c r="E876" s="483"/>
      <c r="F876" s="483"/>
    </row>
    <row r="877" spans="1:6">
      <c r="A877" s="482"/>
      <c r="B877" s="483"/>
      <c r="C877" s="483"/>
      <c r="D877" s="483"/>
      <c r="E877" s="483"/>
      <c r="F877" s="483"/>
    </row>
    <row r="878" spans="1:6">
      <c r="A878" s="482"/>
      <c r="B878" s="483"/>
      <c r="C878" s="483"/>
      <c r="D878" s="483"/>
      <c r="E878" s="483"/>
      <c r="F878" s="483"/>
    </row>
    <row r="879" spans="1:6">
      <c r="A879" s="482"/>
      <c r="B879" s="483"/>
      <c r="C879" s="483"/>
      <c r="D879" s="483"/>
      <c r="E879" s="483"/>
      <c r="F879" s="483"/>
    </row>
    <row r="880" spans="1:6">
      <c r="A880" s="482"/>
      <c r="B880" s="483"/>
      <c r="C880" s="483"/>
      <c r="D880" s="483"/>
      <c r="E880" s="483"/>
      <c r="F880" s="483"/>
    </row>
    <row r="881" spans="1:6">
      <c r="A881" s="482"/>
      <c r="B881" s="483"/>
      <c r="C881" s="483"/>
      <c r="D881" s="483"/>
      <c r="E881" s="483"/>
      <c r="F881" s="483"/>
    </row>
    <row r="882" spans="1:6">
      <c r="A882" s="482"/>
      <c r="B882" s="483"/>
      <c r="C882" s="483"/>
      <c r="D882" s="483"/>
      <c r="E882" s="483"/>
      <c r="F882" s="483"/>
    </row>
    <row r="883" spans="1:6">
      <c r="A883" s="482"/>
      <c r="B883" s="483"/>
      <c r="C883" s="483"/>
      <c r="D883" s="483"/>
      <c r="E883" s="483"/>
      <c r="F883" s="483"/>
    </row>
    <row r="884" spans="1:6">
      <c r="A884" s="482"/>
      <c r="B884" s="483"/>
      <c r="C884" s="483"/>
      <c r="D884" s="483"/>
      <c r="E884" s="483"/>
      <c r="F884" s="483"/>
    </row>
    <row r="885" spans="1:6">
      <c r="A885" s="482"/>
      <c r="B885" s="483"/>
      <c r="C885" s="483"/>
      <c r="D885" s="483"/>
      <c r="E885" s="483"/>
      <c r="F885" s="483"/>
    </row>
    <row r="886" spans="1:6">
      <c r="A886" s="482"/>
      <c r="B886" s="483"/>
      <c r="C886" s="483"/>
      <c r="D886" s="483"/>
      <c r="E886" s="483"/>
      <c r="F886" s="483"/>
    </row>
    <row r="887" spans="1:6">
      <c r="A887" s="482"/>
      <c r="B887" s="483"/>
      <c r="C887" s="483"/>
      <c r="D887" s="483"/>
      <c r="E887" s="483"/>
      <c r="F887" s="483"/>
    </row>
    <row r="888" spans="1:6">
      <c r="A888" s="482"/>
      <c r="B888" s="483"/>
      <c r="C888" s="483"/>
      <c r="D888" s="483"/>
      <c r="E888" s="483"/>
      <c r="F888" s="483"/>
    </row>
    <row r="889" spans="1:6">
      <c r="A889" s="482"/>
      <c r="B889" s="483"/>
      <c r="C889" s="483"/>
      <c r="D889" s="483"/>
      <c r="E889" s="483"/>
      <c r="F889" s="483"/>
    </row>
    <row r="890" spans="1:6">
      <c r="A890" s="482"/>
      <c r="B890" s="483"/>
      <c r="C890" s="483"/>
      <c r="D890" s="483"/>
      <c r="E890" s="483"/>
      <c r="F890" s="483"/>
    </row>
    <row r="891" spans="1:6">
      <c r="A891" s="482"/>
      <c r="B891" s="483"/>
      <c r="C891" s="483"/>
      <c r="D891" s="483"/>
      <c r="E891" s="483"/>
      <c r="F891" s="483"/>
    </row>
    <row r="892" spans="1:6">
      <c r="A892" s="482"/>
      <c r="B892" s="483"/>
      <c r="C892" s="483"/>
      <c r="D892" s="483"/>
      <c r="E892" s="483"/>
      <c r="F892" s="483"/>
    </row>
    <row r="893" spans="1:6">
      <c r="A893" s="482"/>
      <c r="B893" s="483"/>
      <c r="C893" s="483"/>
      <c r="D893" s="483"/>
      <c r="E893" s="483"/>
      <c r="F893" s="483"/>
    </row>
    <row r="894" spans="1:6">
      <c r="A894" s="482"/>
      <c r="B894" s="483"/>
      <c r="C894" s="483"/>
      <c r="D894" s="483"/>
      <c r="E894" s="483"/>
      <c r="F894" s="483"/>
    </row>
    <row r="895" spans="1:6">
      <c r="A895" s="482"/>
      <c r="B895" s="483"/>
      <c r="C895" s="483"/>
      <c r="D895" s="483"/>
      <c r="E895" s="483"/>
      <c r="F895" s="483"/>
    </row>
    <row r="896" spans="1:6">
      <c r="A896" s="482"/>
      <c r="B896" s="483"/>
      <c r="C896" s="483"/>
      <c r="D896" s="483"/>
      <c r="E896" s="483"/>
      <c r="F896" s="483"/>
    </row>
    <row r="897" spans="1:6">
      <c r="A897" s="482"/>
      <c r="B897" s="483"/>
      <c r="C897" s="483"/>
      <c r="D897" s="483"/>
      <c r="E897" s="483"/>
      <c r="F897" s="483"/>
    </row>
    <row r="898" spans="1:6">
      <c r="A898" s="482"/>
      <c r="B898" s="483"/>
      <c r="C898" s="483"/>
      <c r="D898" s="483"/>
      <c r="E898" s="483"/>
      <c r="F898" s="483"/>
    </row>
    <row r="899" spans="1:6">
      <c r="A899" s="482"/>
      <c r="B899" s="483"/>
      <c r="C899" s="483"/>
      <c r="D899" s="483"/>
      <c r="E899" s="483"/>
      <c r="F899" s="483"/>
    </row>
    <row r="900" spans="1:6">
      <c r="A900" s="482"/>
      <c r="B900" s="483"/>
      <c r="C900" s="483"/>
      <c r="D900" s="483"/>
      <c r="E900" s="483"/>
      <c r="F900" s="483"/>
    </row>
    <row r="901" spans="1:6">
      <c r="A901" s="482"/>
      <c r="B901" s="483"/>
      <c r="C901" s="483"/>
      <c r="D901" s="483"/>
      <c r="E901" s="483"/>
      <c r="F901" s="483"/>
    </row>
    <row r="902" spans="1:6">
      <c r="A902" s="482"/>
      <c r="B902" s="483"/>
      <c r="C902" s="483"/>
      <c r="D902" s="483"/>
      <c r="E902" s="483"/>
      <c r="F902" s="483"/>
    </row>
    <row r="903" spans="1:6">
      <c r="A903" s="482"/>
      <c r="B903" s="483"/>
      <c r="C903" s="483"/>
      <c r="D903" s="483"/>
      <c r="E903" s="483"/>
      <c r="F903" s="483"/>
    </row>
    <row r="904" spans="1:6">
      <c r="A904" s="482"/>
      <c r="B904" s="483"/>
      <c r="C904" s="483"/>
      <c r="D904" s="483"/>
      <c r="E904" s="483"/>
      <c r="F904" s="483"/>
    </row>
    <row r="905" spans="1:6">
      <c r="A905" s="482"/>
      <c r="B905" s="483"/>
      <c r="C905" s="483"/>
      <c r="D905" s="483"/>
      <c r="E905" s="483"/>
      <c r="F905" s="483"/>
    </row>
    <row r="906" spans="1:6">
      <c r="A906" s="482"/>
      <c r="B906" s="483"/>
      <c r="C906" s="483"/>
      <c r="D906" s="483"/>
      <c r="E906" s="483"/>
      <c r="F906" s="483"/>
    </row>
    <row r="907" spans="1:6">
      <c r="A907" s="482"/>
      <c r="B907" s="483"/>
      <c r="C907" s="483"/>
      <c r="D907" s="483"/>
      <c r="E907" s="483"/>
      <c r="F907" s="483"/>
    </row>
    <row r="908" spans="1:6">
      <c r="A908" s="482"/>
      <c r="B908" s="483"/>
      <c r="C908" s="483"/>
      <c r="D908" s="483"/>
      <c r="E908" s="483"/>
      <c r="F908" s="483"/>
    </row>
    <row r="909" spans="1:6">
      <c r="A909" s="482"/>
      <c r="B909" s="483"/>
      <c r="C909" s="483"/>
      <c r="D909" s="483"/>
      <c r="E909" s="483"/>
      <c r="F909" s="483"/>
    </row>
    <row r="910" spans="1:6">
      <c r="A910" s="482"/>
      <c r="B910" s="483"/>
      <c r="C910" s="483"/>
      <c r="D910" s="483"/>
      <c r="E910" s="483"/>
      <c r="F910" s="483"/>
    </row>
    <row r="911" spans="1:6">
      <c r="A911" s="482"/>
      <c r="B911" s="483"/>
      <c r="C911" s="483"/>
      <c r="D911" s="483"/>
      <c r="E911" s="483"/>
      <c r="F911" s="483"/>
    </row>
    <row r="912" spans="1:6">
      <c r="A912" s="482"/>
      <c r="B912" s="483"/>
      <c r="C912" s="483"/>
      <c r="D912" s="483"/>
      <c r="E912" s="483"/>
      <c r="F912" s="483"/>
    </row>
    <row r="913" spans="1:6">
      <c r="A913" s="482"/>
      <c r="B913" s="483"/>
      <c r="C913" s="483"/>
      <c r="D913" s="483"/>
      <c r="E913" s="483"/>
      <c r="F913" s="483"/>
    </row>
    <row r="914" spans="1:6">
      <c r="A914" s="482"/>
      <c r="B914" s="483"/>
      <c r="C914" s="483"/>
      <c r="D914" s="483"/>
      <c r="E914" s="483"/>
      <c r="F914" s="483"/>
    </row>
    <row r="915" spans="1:6">
      <c r="A915" s="482"/>
      <c r="B915" s="483"/>
      <c r="C915" s="483"/>
      <c r="D915" s="483"/>
      <c r="E915" s="483"/>
      <c r="F915" s="483"/>
    </row>
    <row r="916" spans="1:6">
      <c r="A916" s="482"/>
      <c r="B916" s="483"/>
      <c r="C916" s="483"/>
      <c r="D916" s="483"/>
      <c r="E916" s="483"/>
      <c r="F916" s="483"/>
    </row>
    <row r="917" spans="1:6">
      <c r="A917" s="482"/>
      <c r="B917" s="483"/>
      <c r="C917" s="483"/>
      <c r="D917" s="483"/>
      <c r="E917" s="483"/>
      <c r="F917" s="483"/>
    </row>
    <row r="918" spans="1:6">
      <c r="A918" s="482"/>
      <c r="B918" s="483"/>
      <c r="C918" s="483"/>
      <c r="D918" s="483"/>
      <c r="E918" s="483"/>
      <c r="F918" s="483"/>
    </row>
    <row r="919" spans="1:6">
      <c r="A919" s="482"/>
      <c r="B919" s="483"/>
      <c r="C919" s="483"/>
      <c r="D919" s="483"/>
      <c r="E919" s="483"/>
      <c r="F919" s="483"/>
    </row>
    <row r="920" spans="1:6">
      <c r="A920" s="482"/>
      <c r="B920" s="483"/>
      <c r="C920" s="483"/>
      <c r="D920" s="483"/>
      <c r="E920" s="483"/>
      <c r="F920" s="483"/>
    </row>
    <row r="921" spans="1:6">
      <c r="A921" s="482"/>
      <c r="B921" s="483"/>
      <c r="C921" s="483"/>
      <c r="D921" s="483"/>
      <c r="E921" s="483"/>
      <c r="F921" s="483"/>
    </row>
    <row r="922" spans="1:6">
      <c r="A922" s="482"/>
      <c r="B922" s="483"/>
      <c r="C922" s="483"/>
      <c r="D922" s="483"/>
      <c r="E922" s="483"/>
      <c r="F922" s="483"/>
    </row>
    <row r="923" spans="1:6">
      <c r="A923" s="482"/>
      <c r="B923" s="483"/>
      <c r="C923" s="483"/>
      <c r="D923" s="483"/>
      <c r="E923" s="483"/>
      <c r="F923" s="483"/>
    </row>
    <row r="924" spans="1:6">
      <c r="A924" s="482"/>
      <c r="B924" s="483"/>
      <c r="C924" s="483"/>
      <c r="D924" s="483"/>
      <c r="E924" s="483"/>
      <c r="F924" s="483"/>
    </row>
    <row r="925" spans="1:6">
      <c r="A925" s="482"/>
      <c r="B925" s="483"/>
      <c r="C925" s="483"/>
      <c r="D925" s="483"/>
      <c r="E925" s="483"/>
      <c r="F925" s="483"/>
    </row>
    <row r="926" spans="1:6">
      <c r="A926" s="482"/>
      <c r="B926" s="483"/>
      <c r="C926" s="483"/>
      <c r="D926" s="483"/>
      <c r="E926" s="483"/>
      <c r="F926" s="483"/>
    </row>
    <row r="927" spans="1:6">
      <c r="A927" s="482"/>
      <c r="B927" s="483"/>
      <c r="C927" s="483"/>
      <c r="D927" s="483"/>
      <c r="E927" s="483"/>
      <c r="F927" s="483"/>
    </row>
    <row r="928" spans="1:6">
      <c r="A928" s="482"/>
      <c r="B928" s="483"/>
      <c r="C928" s="483"/>
      <c r="D928" s="483"/>
      <c r="E928" s="483"/>
      <c r="F928" s="483"/>
    </row>
    <row r="929" spans="1:6">
      <c r="A929" s="482"/>
      <c r="B929" s="483"/>
      <c r="C929" s="483"/>
      <c r="D929" s="483"/>
      <c r="E929" s="483"/>
      <c r="F929" s="483"/>
    </row>
    <row r="930" spans="1:6">
      <c r="A930" s="482"/>
      <c r="B930" s="483"/>
      <c r="C930" s="483"/>
      <c r="D930" s="483"/>
      <c r="E930" s="483"/>
      <c r="F930" s="483"/>
    </row>
    <row r="931" spans="1:6">
      <c r="A931" s="482"/>
      <c r="B931" s="483"/>
      <c r="C931" s="483"/>
      <c r="D931" s="483"/>
      <c r="E931" s="483"/>
      <c r="F931" s="483"/>
    </row>
    <row r="932" spans="1:6">
      <c r="A932" s="482"/>
      <c r="B932" s="483"/>
      <c r="C932" s="483"/>
      <c r="D932" s="483"/>
      <c r="E932" s="483"/>
      <c r="F932" s="483"/>
    </row>
    <row r="933" spans="1:6">
      <c r="A933" s="482"/>
      <c r="B933" s="483"/>
      <c r="C933" s="483"/>
      <c r="D933" s="483"/>
      <c r="E933" s="483"/>
      <c r="F933" s="483"/>
    </row>
    <row r="934" spans="1:6">
      <c r="A934" s="482"/>
      <c r="B934" s="483"/>
      <c r="C934" s="483"/>
      <c r="D934" s="483"/>
      <c r="E934" s="483"/>
      <c r="F934" s="483"/>
    </row>
    <row r="935" spans="1:6">
      <c r="A935" s="482"/>
      <c r="B935" s="483"/>
      <c r="C935" s="483"/>
      <c r="D935" s="483"/>
      <c r="E935" s="483"/>
      <c r="F935" s="483"/>
    </row>
    <row r="936" spans="1:6">
      <c r="A936" s="482"/>
      <c r="B936" s="483"/>
      <c r="C936" s="483"/>
      <c r="D936" s="483"/>
      <c r="E936" s="483"/>
      <c r="F936" s="483"/>
    </row>
    <row r="937" spans="1:6">
      <c r="A937" s="482"/>
      <c r="B937" s="483"/>
      <c r="C937" s="483"/>
      <c r="D937" s="483"/>
      <c r="E937" s="483"/>
      <c r="F937" s="483"/>
    </row>
    <row r="938" spans="1:6">
      <c r="A938" s="482"/>
      <c r="B938" s="483"/>
      <c r="C938" s="483"/>
      <c r="D938" s="483"/>
      <c r="E938" s="483"/>
      <c r="F938" s="483"/>
    </row>
    <row r="939" spans="1:6">
      <c r="A939" s="482"/>
      <c r="B939" s="483"/>
      <c r="C939" s="483"/>
      <c r="D939" s="483"/>
      <c r="E939" s="483"/>
      <c r="F939" s="483"/>
    </row>
    <row r="940" spans="1:6">
      <c r="A940" s="482"/>
      <c r="B940" s="483"/>
      <c r="C940" s="483"/>
      <c r="D940" s="483"/>
      <c r="E940" s="483"/>
      <c r="F940" s="483"/>
    </row>
    <row r="941" spans="1:6">
      <c r="A941" s="482"/>
      <c r="B941" s="483"/>
      <c r="C941" s="483"/>
      <c r="D941" s="483"/>
      <c r="E941" s="483"/>
      <c r="F941" s="483"/>
    </row>
    <row r="942" spans="1:6">
      <c r="A942" s="482"/>
      <c r="B942" s="483"/>
      <c r="C942" s="483"/>
      <c r="D942" s="483"/>
      <c r="E942" s="483"/>
      <c r="F942" s="483"/>
    </row>
    <row r="943" spans="1:6">
      <c r="A943" s="482"/>
      <c r="B943" s="483"/>
      <c r="C943" s="483"/>
      <c r="D943" s="483"/>
      <c r="E943" s="483"/>
      <c r="F943" s="483"/>
    </row>
    <row r="944" spans="1:6">
      <c r="A944" s="482"/>
      <c r="B944" s="483"/>
      <c r="C944" s="483"/>
      <c r="D944" s="483"/>
      <c r="E944" s="483"/>
      <c r="F944" s="483"/>
    </row>
    <row r="945" spans="1:6">
      <c r="A945" s="482"/>
      <c r="B945" s="483"/>
      <c r="C945" s="483"/>
      <c r="D945" s="483"/>
      <c r="E945" s="483"/>
      <c r="F945" s="483"/>
    </row>
    <row r="946" spans="1:6">
      <c r="A946" s="482"/>
      <c r="B946" s="483"/>
      <c r="C946" s="483"/>
      <c r="D946" s="483"/>
      <c r="E946" s="483"/>
      <c r="F946" s="483"/>
    </row>
    <row r="947" spans="1:6">
      <c r="A947" s="482"/>
      <c r="B947" s="483"/>
      <c r="C947" s="483"/>
      <c r="D947" s="483"/>
      <c r="E947" s="483"/>
      <c r="F947" s="483"/>
    </row>
    <row r="948" spans="1:6">
      <c r="A948" s="482"/>
      <c r="B948" s="483"/>
      <c r="C948" s="483"/>
      <c r="D948" s="483"/>
      <c r="E948" s="483"/>
      <c r="F948" s="483"/>
    </row>
    <row r="949" spans="1:6">
      <c r="A949" s="482"/>
      <c r="B949" s="483"/>
      <c r="C949" s="483"/>
      <c r="D949" s="483"/>
      <c r="E949" s="483"/>
      <c r="F949" s="483"/>
    </row>
    <row r="950" spans="1:6">
      <c r="A950" s="482"/>
      <c r="B950" s="483"/>
      <c r="C950" s="483"/>
      <c r="D950" s="483"/>
      <c r="E950" s="483"/>
      <c r="F950" s="483"/>
    </row>
    <row r="951" spans="1:6">
      <c r="A951" s="482"/>
      <c r="B951" s="483"/>
      <c r="C951" s="483"/>
      <c r="D951" s="483"/>
      <c r="E951" s="483"/>
      <c r="F951" s="483"/>
    </row>
    <row r="952" spans="1:6">
      <c r="A952" s="482"/>
      <c r="B952" s="483"/>
      <c r="C952" s="483"/>
      <c r="D952" s="483"/>
      <c r="E952" s="483"/>
      <c r="F952" s="483"/>
    </row>
    <row r="953" spans="1:6">
      <c r="A953" s="482"/>
      <c r="B953" s="483"/>
      <c r="C953" s="483"/>
      <c r="D953" s="483"/>
      <c r="E953" s="483"/>
      <c r="F953" s="483"/>
    </row>
    <row r="954" spans="1:6">
      <c r="A954" s="482"/>
      <c r="B954" s="483"/>
      <c r="C954" s="483"/>
      <c r="D954" s="483"/>
      <c r="E954" s="483"/>
      <c r="F954" s="483"/>
    </row>
    <row r="955" spans="1:6">
      <c r="A955" s="482"/>
      <c r="B955" s="483"/>
      <c r="C955" s="483"/>
      <c r="D955" s="483"/>
      <c r="E955" s="483"/>
      <c r="F955" s="483"/>
    </row>
    <row r="956" spans="1:6">
      <c r="A956" s="482"/>
      <c r="B956" s="483"/>
      <c r="C956" s="483"/>
      <c r="D956" s="483"/>
      <c r="E956" s="483"/>
      <c r="F956" s="483"/>
    </row>
    <row r="957" spans="1:6">
      <c r="A957" s="482"/>
      <c r="B957" s="483"/>
      <c r="C957" s="483"/>
      <c r="D957" s="483"/>
      <c r="E957" s="483"/>
      <c r="F957" s="483"/>
    </row>
    <row r="958" spans="1:6">
      <c r="A958" s="482"/>
      <c r="B958" s="483"/>
      <c r="C958" s="483"/>
      <c r="D958" s="483"/>
      <c r="E958" s="483"/>
      <c r="F958" s="483"/>
    </row>
    <row r="959" spans="1:6">
      <c r="A959" s="482"/>
      <c r="B959" s="483"/>
      <c r="C959" s="483"/>
      <c r="D959" s="483"/>
      <c r="E959" s="483"/>
      <c r="F959" s="483"/>
    </row>
    <row r="960" spans="1:6">
      <c r="A960" s="482"/>
      <c r="B960" s="483"/>
      <c r="C960" s="483"/>
      <c r="D960" s="483"/>
      <c r="E960" s="483"/>
      <c r="F960" s="483"/>
    </row>
    <row r="961" spans="1:6">
      <c r="A961" s="482"/>
      <c r="B961" s="483"/>
      <c r="C961" s="483"/>
      <c r="D961" s="483"/>
      <c r="E961" s="483"/>
      <c r="F961" s="483"/>
    </row>
    <row r="962" spans="1:6">
      <c r="A962" s="482"/>
      <c r="B962" s="483"/>
      <c r="C962" s="483"/>
      <c r="D962" s="483"/>
      <c r="E962" s="483"/>
      <c r="F962" s="483"/>
    </row>
    <row r="963" spans="1:6">
      <c r="A963" s="482"/>
      <c r="B963" s="483"/>
      <c r="C963" s="483"/>
      <c r="D963" s="483"/>
      <c r="E963" s="483"/>
      <c r="F963" s="483"/>
    </row>
    <row r="964" spans="1:6">
      <c r="A964" s="482"/>
      <c r="B964" s="483"/>
      <c r="C964" s="483"/>
      <c r="D964" s="483"/>
      <c r="E964" s="483"/>
      <c r="F964" s="483"/>
    </row>
    <row r="965" spans="1:6">
      <c r="A965" s="482"/>
      <c r="B965" s="483"/>
      <c r="C965" s="483"/>
      <c r="D965" s="483"/>
      <c r="E965" s="483"/>
      <c r="F965" s="483"/>
    </row>
    <row r="966" spans="1:6">
      <c r="A966" s="482"/>
      <c r="B966" s="483"/>
      <c r="C966" s="483"/>
      <c r="D966" s="483"/>
      <c r="E966" s="483"/>
      <c r="F966" s="483"/>
    </row>
    <row r="967" spans="1:6">
      <c r="A967" s="482"/>
      <c r="B967" s="483"/>
      <c r="C967" s="483"/>
      <c r="D967" s="483"/>
      <c r="E967" s="483"/>
      <c r="F967" s="483"/>
    </row>
    <row r="968" spans="1:6">
      <c r="A968" s="482"/>
      <c r="B968" s="483"/>
      <c r="C968" s="483"/>
      <c r="D968" s="483"/>
      <c r="E968" s="483"/>
      <c r="F968" s="483"/>
    </row>
    <row r="969" spans="1:6">
      <c r="A969" s="482"/>
      <c r="B969" s="483"/>
      <c r="C969" s="483"/>
      <c r="D969" s="483"/>
      <c r="E969" s="483"/>
      <c r="F969" s="483"/>
    </row>
    <row r="970" spans="1:6">
      <c r="A970" s="482"/>
      <c r="B970" s="483"/>
      <c r="C970" s="483"/>
      <c r="D970" s="483"/>
      <c r="E970" s="483"/>
      <c r="F970" s="483"/>
    </row>
    <row r="971" spans="1:6">
      <c r="A971" s="482"/>
      <c r="B971" s="483"/>
      <c r="C971" s="483"/>
      <c r="D971" s="483"/>
      <c r="E971" s="483"/>
      <c r="F971" s="483"/>
    </row>
    <row r="972" spans="1:6">
      <c r="A972" s="482"/>
      <c r="B972" s="483"/>
      <c r="C972" s="483"/>
      <c r="D972" s="483"/>
      <c r="E972" s="483"/>
      <c r="F972" s="483"/>
    </row>
    <row r="973" spans="1:6">
      <c r="A973" s="482"/>
      <c r="B973" s="483"/>
      <c r="C973" s="483"/>
      <c r="D973" s="483"/>
      <c r="E973" s="483"/>
      <c r="F973" s="483"/>
    </row>
    <row r="974" spans="1:6">
      <c r="A974" s="482"/>
      <c r="B974" s="483"/>
      <c r="C974" s="483"/>
      <c r="D974" s="483"/>
      <c r="E974" s="483"/>
      <c r="F974" s="483"/>
    </row>
    <row r="975" spans="1:6">
      <c r="A975" s="482"/>
      <c r="B975" s="483"/>
      <c r="C975" s="483"/>
      <c r="D975" s="483"/>
      <c r="E975" s="483"/>
      <c r="F975" s="483"/>
    </row>
    <row r="976" spans="1:6">
      <c r="A976" s="482"/>
      <c r="B976" s="483"/>
      <c r="C976" s="483"/>
      <c r="D976" s="483"/>
      <c r="E976" s="483"/>
      <c r="F976" s="483"/>
    </row>
    <row r="977" spans="1:6">
      <c r="A977" s="482"/>
      <c r="B977" s="483"/>
      <c r="C977" s="483"/>
      <c r="D977" s="483"/>
      <c r="E977" s="483"/>
      <c r="F977" s="483"/>
    </row>
    <row r="978" spans="1:6">
      <c r="A978" s="482"/>
      <c r="B978" s="483"/>
      <c r="C978" s="483"/>
      <c r="D978" s="483"/>
      <c r="E978" s="483"/>
      <c r="F978" s="483"/>
    </row>
    <row r="979" spans="1:6">
      <c r="A979" s="482"/>
      <c r="B979" s="483"/>
      <c r="C979" s="483"/>
      <c r="D979" s="483"/>
      <c r="E979" s="483"/>
      <c r="F979" s="483"/>
    </row>
    <row r="980" spans="1:6">
      <c r="A980" s="482"/>
      <c r="B980" s="483"/>
      <c r="C980" s="483"/>
      <c r="D980" s="483"/>
      <c r="E980" s="483"/>
      <c r="F980" s="483"/>
    </row>
    <row r="981" spans="1:6">
      <c r="A981" s="482"/>
      <c r="B981" s="483"/>
      <c r="C981" s="483"/>
      <c r="D981" s="483"/>
      <c r="E981" s="483"/>
      <c r="F981" s="483"/>
    </row>
    <row r="982" spans="1:6">
      <c r="A982" s="482"/>
      <c r="B982" s="483"/>
      <c r="C982" s="483"/>
      <c r="D982" s="483"/>
      <c r="E982" s="483"/>
      <c r="F982" s="483"/>
    </row>
    <row r="983" spans="1:6">
      <c r="A983" s="482"/>
      <c r="B983" s="483"/>
      <c r="C983" s="483"/>
      <c r="D983" s="483"/>
      <c r="E983" s="483"/>
      <c r="F983" s="483"/>
    </row>
    <row r="984" spans="1:6">
      <c r="A984" s="482"/>
      <c r="B984" s="483"/>
      <c r="C984" s="483"/>
      <c r="D984" s="483"/>
      <c r="E984" s="483"/>
      <c r="F984" s="483"/>
    </row>
    <row r="985" spans="1:6">
      <c r="A985" s="482"/>
      <c r="B985" s="483"/>
      <c r="C985" s="483"/>
      <c r="D985" s="483"/>
      <c r="E985" s="483"/>
      <c r="F985" s="483"/>
    </row>
    <row r="986" spans="1:6">
      <c r="A986" s="482"/>
      <c r="B986" s="483"/>
      <c r="C986" s="483"/>
      <c r="D986" s="483"/>
      <c r="E986" s="483"/>
      <c r="F986" s="483"/>
    </row>
    <row r="987" spans="1:6">
      <c r="A987" s="482"/>
      <c r="B987" s="483"/>
      <c r="C987" s="483"/>
      <c r="D987" s="483"/>
      <c r="E987" s="483"/>
      <c r="F987" s="483"/>
    </row>
    <row r="988" spans="1:6">
      <c r="A988" s="482"/>
      <c r="B988" s="483"/>
      <c r="C988" s="483"/>
      <c r="D988" s="483"/>
      <c r="E988" s="483"/>
      <c r="F988" s="483"/>
    </row>
    <row r="989" spans="1:6">
      <c r="A989" s="482"/>
      <c r="B989" s="483"/>
      <c r="C989" s="483"/>
      <c r="D989" s="483"/>
      <c r="E989" s="483"/>
      <c r="F989" s="483"/>
    </row>
    <row r="990" spans="1:6">
      <c r="A990" s="482"/>
      <c r="B990" s="483"/>
      <c r="C990" s="483"/>
      <c r="D990" s="483"/>
      <c r="E990" s="483"/>
      <c r="F990" s="483"/>
    </row>
    <row r="991" spans="1:6">
      <c r="A991" s="482"/>
      <c r="B991" s="483"/>
      <c r="C991" s="483"/>
      <c r="D991" s="483"/>
      <c r="E991" s="483"/>
      <c r="F991" s="483"/>
    </row>
    <row r="992" spans="1:6">
      <c r="A992" s="482"/>
      <c r="B992" s="483"/>
      <c r="C992" s="483"/>
      <c r="D992" s="483"/>
      <c r="E992" s="483"/>
      <c r="F992" s="483"/>
    </row>
    <row r="993" spans="1:6">
      <c r="A993" s="482"/>
      <c r="B993" s="483"/>
      <c r="C993" s="483"/>
      <c r="D993" s="483"/>
      <c r="E993" s="483"/>
      <c r="F993" s="483"/>
    </row>
    <row r="994" spans="1:6">
      <c r="A994" s="482"/>
      <c r="B994" s="483"/>
      <c r="C994" s="483"/>
      <c r="D994" s="483"/>
      <c r="E994" s="483"/>
      <c r="F994" s="483"/>
    </row>
    <row r="995" spans="1:6">
      <c r="A995" s="482"/>
      <c r="B995" s="483"/>
      <c r="C995" s="483"/>
      <c r="D995" s="483"/>
      <c r="E995" s="483"/>
      <c r="F995" s="483"/>
    </row>
    <row r="996" spans="1:6">
      <c r="A996" s="482"/>
      <c r="B996" s="483"/>
      <c r="C996" s="483"/>
      <c r="D996" s="483"/>
      <c r="E996" s="483"/>
      <c r="F996" s="483"/>
    </row>
    <row r="997" spans="1:6">
      <c r="A997" s="482"/>
      <c r="B997" s="483"/>
      <c r="C997" s="483"/>
      <c r="D997" s="483"/>
      <c r="E997" s="483"/>
      <c r="F997" s="483"/>
    </row>
    <row r="998" spans="1:6">
      <c r="A998" s="482"/>
      <c r="B998" s="483"/>
      <c r="C998" s="483"/>
      <c r="D998" s="483"/>
      <c r="E998" s="483"/>
      <c r="F998" s="483"/>
    </row>
    <row r="999" spans="1:6">
      <c r="A999" s="482"/>
      <c r="B999" s="483"/>
      <c r="C999" s="483"/>
      <c r="D999" s="483"/>
      <c r="E999" s="483"/>
      <c r="F999" s="483"/>
    </row>
    <row r="1000" spans="1:6">
      <c r="A1000" s="482"/>
      <c r="B1000" s="483"/>
      <c r="C1000" s="483"/>
      <c r="D1000" s="483"/>
      <c r="E1000" s="483"/>
      <c r="F1000" s="483"/>
    </row>
    <row r="1001" spans="1:6">
      <c r="A1001" s="482"/>
      <c r="B1001" s="483"/>
      <c r="C1001" s="483"/>
      <c r="D1001" s="483"/>
      <c r="E1001" s="483"/>
      <c r="F1001" s="483"/>
    </row>
    <row r="1002" spans="1:6">
      <c r="A1002" s="482"/>
      <c r="B1002" s="483"/>
      <c r="C1002" s="483"/>
      <c r="D1002" s="483"/>
      <c r="E1002" s="483"/>
      <c r="F1002" s="483"/>
    </row>
    <row r="1003" spans="1:6">
      <c r="A1003" s="482"/>
      <c r="B1003" s="483"/>
      <c r="C1003" s="483"/>
      <c r="D1003" s="483"/>
      <c r="E1003" s="483"/>
      <c r="F1003" s="483"/>
    </row>
    <row r="1004" spans="1:6">
      <c r="A1004" s="482"/>
      <c r="B1004" s="483"/>
      <c r="C1004" s="483"/>
      <c r="D1004" s="483"/>
      <c r="E1004" s="483"/>
      <c r="F1004" s="483"/>
    </row>
    <row r="1005" spans="1:6">
      <c r="A1005" s="482"/>
      <c r="B1005" s="483"/>
      <c r="C1005" s="483"/>
      <c r="D1005" s="483"/>
      <c r="E1005" s="483"/>
      <c r="F1005" s="483"/>
    </row>
    <row r="1006" spans="1:6">
      <c r="A1006" s="482"/>
      <c r="B1006" s="483"/>
      <c r="C1006" s="483"/>
      <c r="D1006" s="483"/>
      <c r="E1006" s="483"/>
      <c r="F1006" s="483"/>
    </row>
    <row r="1007" spans="1:6">
      <c r="A1007" s="482"/>
      <c r="B1007" s="483"/>
      <c r="C1007" s="483"/>
      <c r="D1007" s="483"/>
      <c r="E1007" s="483"/>
      <c r="F1007" s="483"/>
    </row>
    <row r="1008" spans="1:6">
      <c r="A1008" s="482"/>
      <c r="B1008" s="483"/>
      <c r="C1008" s="483"/>
      <c r="D1008" s="483"/>
      <c r="E1008" s="483"/>
      <c r="F1008" s="483"/>
    </row>
    <row r="1009" spans="1:6">
      <c r="A1009" s="482"/>
      <c r="B1009" s="483"/>
      <c r="C1009" s="483"/>
      <c r="D1009" s="483"/>
      <c r="E1009" s="483"/>
      <c r="F1009" s="483"/>
    </row>
    <row r="1010" spans="1:6">
      <c r="A1010" s="482"/>
      <c r="B1010" s="483"/>
      <c r="C1010" s="483"/>
      <c r="D1010" s="483"/>
      <c r="E1010" s="483"/>
      <c r="F1010" s="483"/>
    </row>
    <row r="1011" spans="1:6">
      <c r="A1011" s="482"/>
      <c r="B1011" s="483"/>
      <c r="C1011" s="483"/>
      <c r="D1011" s="483"/>
      <c r="E1011" s="483"/>
      <c r="F1011" s="483"/>
    </row>
    <row r="1012" spans="1:6">
      <c r="A1012" s="482"/>
      <c r="B1012" s="483"/>
      <c r="C1012" s="483"/>
      <c r="D1012" s="483"/>
      <c r="E1012" s="483"/>
      <c r="F1012" s="483"/>
    </row>
    <row r="1013" spans="1:6">
      <c r="A1013" s="482"/>
      <c r="B1013" s="483"/>
      <c r="C1013" s="483"/>
      <c r="D1013" s="483"/>
      <c r="E1013" s="483"/>
      <c r="F1013" s="483"/>
    </row>
    <row r="1014" spans="1:6">
      <c r="A1014" s="482"/>
      <c r="B1014" s="483"/>
      <c r="C1014" s="483"/>
      <c r="D1014" s="483"/>
      <c r="E1014" s="483"/>
      <c r="F1014" s="483"/>
    </row>
    <row r="1015" spans="1:6">
      <c r="A1015" s="482"/>
      <c r="B1015" s="483"/>
      <c r="C1015" s="483"/>
      <c r="D1015" s="483"/>
      <c r="E1015" s="483"/>
      <c r="F1015" s="483"/>
    </row>
    <row r="1016" spans="1:6">
      <c r="A1016" s="482"/>
      <c r="B1016" s="483"/>
      <c r="C1016" s="483"/>
      <c r="D1016" s="483"/>
      <c r="E1016" s="483"/>
      <c r="F1016" s="483"/>
    </row>
    <row r="1017" spans="1:6">
      <c r="A1017" s="482"/>
      <c r="B1017" s="483"/>
      <c r="C1017" s="483"/>
      <c r="D1017" s="483"/>
      <c r="E1017" s="483"/>
      <c r="F1017" s="483"/>
    </row>
    <row r="1018" spans="1:6">
      <c r="A1018" s="482"/>
      <c r="B1018" s="483"/>
      <c r="C1018" s="483"/>
      <c r="D1018" s="483"/>
      <c r="E1018" s="483"/>
      <c r="F1018" s="483"/>
    </row>
    <row r="1019" spans="1:6">
      <c r="A1019" s="482"/>
      <c r="B1019" s="483"/>
      <c r="C1019" s="483"/>
      <c r="D1019" s="483"/>
      <c r="E1019" s="483"/>
      <c r="F1019" s="483"/>
    </row>
    <row r="1020" spans="1:6">
      <c r="A1020" s="482"/>
      <c r="B1020" s="483"/>
      <c r="C1020" s="483"/>
      <c r="D1020" s="483"/>
      <c r="E1020" s="483"/>
      <c r="F1020" s="483"/>
    </row>
    <row r="1021" spans="1:6">
      <c r="A1021" s="482"/>
      <c r="B1021" s="483"/>
      <c r="C1021" s="483"/>
      <c r="D1021" s="483"/>
      <c r="E1021" s="483"/>
      <c r="F1021" s="483"/>
    </row>
    <row r="1022" spans="1:6">
      <c r="A1022" s="482"/>
      <c r="B1022" s="483"/>
      <c r="C1022" s="483"/>
      <c r="D1022" s="483"/>
      <c r="E1022" s="483"/>
      <c r="F1022" s="483"/>
    </row>
    <row r="1023" spans="1:6">
      <c r="A1023" s="482"/>
      <c r="B1023" s="483"/>
      <c r="C1023" s="483"/>
      <c r="D1023" s="483"/>
      <c r="E1023" s="483"/>
      <c r="F1023" s="483"/>
    </row>
    <row r="1024" spans="1:6">
      <c r="A1024" s="482"/>
      <c r="B1024" s="483"/>
      <c r="C1024" s="483"/>
      <c r="D1024" s="483"/>
      <c r="E1024" s="483"/>
      <c r="F1024" s="483"/>
    </row>
    <row r="1025" spans="1:6">
      <c r="A1025" s="482"/>
      <c r="B1025" s="483"/>
      <c r="C1025" s="483"/>
      <c r="D1025" s="483"/>
      <c r="E1025" s="483"/>
      <c r="F1025" s="483"/>
    </row>
    <row r="1026" spans="1:6">
      <c r="A1026" s="482"/>
      <c r="B1026" s="483"/>
      <c r="C1026" s="483"/>
      <c r="D1026" s="483"/>
      <c r="E1026" s="483"/>
      <c r="F1026" s="483"/>
    </row>
    <row r="1027" spans="1:6">
      <c r="A1027" s="482"/>
      <c r="B1027" s="483"/>
      <c r="C1027" s="483"/>
      <c r="D1027" s="483"/>
      <c r="E1027" s="483"/>
      <c r="F1027" s="483"/>
    </row>
    <row r="1028" spans="1:6">
      <c r="A1028" s="482"/>
      <c r="B1028" s="483"/>
      <c r="C1028" s="483"/>
      <c r="D1028" s="483"/>
      <c r="E1028" s="483"/>
      <c r="F1028" s="483"/>
    </row>
    <row r="1029" spans="1:6">
      <c r="A1029" s="482"/>
      <c r="B1029" s="483"/>
      <c r="C1029" s="483"/>
      <c r="D1029" s="483"/>
      <c r="E1029" s="483"/>
      <c r="F1029" s="483"/>
    </row>
    <row r="1030" spans="1:6">
      <c r="A1030" s="482"/>
      <c r="B1030" s="483"/>
      <c r="C1030" s="483"/>
      <c r="D1030" s="483"/>
      <c r="E1030" s="483"/>
      <c r="F1030" s="483"/>
    </row>
    <row r="1031" spans="1:6">
      <c r="A1031" s="482"/>
      <c r="B1031" s="483"/>
      <c r="C1031" s="483"/>
      <c r="D1031" s="483"/>
      <c r="E1031" s="483"/>
      <c r="F1031" s="483"/>
    </row>
    <row r="1032" spans="1:6">
      <c r="A1032" s="482"/>
      <c r="B1032" s="483"/>
      <c r="C1032" s="483"/>
      <c r="D1032" s="483"/>
      <c r="E1032" s="483"/>
      <c r="F1032" s="483"/>
    </row>
    <row r="1033" spans="1:6">
      <c r="A1033" s="482"/>
      <c r="B1033" s="483"/>
      <c r="C1033" s="483"/>
      <c r="D1033" s="483"/>
      <c r="E1033" s="483"/>
      <c r="F1033" s="483"/>
    </row>
    <row r="1034" spans="1:6">
      <c r="A1034" s="482"/>
      <c r="B1034" s="483"/>
      <c r="C1034" s="483"/>
      <c r="D1034" s="483"/>
      <c r="E1034" s="483"/>
      <c r="F1034" s="483"/>
    </row>
    <row r="1035" spans="1:6">
      <c r="A1035" s="482"/>
      <c r="B1035" s="483"/>
      <c r="C1035" s="483"/>
      <c r="D1035" s="483"/>
      <c r="E1035" s="483"/>
      <c r="F1035" s="483"/>
    </row>
    <row r="1036" spans="1:6">
      <c r="A1036" s="482"/>
      <c r="B1036" s="483"/>
      <c r="C1036" s="483"/>
      <c r="D1036" s="483"/>
      <c r="E1036" s="483"/>
      <c r="F1036" s="483"/>
    </row>
    <row r="1037" spans="1:6">
      <c r="A1037" s="482"/>
      <c r="B1037" s="483"/>
      <c r="C1037" s="483"/>
      <c r="D1037" s="483"/>
      <c r="E1037" s="483"/>
      <c r="F1037" s="483"/>
    </row>
    <row r="1038" spans="1:6">
      <c r="A1038" s="482"/>
      <c r="B1038" s="483"/>
      <c r="C1038" s="483"/>
      <c r="D1038" s="483"/>
      <c r="E1038" s="483"/>
      <c r="F1038" s="483"/>
    </row>
    <row r="1039" spans="1:6">
      <c r="A1039" s="482"/>
      <c r="B1039" s="483"/>
      <c r="C1039" s="483"/>
      <c r="D1039" s="483"/>
      <c r="E1039" s="483"/>
      <c r="F1039" s="483"/>
    </row>
    <row r="1040" spans="1:6">
      <c r="A1040" s="482"/>
      <c r="B1040" s="483"/>
      <c r="C1040" s="483"/>
      <c r="D1040" s="483"/>
      <c r="E1040" s="483"/>
      <c r="F1040" s="483"/>
    </row>
    <row r="1041" spans="1:6">
      <c r="A1041" s="482"/>
      <c r="B1041" s="483"/>
      <c r="C1041" s="483"/>
      <c r="D1041" s="483"/>
      <c r="E1041" s="483"/>
      <c r="F1041" s="483"/>
    </row>
    <row r="1042" spans="1:6">
      <c r="A1042" s="482"/>
      <c r="B1042" s="483"/>
      <c r="C1042" s="483"/>
      <c r="D1042" s="483"/>
      <c r="E1042" s="483"/>
      <c r="F1042" s="483"/>
    </row>
    <row r="1043" spans="1:6">
      <c r="A1043" s="482"/>
      <c r="B1043" s="483"/>
      <c r="C1043" s="483"/>
      <c r="D1043" s="483"/>
      <c r="E1043" s="483"/>
      <c r="F1043" s="483"/>
    </row>
    <row r="1044" spans="1:6">
      <c r="A1044" s="482"/>
      <c r="B1044" s="483"/>
      <c r="C1044" s="483"/>
      <c r="D1044" s="483"/>
      <c r="E1044" s="483"/>
      <c r="F1044" s="483"/>
    </row>
    <row r="1045" spans="1:6">
      <c r="A1045" s="482"/>
      <c r="B1045" s="483"/>
      <c r="C1045" s="483"/>
      <c r="D1045" s="483"/>
      <c r="E1045" s="483"/>
      <c r="F1045" s="483"/>
    </row>
    <row r="1046" spans="1:6">
      <c r="A1046" s="482"/>
      <c r="B1046" s="483"/>
      <c r="C1046" s="483"/>
      <c r="D1046" s="483"/>
      <c r="E1046" s="483"/>
      <c r="F1046" s="483"/>
    </row>
    <row r="1047" spans="1:6">
      <c r="A1047" s="482"/>
      <c r="B1047" s="483"/>
      <c r="C1047" s="483"/>
      <c r="D1047" s="483"/>
      <c r="E1047" s="483"/>
      <c r="F1047" s="483"/>
    </row>
    <row r="1048" spans="1:6">
      <c r="A1048" s="482"/>
      <c r="B1048" s="483"/>
      <c r="C1048" s="483"/>
      <c r="D1048" s="483"/>
      <c r="E1048" s="483"/>
      <c r="F1048" s="483"/>
    </row>
    <row r="1049" spans="1:6">
      <c r="A1049" s="482"/>
      <c r="B1049" s="483"/>
      <c r="C1049" s="483"/>
      <c r="D1049" s="483"/>
      <c r="E1049" s="483"/>
      <c r="F1049" s="483"/>
    </row>
    <row r="1050" spans="1:6">
      <c r="A1050" s="482"/>
      <c r="B1050" s="483"/>
      <c r="C1050" s="483"/>
      <c r="D1050" s="483"/>
      <c r="E1050" s="483"/>
      <c r="F1050" s="483"/>
    </row>
    <row r="1051" spans="1:6">
      <c r="A1051" s="482"/>
      <c r="B1051" s="483"/>
      <c r="C1051" s="483"/>
      <c r="D1051" s="483"/>
      <c r="E1051" s="483"/>
      <c r="F1051" s="483"/>
    </row>
    <row r="1052" spans="1:6">
      <c r="A1052" s="482"/>
      <c r="B1052" s="483"/>
      <c r="C1052" s="483"/>
      <c r="D1052" s="483"/>
      <c r="E1052" s="483"/>
      <c r="F1052" s="483"/>
    </row>
    <row r="1053" spans="1:6">
      <c r="A1053" s="482"/>
      <c r="B1053" s="483"/>
      <c r="C1053" s="483"/>
      <c r="D1053" s="483"/>
      <c r="E1053" s="483"/>
      <c r="F1053" s="483"/>
    </row>
    <row r="1054" spans="1:6">
      <c r="A1054" s="482"/>
      <c r="B1054" s="483"/>
      <c r="C1054" s="483"/>
      <c r="D1054" s="483"/>
      <c r="E1054" s="483"/>
      <c r="F1054" s="483"/>
    </row>
    <row r="1055" spans="1:6">
      <c r="A1055" s="482"/>
      <c r="B1055" s="483"/>
      <c r="C1055" s="483"/>
      <c r="D1055" s="483"/>
      <c r="E1055" s="483"/>
      <c r="F1055" s="483"/>
    </row>
    <row r="1056" spans="1:6">
      <c r="A1056" s="482"/>
      <c r="B1056" s="483"/>
      <c r="C1056" s="483"/>
      <c r="D1056" s="483"/>
      <c r="E1056" s="483"/>
      <c r="F1056" s="483"/>
    </row>
    <row r="1057" spans="1:6">
      <c r="A1057" s="482"/>
      <c r="B1057" s="483"/>
      <c r="C1057" s="483"/>
      <c r="D1057" s="483"/>
      <c r="E1057" s="483"/>
      <c r="F1057" s="483"/>
    </row>
    <row r="1058" spans="1:6">
      <c r="A1058" s="482"/>
      <c r="B1058" s="483"/>
      <c r="C1058" s="483"/>
      <c r="D1058" s="483"/>
      <c r="E1058" s="483"/>
      <c r="F1058" s="483"/>
    </row>
    <row r="1059" spans="1:6">
      <c r="A1059" s="482"/>
      <c r="B1059" s="483"/>
      <c r="C1059" s="483"/>
      <c r="D1059" s="483"/>
      <c r="E1059" s="483"/>
      <c r="F1059" s="483"/>
    </row>
    <row r="1060" spans="1:6">
      <c r="A1060" s="482"/>
      <c r="B1060" s="483"/>
      <c r="C1060" s="483"/>
      <c r="D1060" s="483"/>
      <c r="E1060" s="483"/>
      <c r="F1060" s="483"/>
    </row>
    <row r="1061" spans="1:6">
      <c r="A1061" s="482"/>
      <c r="B1061" s="483"/>
      <c r="C1061" s="483"/>
      <c r="D1061" s="483"/>
      <c r="E1061" s="483"/>
      <c r="F1061" s="483"/>
    </row>
    <row r="1062" spans="1:6">
      <c r="A1062" s="482"/>
      <c r="B1062" s="483"/>
      <c r="C1062" s="483"/>
      <c r="D1062" s="483"/>
      <c r="E1062" s="483"/>
      <c r="F1062" s="483"/>
    </row>
    <row r="1063" spans="1:6">
      <c r="A1063" s="482"/>
      <c r="B1063" s="483"/>
      <c r="C1063" s="483"/>
      <c r="D1063" s="483"/>
      <c r="E1063" s="483"/>
      <c r="F1063" s="483"/>
    </row>
    <row r="1064" spans="1:6">
      <c r="A1064" s="482"/>
      <c r="B1064" s="483"/>
      <c r="C1064" s="483"/>
      <c r="D1064" s="483"/>
      <c r="E1064" s="483"/>
      <c r="F1064" s="483"/>
    </row>
    <row r="1065" spans="1:6">
      <c r="A1065" s="482"/>
      <c r="B1065" s="483"/>
      <c r="C1065" s="483"/>
      <c r="D1065" s="483"/>
      <c r="E1065" s="483"/>
      <c r="F1065" s="483"/>
    </row>
    <row r="1066" spans="1:6">
      <c r="A1066" s="482"/>
      <c r="B1066" s="483"/>
      <c r="C1066" s="483"/>
      <c r="D1066" s="483"/>
      <c r="E1066" s="483"/>
      <c r="F1066" s="483"/>
    </row>
    <row r="1067" spans="1:6">
      <c r="A1067" s="482"/>
      <c r="B1067" s="483"/>
      <c r="C1067" s="483"/>
      <c r="D1067" s="483"/>
      <c r="E1067" s="483"/>
      <c r="F1067" s="483"/>
    </row>
    <row r="1068" spans="1:6">
      <c r="A1068" s="482"/>
      <c r="B1068" s="483"/>
      <c r="C1068" s="483"/>
      <c r="D1068" s="483"/>
      <c r="E1068" s="483"/>
      <c r="F1068" s="483"/>
    </row>
    <row r="1069" spans="1:6">
      <c r="A1069" s="482"/>
      <c r="B1069" s="483"/>
      <c r="C1069" s="483"/>
      <c r="D1069" s="483"/>
      <c r="E1069" s="483"/>
      <c r="F1069" s="483"/>
    </row>
    <row r="1070" spans="1:6">
      <c r="A1070" s="482"/>
      <c r="B1070" s="483"/>
      <c r="C1070" s="483"/>
      <c r="D1070" s="483"/>
      <c r="E1070" s="483"/>
      <c r="F1070" s="483"/>
    </row>
    <row r="1071" spans="1:6">
      <c r="A1071" s="482"/>
      <c r="B1071" s="483"/>
      <c r="C1071" s="483"/>
      <c r="D1071" s="483"/>
      <c r="E1071" s="483"/>
      <c r="F1071" s="483"/>
    </row>
    <row r="1072" spans="1:6">
      <c r="A1072" s="482"/>
      <c r="B1072" s="483"/>
      <c r="C1072" s="483"/>
      <c r="D1072" s="483"/>
      <c r="E1072" s="483"/>
      <c r="F1072" s="483"/>
    </row>
    <row r="1073" spans="1:6">
      <c r="A1073" s="482"/>
      <c r="B1073" s="483"/>
      <c r="C1073" s="483"/>
      <c r="D1073" s="483"/>
      <c r="E1073" s="483"/>
      <c r="F1073" s="483"/>
    </row>
    <row r="1074" spans="1:6">
      <c r="A1074" s="482"/>
      <c r="B1074" s="483"/>
      <c r="C1074" s="483"/>
      <c r="D1074" s="483"/>
      <c r="E1074" s="483"/>
      <c r="F1074" s="483"/>
    </row>
    <row r="1075" spans="1:6">
      <c r="A1075" s="482"/>
      <c r="B1075" s="483"/>
      <c r="C1075" s="483"/>
      <c r="D1075" s="483"/>
      <c r="E1075" s="483"/>
      <c r="F1075" s="483"/>
    </row>
    <row r="1076" spans="1:6">
      <c r="A1076" s="482"/>
      <c r="B1076" s="483"/>
      <c r="C1076" s="483"/>
      <c r="D1076" s="483"/>
      <c r="E1076" s="483"/>
      <c r="F1076" s="483"/>
    </row>
    <row r="1077" spans="1:6">
      <c r="A1077" s="482"/>
      <c r="B1077" s="483"/>
      <c r="C1077" s="483"/>
      <c r="D1077" s="483"/>
      <c r="E1077" s="483"/>
      <c r="F1077" s="483"/>
    </row>
    <row r="1078" spans="1:6">
      <c r="A1078" s="482"/>
      <c r="B1078" s="483"/>
      <c r="C1078" s="483"/>
      <c r="D1078" s="483"/>
      <c r="E1078" s="483"/>
      <c r="F1078" s="483"/>
    </row>
    <row r="1079" spans="1:6">
      <c r="A1079" s="482"/>
      <c r="B1079" s="483"/>
      <c r="C1079" s="483"/>
      <c r="D1079" s="483"/>
      <c r="E1079" s="483"/>
      <c r="F1079" s="483"/>
    </row>
    <row r="1080" spans="1:6">
      <c r="A1080" s="482"/>
      <c r="B1080" s="483"/>
      <c r="C1080" s="483"/>
      <c r="D1080" s="483"/>
      <c r="E1080" s="483"/>
      <c r="F1080" s="483"/>
    </row>
    <row r="1081" spans="1:6">
      <c r="A1081" s="482"/>
      <c r="B1081" s="483"/>
      <c r="C1081" s="483"/>
      <c r="D1081" s="483"/>
      <c r="E1081" s="483"/>
      <c r="F1081" s="483"/>
    </row>
    <row r="1082" spans="1:6">
      <c r="A1082" s="482"/>
      <c r="B1082" s="483"/>
      <c r="C1082" s="483"/>
      <c r="D1082" s="483"/>
      <c r="E1082" s="483"/>
      <c r="F1082" s="483"/>
    </row>
    <row r="1083" spans="1:6">
      <c r="A1083" s="482"/>
      <c r="B1083" s="483"/>
      <c r="C1083" s="483"/>
      <c r="D1083" s="483"/>
      <c r="E1083" s="483"/>
      <c r="F1083" s="483"/>
    </row>
    <row r="1084" spans="1:6">
      <c r="A1084" s="482"/>
      <c r="B1084" s="483"/>
      <c r="C1084" s="483"/>
      <c r="D1084" s="483"/>
      <c r="E1084" s="483"/>
      <c r="F1084" s="483"/>
    </row>
    <row r="1085" spans="1:6">
      <c r="A1085" s="482"/>
      <c r="B1085" s="483"/>
      <c r="C1085" s="483"/>
      <c r="D1085" s="483"/>
      <c r="E1085" s="483"/>
      <c r="F1085" s="483"/>
    </row>
    <row r="1086" spans="1:6">
      <c r="A1086" s="482"/>
      <c r="B1086" s="483"/>
      <c r="C1086" s="483"/>
      <c r="D1086" s="483"/>
      <c r="E1086" s="483"/>
      <c r="F1086" s="483"/>
    </row>
    <row r="1087" spans="1:6">
      <c r="A1087" s="482"/>
      <c r="B1087" s="483"/>
      <c r="C1087" s="483"/>
      <c r="D1087" s="483"/>
      <c r="E1087" s="483"/>
      <c r="F1087" s="483"/>
    </row>
    <row r="1088" spans="1:6">
      <c r="A1088" s="482"/>
      <c r="B1088" s="483"/>
      <c r="C1088" s="483"/>
      <c r="D1088" s="483"/>
      <c r="E1088" s="483"/>
      <c r="F1088" s="483"/>
    </row>
    <row r="1089" spans="1:6">
      <c r="A1089" s="482"/>
      <c r="B1089" s="483"/>
      <c r="C1089" s="483"/>
      <c r="D1089" s="483"/>
      <c r="E1089" s="483"/>
      <c r="F1089" s="483"/>
    </row>
    <row r="1090" spans="1:6">
      <c r="A1090" s="482"/>
      <c r="B1090" s="483"/>
      <c r="C1090" s="483"/>
      <c r="D1090" s="483"/>
      <c r="E1090" s="483"/>
      <c r="F1090" s="483"/>
    </row>
    <row r="1091" spans="1:6">
      <c r="A1091" s="482"/>
      <c r="B1091" s="483"/>
      <c r="C1091" s="483"/>
      <c r="D1091" s="483"/>
      <c r="E1091" s="483"/>
      <c r="F1091" s="483"/>
    </row>
    <row r="1092" spans="1:6">
      <c r="A1092" s="482"/>
      <c r="B1092" s="483"/>
      <c r="C1092" s="483"/>
      <c r="D1092" s="483"/>
      <c r="E1092" s="483"/>
      <c r="F1092" s="483"/>
    </row>
    <row r="1093" spans="1:6">
      <c r="A1093" s="482"/>
      <c r="B1093" s="483"/>
      <c r="C1093" s="483"/>
      <c r="D1093" s="483"/>
      <c r="E1093" s="483"/>
      <c r="F1093" s="483"/>
    </row>
    <row r="1094" spans="1:6">
      <c r="A1094" s="482"/>
      <c r="B1094" s="483"/>
      <c r="C1094" s="483"/>
      <c r="D1094" s="483"/>
      <c r="E1094" s="483"/>
      <c r="F1094" s="483"/>
    </row>
    <row r="1095" spans="1:6">
      <c r="A1095" s="482"/>
      <c r="B1095" s="483"/>
      <c r="C1095" s="483"/>
      <c r="D1095" s="483"/>
      <c r="E1095" s="483"/>
      <c r="F1095" s="483"/>
    </row>
    <row r="1096" spans="1:6">
      <c r="A1096" s="482"/>
      <c r="B1096" s="483"/>
      <c r="C1096" s="483"/>
      <c r="D1096" s="483"/>
      <c r="E1096" s="483"/>
      <c r="F1096" s="483"/>
    </row>
    <row r="1097" spans="1:6">
      <c r="A1097" s="482"/>
      <c r="B1097" s="483"/>
      <c r="C1097" s="483"/>
      <c r="D1097" s="483"/>
      <c r="E1097" s="483"/>
      <c r="F1097" s="483"/>
    </row>
    <row r="1098" spans="1:6">
      <c r="A1098" s="482"/>
      <c r="B1098" s="483"/>
      <c r="C1098" s="483"/>
      <c r="D1098" s="483"/>
      <c r="E1098" s="483"/>
      <c r="F1098" s="483"/>
    </row>
    <row r="1099" spans="1:6">
      <c r="A1099" s="482"/>
      <c r="B1099" s="483"/>
      <c r="C1099" s="483"/>
      <c r="D1099" s="483"/>
      <c r="E1099" s="483"/>
      <c r="F1099" s="483"/>
    </row>
    <row r="1100" spans="1:6">
      <c r="A1100" s="482"/>
      <c r="B1100" s="483"/>
      <c r="C1100" s="483"/>
      <c r="D1100" s="483"/>
      <c r="E1100" s="483"/>
      <c r="F1100" s="483"/>
    </row>
    <row r="1101" spans="1:6">
      <c r="A1101" s="482"/>
      <c r="B1101" s="483"/>
      <c r="C1101" s="483"/>
      <c r="D1101" s="483"/>
      <c r="E1101" s="483"/>
      <c r="F1101" s="483"/>
    </row>
    <row r="1102" spans="1:6">
      <c r="A1102" s="482"/>
      <c r="B1102" s="483"/>
      <c r="C1102" s="483"/>
      <c r="D1102" s="483"/>
      <c r="E1102" s="483"/>
      <c r="F1102" s="483"/>
    </row>
    <row r="1103" spans="1:6">
      <c r="A1103" s="482"/>
      <c r="B1103" s="483"/>
      <c r="C1103" s="483"/>
      <c r="D1103" s="483"/>
      <c r="E1103" s="483"/>
      <c r="F1103" s="483"/>
    </row>
    <row r="1104" spans="1:6">
      <c r="A1104" s="482"/>
      <c r="B1104" s="483"/>
      <c r="C1104" s="483"/>
      <c r="D1104" s="483"/>
      <c r="E1104" s="483"/>
      <c r="F1104" s="483"/>
    </row>
    <row r="1105" spans="1:6">
      <c r="A1105" s="482"/>
      <c r="B1105" s="483"/>
      <c r="C1105" s="483"/>
      <c r="D1105" s="483"/>
      <c r="E1105" s="483"/>
      <c r="F1105" s="483"/>
    </row>
    <row r="1106" spans="1:6">
      <c r="A1106" s="482"/>
      <c r="B1106" s="483"/>
      <c r="C1106" s="483"/>
      <c r="D1106" s="483"/>
      <c r="E1106" s="483"/>
      <c r="F1106" s="483"/>
    </row>
    <row r="1107" spans="1:6">
      <c r="A1107" s="482"/>
      <c r="B1107" s="483"/>
      <c r="C1107" s="483"/>
      <c r="D1107" s="483"/>
      <c r="E1107" s="483"/>
      <c r="F1107" s="483"/>
    </row>
    <row r="1108" spans="1:6">
      <c r="A1108" s="482"/>
      <c r="B1108" s="483"/>
      <c r="C1108" s="483"/>
      <c r="D1108" s="483"/>
      <c r="E1108" s="483"/>
      <c r="F1108" s="483"/>
    </row>
    <row r="1109" spans="1:6">
      <c r="A1109" s="482"/>
      <c r="B1109" s="483"/>
      <c r="C1109" s="483"/>
      <c r="D1109" s="483"/>
      <c r="E1109" s="483"/>
      <c r="F1109" s="483"/>
    </row>
    <row r="1110" spans="1:6">
      <c r="A1110" s="482"/>
      <c r="B1110" s="483"/>
      <c r="C1110" s="483"/>
      <c r="D1110" s="483"/>
      <c r="E1110" s="483"/>
      <c r="F1110" s="483"/>
    </row>
    <row r="1111" spans="1:6">
      <c r="A1111" s="482"/>
      <c r="B1111" s="483"/>
      <c r="C1111" s="483"/>
      <c r="D1111" s="483"/>
      <c r="E1111" s="483"/>
      <c r="F1111" s="483"/>
    </row>
    <row r="1112" spans="1:6">
      <c r="A1112" s="482"/>
      <c r="B1112" s="483"/>
      <c r="C1112" s="483"/>
      <c r="D1112" s="483"/>
      <c r="E1112" s="483"/>
      <c r="F1112" s="483"/>
    </row>
    <row r="1113" spans="1:6">
      <c r="A1113" s="482"/>
      <c r="B1113" s="483"/>
      <c r="C1113" s="483"/>
      <c r="D1113" s="483"/>
      <c r="E1113" s="483"/>
      <c r="F1113" s="483"/>
    </row>
    <row r="1114" spans="1:6">
      <c r="A1114" s="482"/>
      <c r="B1114" s="483"/>
      <c r="C1114" s="483"/>
      <c r="D1114" s="483"/>
      <c r="E1114" s="483"/>
      <c r="F1114" s="483"/>
    </row>
    <row r="1115" spans="1:6">
      <c r="A1115" s="482"/>
      <c r="B1115" s="483"/>
      <c r="C1115" s="483"/>
      <c r="D1115" s="483"/>
      <c r="E1115" s="483"/>
      <c r="F1115" s="483"/>
    </row>
    <row r="1116" spans="1:6">
      <c r="A1116" s="482"/>
      <c r="B1116" s="483"/>
      <c r="C1116" s="483"/>
      <c r="D1116" s="483"/>
      <c r="E1116" s="483"/>
      <c r="F1116" s="483"/>
    </row>
    <row r="1117" spans="1:6">
      <c r="A1117" s="482"/>
      <c r="B1117" s="483"/>
      <c r="C1117" s="483"/>
      <c r="D1117" s="483"/>
      <c r="E1117" s="483"/>
      <c r="F1117" s="483"/>
    </row>
    <row r="1118" spans="1:6">
      <c r="A1118" s="482"/>
      <c r="B1118" s="483"/>
      <c r="C1118" s="483"/>
      <c r="D1118" s="483"/>
      <c r="E1118" s="483"/>
      <c r="F1118" s="483"/>
    </row>
    <row r="1119" spans="1:6">
      <c r="A1119" s="482"/>
      <c r="B1119" s="483"/>
      <c r="C1119" s="483"/>
      <c r="D1119" s="483"/>
      <c r="E1119" s="483"/>
      <c r="F1119" s="483"/>
    </row>
    <row r="1120" spans="1:6">
      <c r="A1120" s="482"/>
      <c r="B1120" s="483"/>
      <c r="C1120" s="483"/>
      <c r="D1120" s="483"/>
      <c r="E1120" s="483"/>
      <c r="F1120" s="483"/>
    </row>
    <row r="1121" spans="1:6">
      <c r="A1121" s="482"/>
      <c r="B1121" s="483"/>
      <c r="C1121" s="483"/>
      <c r="D1121" s="483"/>
      <c r="E1121" s="483"/>
      <c r="F1121" s="483"/>
    </row>
    <row r="1122" spans="1:6">
      <c r="A1122" s="482"/>
      <c r="B1122" s="483"/>
      <c r="C1122" s="483"/>
      <c r="D1122" s="483"/>
      <c r="E1122" s="483"/>
      <c r="F1122" s="483"/>
    </row>
    <row r="1123" spans="1:6">
      <c r="A1123" s="482"/>
      <c r="B1123" s="483"/>
      <c r="C1123" s="483"/>
      <c r="D1123" s="483"/>
      <c r="E1123" s="483"/>
      <c r="F1123" s="483"/>
    </row>
    <row r="1124" spans="1:6">
      <c r="A1124" s="482"/>
      <c r="B1124" s="483"/>
      <c r="C1124" s="483"/>
      <c r="D1124" s="483"/>
      <c r="E1124" s="483"/>
      <c r="F1124" s="483"/>
    </row>
    <row r="1125" spans="1:6">
      <c r="A1125" s="482"/>
      <c r="B1125" s="483"/>
      <c r="C1125" s="483"/>
      <c r="D1125" s="483"/>
      <c r="E1125" s="483"/>
      <c r="F1125" s="483"/>
    </row>
    <row r="1126" spans="1:6">
      <c r="A1126" s="482"/>
      <c r="B1126" s="483"/>
      <c r="C1126" s="483"/>
      <c r="D1126" s="483"/>
      <c r="E1126" s="483"/>
      <c r="F1126" s="483"/>
    </row>
    <row r="1127" spans="1:6">
      <c r="A1127" s="482"/>
      <c r="B1127" s="483"/>
      <c r="C1127" s="483"/>
      <c r="D1127" s="483"/>
      <c r="E1127" s="483"/>
      <c r="F1127" s="483"/>
    </row>
    <row r="1128" spans="1:6">
      <c r="A1128" s="482"/>
      <c r="B1128" s="483"/>
      <c r="C1128" s="483"/>
      <c r="D1128" s="483"/>
      <c r="E1128" s="483"/>
      <c r="F1128" s="483"/>
    </row>
    <row r="1129" spans="1:6">
      <c r="A1129" s="482"/>
      <c r="B1129" s="483"/>
      <c r="C1129" s="483"/>
      <c r="D1129" s="483"/>
      <c r="E1129" s="483"/>
      <c r="F1129" s="483"/>
    </row>
    <row r="1130" spans="1:6">
      <c r="A1130" s="482"/>
      <c r="B1130" s="483"/>
      <c r="C1130" s="483"/>
      <c r="D1130" s="483"/>
      <c r="E1130" s="483"/>
      <c r="F1130" s="483"/>
    </row>
    <row r="1131" spans="1:6">
      <c r="A1131" s="482"/>
      <c r="B1131" s="483"/>
      <c r="C1131" s="483"/>
      <c r="D1131" s="483"/>
      <c r="E1131" s="483"/>
      <c r="F1131" s="483"/>
    </row>
    <row r="1132" spans="1:6">
      <c r="A1132" s="482"/>
      <c r="B1132" s="483"/>
      <c r="C1132" s="483"/>
      <c r="D1132" s="483"/>
      <c r="E1132" s="483"/>
      <c r="F1132" s="483"/>
    </row>
    <row r="1133" spans="1:6">
      <c r="A1133" s="482"/>
      <c r="B1133" s="483"/>
      <c r="C1133" s="483"/>
      <c r="D1133" s="483"/>
      <c r="E1133" s="483"/>
      <c r="F1133" s="483"/>
    </row>
    <row r="1134" spans="1:6">
      <c r="A1134" s="482"/>
      <c r="B1134" s="483"/>
      <c r="C1134" s="483"/>
      <c r="D1134" s="483"/>
      <c r="E1134" s="483"/>
      <c r="F1134" s="483"/>
    </row>
    <row r="1135" spans="1:6">
      <c r="A1135" s="482"/>
      <c r="B1135" s="483"/>
      <c r="C1135" s="483"/>
      <c r="D1135" s="483"/>
      <c r="E1135" s="483"/>
      <c r="F1135" s="483"/>
    </row>
    <row r="1136" spans="1:6">
      <c r="A1136" s="482"/>
      <c r="B1136" s="483"/>
      <c r="C1136" s="483"/>
      <c r="D1136" s="483"/>
      <c r="E1136" s="483"/>
      <c r="F1136" s="483"/>
    </row>
    <row r="1137" spans="1:6">
      <c r="A1137" s="482"/>
      <c r="B1137" s="483"/>
      <c r="C1137" s="483"/>
      <c r="D1137" s="483"/>
      <c r="E1137" s="483"/>
      <c r="F1137" s="483"/>
    </row>
    <row r="1138" spans="1:6">
      <c r="A1138" s="482"/>
      <c r="B1138" s="483"/>
      <c r="C1138" s="483"/>
      <c r="D1138" s="483"/>
      <c r="E1138" s="483"/>
      <c r="F1138" s="483"/>
    </row>
    <row r="1139" spans="1:6">
      <c r="A1139" s="482"/>
      <c r="B1139" s="483"/>
      <c r="C1139" s="483"/>
      <c r="D1139" s="483"/>
      <c r="E1139" s="483"/>
      <c r="F1139" s="483"/>
    </row>
    <row r="1140" spans="1:6">
      <c r="A1140" s="482"/>
      <c r="B1140" s="483"/>
      <c r="C1140" s="483"/>
      <c r="D1140" s="483"/>
      <c r="E1140" s="483"/>
      <c r="F1140" s="483"/>
    </row>
    <row r="1141" spans="1:6">
      <c r="A1141" s="482"/>
      <c r="B1141" s="483"/>
      <c r="C1141" s="483"/>
      <c r="D1141" s="483"/>
      <c r="E1141" s="483"/>
      <c r="F1141" s="483"/>
    </row>
    <row r="1142" spans="1:6">
      <c r="A1142" s="482"/>
      <c r="B1142" s="483"/>
      <c r="C1142" s="483"/>
      <c r="D1142" s="483"/>
      <c r="E1142" s="483"/>
      <c r="F1142" s="483"/>
    </row>
    <row r="1143" spans="1:6">
      <c r="A1143" s="482"/>
      <c r="B1143" s="483"/>
      <c r="C1143" s="483"/>
      <c r="D1143" s="483"/>
      <c r="E1143" s="483"/>
      <c r="F1143" s="483"/>
    </row>
    <row r="1144" spans="1:6">
      <c r="A1144" s="482"/>
      <c r="B1144" s="483"/>
      <c r="C1144" s="483"/>
      <c r="D1144" s="483"/>
      <c r="E1144" s="483"/>
      <c r="F1144" s="483"/>
    </row>
    <row r="1145" spans="1:6">
      <c r="A1145" s="482"/>
      <c r="B1145" s="483"/>
      <c r="C1145" s="483"/>
      <c r="D1145" s="483"/>
      <c r="E1145" s="483"/>
      <c r="F1145" s="483"/>
    </row>
    <row r="1146" spans="1:6">
      <c r="A1146" s="482"/>
      <c r="B1146" s="483"/>
      <c r="C1146" s="483"/>
      <c r="D1146" s="483"/>
      <c r="E1146" s="483"/>
      <c r="F1146" s="483"/>
    </row>
    <row r="1147" spans="1:6">
      <c r="A1147" s="482"/>
      <c r="B1147" s="483"/>
      <c r="C1147" s="483"/>
      <c r="D1147" s="483"/>
      <c r="E1147" s="483"/>
      <c r="F1147" s="483"/>
    </row>
    <row r="1148" spans="1:6">
      <c r="A1148" s="482"/>
      <c r="B1148" s="483"/>
      <c r="C1148" s="483"/>
      <c r="D1148" s="483"/>
      <c r="E1148" s="483"/>
      <c r="F1148" s="483"/>
    </row>
    <row r="1149" spans="1:6">
      <c r="A1149" s="482"/>
      <c r="B1149" s="483"/>
      <c r="C1149" s="483"/>
      <c r="D1149" s="483"/>
      <c r="E1149" s="483"/>
      <c r="F1149" s="483"/>
    </row>
    <row r="1150" spans="1:6">
      <c r="A1150" s="482"/>
      <c r="B1150" s="483"/>
      <c r="C1150" s="483"/>
      <c r="D1150" s="483"/>
      <c r="E1150" s="483"/>
      <c r="F1150" s="483"/>
    </row>
    <row r="1151" spans="1:6">
      <c r="A1151" s="482"/>
      <c r="B1151" s="483"/>
      <c r="C1151" s="483"/>
      <c r="D1151" s="483"/>
      <c r="E1151" s="483"/>
      <c r="F1151" s="483"/>
    </row>
    <row r="1152" spans="1:6">
      <c r="A1152" s="482"/>
      <c r="B1152" s="483"/>
      <c r="C1152" s="483"/>
      <c r="D1152" s="483"/>
      <c r="E1152" s="483"/>
      <c r="F1152" s="483"/>
    </row>
    <row r="1153" spans="1:6">
      <c r="A1153" s="482"/>
      <c r="B1153" s="483"/>
      <c r="C1153" s="483"/>
      <c r="D1153" s="483"/>
      <c r="E1153" s="483"/>
      <c r="F1153" s="483"/>
    </row>
    <row r="1154" spans="1:6">
      <c r="A1154" s="482"/>
      <c r="B1154" s="483"/>
      <c r="C1154" s="483"/>
      <c r="D1154" s="483"/>
      <c r="E1154" s="483"/>
      <c r="F1154" s="483"/>
    </row>
    <row r="1155" spans="1:6">
      <c r="A1155" s="482"/>
      <c r="B1155" s="483"/>
      <c r="C1155" s="483"/>
      <c r="D1155" s="483"/>
      <c r="E1155" s="483"/>
      <c r="F1155" s="483"/>
    </row>
    <row r="1156" spans="1:6">
      <c r="A1156" s="482"/>
      <c r="B1156" s="483"/>
      <c r="C1156" s="483"/>
      <c r="D1156" s="483"/>
      <c r="E1156" s="483"/>
      <c r="F1156" s="483"/>
    </row>
    <row r="1157" spans="1:6">
      <c r="A1157" s="482"/>
      <c r="B1157" s="483"/>
      <c r="C1157" s="483"/>
      <c r="D1157" s="483"/>
      <c r="E1157" s="483"/>
      <c r="F1157" s="483"/>
    </row>
    <row r="1158" spans="1:6">
      <c r="A1158" s="482"/>
      <c r="B1158" s="483"/>
      <c r="C1158" s="483"/>
      <c r="D1158" s="483"/>
      <c r="E1158" s="483"/>
      <c r="F1158" s="483"/>
    </row>
    <row r="1159" spans="1:6">
      <c r="A1159" s="482"/>
      <c r="B1159" s="483"/>
      <c r="C1159" s="483"/>
      <c r="D1159" s="483"/>
      <c r="E1159" s="483"/>
      <c r="F1159" s="483"/>
    </row>
    <row r="1160" spans="1:6">
      <c r="A1160" s="482"/>
      <c r="B1160" s="483"/>
      <c r="C1160" s="483"/>
      <c r="D1160" s="483"/>
      <c r="E1160" s="483"/>
      <c r="F1160" s="483"/>
    </row>
    <row r="1161" spans="1:6">
      <c r="A1161" s="482"/>
      <c r="B1161" s="483"/>
      <c r="C1161" s="483"/>
      <c r="D1161" s="483"/>
      <c r="E1161" s="483"/>
      <c r="F1161" s="483"/>
    </row>
    <row r="1162" spans="1:6">
      <c r="A1162" s="482"/>
      <c r="B1162" s="483"/>
      <c r="C1162" s="483"/>
      <c r="D1162" s="483"/>
      <c r="E1162" s="483"/>
      <c r="F1162" s="483"/>
    </row>
    <row r="1163" spans="1:6">
      <c r="A1163" s="482"/>
      <c r="B1163" s="483"/>
      <c r="C1163" s="483"/>
      <c r="D1163" s="483"/>
      <c r="E1163" s="483"/>
      <c r="F1163" s="483"/>
    </row>
    <row r="1164" spans="1:6">
      <c r="A1164" s="482"/>
      <c r="B1164" s="483"/>
      <c r="C1164" s="483"/>
      <c r="D1164" s="483"/>
      <c r="E1164" s="483"/>
      <c r="F1164" s="483"/>
    </row>
    <row r="1165" spans="1:6">
      <c r="A1165" s="482"/>
      <c r="B1165" s="483"/>
      <c r="C1165" s="483"/>
      <c r="D1165" s="483"/>
      <c r="E1165" s="483"/>
      <c r="F1165" s="483"/>
    </row>
    <row r="1166" spans="1:6">
      <c r="A1166" s="482"/>
      <c r="B1166" s="483"/>
      <c r="C1166" s="483"/>
      <c r="D1166" s="483"/>
      <c r="E1166" s="483"/>
      <c r="F1166" s="483"/>
    </row>
    <row r="1167" spans="1:6">
      <c r="A1167" s="482"/>
      <c r="B1167" s="483"/>
      <c r="C1167" s="483"/>
      <c r="D1167" s="483"/>
      <c r="E1167" s="483"/>
      <c r="F1167" s="483"/>
    </row>
    <row r="1168" spans="1:6">
      <c r="A1168" s="482"/>
      <c r="B1168" s="483"/>
      <c r="C1168" s="483"/>
      <c r="D1168" s="483"/>
      <c r="E1168" s="483"/>
      <c r="F1168" s="483"/>
    </row>
    <row r="1169" spans="1:6">
      <c r="A1169" s="482"/>
      <c r="B1169" s="483"/>
      <c r="C1169" s="483"/>
      <c r="D1169" s="483"/>
      <c r="E1169" s="483"/>
      <c r="F1169" s="483"/>
    </row>
    <row r="1170" spans="1:6">
      <c r="A1170" s="482"/>
      <c r="B1170" s="483"/>
      <c r="C1170" s="483"/>
      <c r="D1170" s="483"/>
      <c r="E1170" s="483"/>
      <c r="F1170" s="483"/>
    </row>
    <row r="1171" spans="1:6">
      <c r="A1171" s="482"/>
      <c r="B1171" s="483"/>
      <c r="C1171" s="483"/>
      <c r="D1171" s="483"/>
      <c r="E1171" s="483"/>
      <c r="F1171" s="483"/>
    </row>
    <row r="1172" spans="1:6">
      <c r="A1172" s="482"/>
      <c r="B1172" s="483"/>
      <c r="C1172" s="483"/>
      <c r="D1172" s="483"/>
      <c r="E1172" s="483"/>
      <c r="F1172" s="483"/>
    </row>
    <row r="1173" spans="1:6">
      <c r="A1173" s="482"/>
      <c r="B1173" s="483"/>
      <c r="C1173" s="483"/>
      <c r="D1173" s="483"/>
      <c r="E1173" s="483"/>
      <c r="F1173" s="483"/>
    </row>
    <row r="1174" spans="1:6">
      <c r="A1174" s="482"/>
      <c r="B1174" s="483"/>
      <c r="C1174" s="483"/>
      <c r="D1174" s="483"/>
      <c r="E1174" s="483"/>
      <c r="F1174" s="483"/>
    </row>
    <row r="1175" spans="1:6">
      <c r="A1175" s="482"/>
      <c r="B1175" s="483"/>
      <c r="C1175" s="483"/>
      <c r="D1175" s="483"/>
      <c r="E1175" s="483"/>
      <c r="F1175" s="483"/>
    </row>
    <row r="1176" spans="1:6">
      <c r="A1176" s="482"/>
      <c r="B1176" s="483"/>
      <c r="C1176" s="483"/>
      <c r="D1176" s="483"/>
      <c r="E1176" s="483"/>
      <c r="F1176" s="483"/>
    </row>
    <row r="1177" spans="1:6">
      <c r="A1177" s="482"/>
      <c r="B1177" s="483"/>
      <c r="C1177" s="483"/>
      <c r="D1177" s="483"/>
      <c r="E1177" s="483"/>
      <c r="F1177" s="483"/>
    </row>
    <row r="1178" spans="1:6">
      <c r="A1178" s="482"/>
      <c r="B1178" s="483"/>
      <c r="C1178" s="483"/>
      <c r="D1178" s="483"/>
      <c r="E1178" s="483"/>
      <c r="F1178" s="483"/>
    </row>
    <row r="1179" spans="1:6">
      <c r="A1179" s="482"/>
      <c r="B1179" s="483"/>
      <c r="C1179" s="483"/>
      <c r="D1179" s="483"/>
      <c r="E1179" s="483"/>
      <c r="F1179" s="483"/>
    </row>
    <row r="1180" spans="1:6">
      <c r="A1180" s="482"/>
      <c r="B1180" s="483"/>
      <c r="C1180" s="483"/>
      <c r="D1180" s="483"/>
      <c r="E1180" s="483"/>
      <c r="F1180" s="483"/>
    </row>
    <row r="1181" spans="1:6">
      <c r="A1181" s="482"/>
      <c r="B1181" s="483"/>
      <c r="C1181" s="483"/>
      <c r="D1181" s="483"/>
      <c r="E1181" s="483"/>
      <c r="F1181" s="483"/>
    </row>
    <row r="1182" spans="1:6">
      <c r="A1182" s="482"/>
      <c r="B1182" s="483"/>
      <c r="C1182" s="483"/>
      <c r="D1182" s="483"/>
      <c r="E1182" s="483"/>
      <c r="F1182" s="483"/>
    </row>
    <row r="1183" spans="1:6">
      <c r="A1183" s="482"/>
      <c r="B1183" s="483"/>
      <c r="C1183" s="483"/>
      <c r="D1183" s="483"/>
      <c r="E1183" s="483"/>
      <c r="F1183" s="483"/>
    </row>
    <row r="1184" spans="1:6">
      <c r="A1184" s="482"/>
      <c r="B1184" s="483"/>
      <c r="C1184" s="483"/>
      <c r="D1184" s="483"/>
      <c r="E1184" s="483"/>
      <c r="F1184" s="483"/>
    </row>
    <row r="1185" spans="1:6">
      <c r="A1185" s="482"/>
      <c r="B1185" s="483"/>
      <c r="C1185" s="483"/>
      <c r="D1185" s="483"/>
      <c r="E1185" s="483"/>
      <c r="F1185" s="483"/>
    </row>
    <row r="1186" spans="1:6">
      <c r="A1186" s="482"/>
      <c r="B1186" s="483"/>
      <c r="C1186" s="483"/>
      <c r="D1186" s="483"/>
      <c r="E1186" s="483"/>
      <c r="F1186" s="483"/>
    </row>
    <row r="1187" spans="1:6">
      <c r="A1187" s="482"/>
      <c r="B1187" s="483"/>
      <c r="C1187" s="483"/>
      <c r="D1187" s="483"/>
      <c r="E1187" s="483"/>
      <c r="F1187" s="483"/>
    </row>
    <row r="1188" spans="1:6">
      <c r="A1188" s="482"/>
      <c r="B1188" s="483"/>
      <c r="C1188" s="483"/>
      <c r="D1188" s="483"/>
      <c r="E1188" s="483"/>
      <c r="F1188" s="483"/>
    </row>
    <row r="1189" spans="1:6">
      <c r="A1189" s="482"/>
      <c r="B1189" s="483"/>
      <c r="C1189" s="483"/>
      <c r="D1189" s="483"/>
      <c r="E1189" s="483"/>
      <c r="F1189" s="483"/>
    </row>
    <row r="1190" spans="1:6">
      <c r="A1190" s="482"/>
      <c r="B1190" s="483"/>
      <c r="C1190" s="483"/>
      <c r="D1190" s="483"/>
      <c r="E1190" s="483"/>
      <c r="F1190" s="483"/>
    </row>
    <row r="1191" spans="1:6">
      <c r="A1191" s="482"/>
      <c r="B1191" s="483"/>
      <c r="C1191" s="483"/>
      <c r="D1191" s="483"/>
      <c r="E1191" s="483"/>
      <c r="F1191" s="483"/>
    </row>
    <row r="1192" spans="1:6">
      <c r="A1192" s="482"/>
      <c r="B1192" s="483"/>
      <c r="C1192" s="483"/>
      <c r="D1192" s="483"/>
      <c r="E1192" s="483"/>
      <c r="F1192" s="483"/>
    </row>
    <row r="1193" spans="1:6">
      <c r="A1193" s="482"/>
      <c r="B1193" s="483"/>
      <c r="C1193" s="483"/>
      <c r="D1193" s="483"/>
      <c r="E1193" s="483"/>
      <c r="F1193" s="483"/>
    </row>
    <row r="1194" spans="1:6">
      <c r="A1194" s="482"/>
      <c r="B1194" s="483"/>
      <c r="C1194" s="483"/>
      <c r="D1194" s="483"/>
      <c r="E1194" s="483"/>
      <c r="F1194" s="483"/>
    </row>
    <row r="1195" spans="1:6">
      <c r="A1195" s="482"/>
      <c r="B1195" s="483"/>
      <c r="C1195" s="483"/>
      <c r="D1195" s="483"/>
      <c r="E1195" s="483"/>
      <c r="F1195" s="483"/>
    </row>
    <row r="1196" spans="1:6">
      <c r="A1196" s="482"/>
      <c r="B1196" s="483"/>
      <c r="C1196" s="483"/>
      <c r="D1196" s="483"/>
      <c r="E1196" s="483"/>
      <c r="F1196" s="483"/>
    </row>
    <row r="1197" spans="1:6">
      <c r="A1197" s="482"/>
      <c r="B1197" s="483"/>
      <c r="C1197" s="483"/>
      <c r="D1197" s="483"/>
      <c r="E1197" s="483"/>
      <c r="F1197" s="483"/>
    </row>
    <row r="1198" spans="1:6">
      <c r="A1198" s="482"/>
      <c r="B1198" s="483"/>
      <c r="C1198" s="483"/>
      <c r="D1198" s="483"/>
      <c r="E1198" s="483"/>
      <c r="F1198" s="483"/>
    </row>
    <row r="1199" spans="1:6">
      <c r="A1199" s="482"/>
      <c r="B1199" s="483"/>
      <c r="C1199" s="483"/>
      <c r="D1199" s="483"/>
      <c r="E1199" s="483"/>
      <c r="F1199" s="483"/>
    </row>
    <row r="1200" spans="1:6">
      <c r="A1200" s="482"/>
      <c r="B1200" s="483"/>
      <c r="C1200" s="483"/>
      <c r="D1200" s="483"/>
      <c r="E1200" s="483"/>
      <c r="F1200" s="483"/>
    </row>
    <row r="1201" spans="1:6">
      <c r="A1201" s="482"/>
      <c r="B1201" s="483"/>
      <c r="C1201" s="483"/>
      <c r="D1201" s="483"/>
      <c r="E1201" s="483"/>
      <c r="F1201" s="483"/>
    </row>
    <row r="1202" spans="1:6">
      <c r="A1202" s="482"/>
      <c r="B1202" s="483"/>
      <c r="C1202" s="483"/>
      <c r="D1202" s="483"/>
      <c r="E1202" s="483"/>
      <c r="F1202" s="483"/>
    </row>
    <row r="1203" spans="1:6">
      <c r="A1203" s="482"/>
      <c r="B1203" s="483"/>
      <c r="C1203" s="483"/>
      <c r="D1203" s="483"/>
      <c r="E1203" s="483"/>
      <c r="F1203" s="483"/>
    </row>
    <row r="1204" spans="1:6">
      <c r="A1204" s="482"/>
      <c r="B1204" s="483"/>
      <c r="C1204" s="483"/>
      <c r="D1204" s="483"/>
      <c r="E1204" s="483"/>
      <c r="F1204" s="483"/>
    </row>
    <row r="1205" spans="1:6">
      <c r="A1205" s="482"/>
      <c r="B1205" s="483"/>
      <c r="C1205" s="483"/>
      <c r="D1205" s="483"/>
      <c r="E1205" s="483"/>
      <c r="F1205" s="483"/>
    </row>
    <row r="1206" spans="1:6">
      <c r="A1206" s="482"/>
      <c r="B1206" s="483"/>
      <c r="C1206" s="483"/>
      <c r="D1206" s="483"/>
      <c r="E1206" s="483"/>
      <c r="F1206" s="483"/>
    </row>
    <row r="1207" spans="1:6">
      <c r="A1207" s="482"/>
      <c r="B1207" s="483"/>
      <c r="C1207" s="483"/>
      <c r="D1207" s="483"/>
      <c r="E1207" s="483"/>
      <c r="F1207" s="483"/>
    </row>
    <row r="1208" spans="1:6">
      <c r="A1208" s="482"/>
      <c r="B1208" s="483"/>
      <c r="C1208" s="483"/>
      <c r="D1208" s="483"/>
      <c r="E1208" s="483"/>
      <c r="F1208" s="483"/>
    </row>
    <row r="1209" spans="1:6">
      <c r="A1209" s="482"/>
      <c r="B1209" s="483"/>
      <c r="C1209" s="483"/>
      <c r="D1209" s="483"/>
      <c r="E1209" s="483"/>
      <c r="F1209" s="483"/>
    </row>
    <row r="1210" spans="1:6">
      <c r="A1210" s="482"/>
      <c r="B1210" s="483"/>
      <c r="C1210" s="483"/>
      <c r="D1210" s="483"/>
      <c r="E1210" s="483"/>
      <c r="F1210" s="483"/>
    </row>
    <row r="1211" spans="1:6">
      <c r="A1211" s="482"/>
      <c r="B1211" s="483"/>
      <c r="C1211" s="483"/>
      <c r="D1211" s="483"/>
      <c r="E1211" s="483"/>
      <c r="F1211" s="483"/>
    </row>
    <row r="1212" spans="1:6">
      <c r="A1212" s="482"/>
      <c r="B1212" s="483"/>
      <c r="C1212" s="483"/>
      <c r="D1212" s="483"/>
      <c r="E1212" s="483"/>
      <c r="F1212" s="483"/>
    </row>
    <row r="1213" spans="1:6">
      <c r="A1213" s="482"/>
      <c r="B1213" s="483"/>
      <c r="C1213" s="483"/>
      <c r="D1213" s="483"/>
      <c r="E1213" s="483"/>
      <c r="F1213" s="483"/>
    </row>
    <row r="1214" spans="1:6">
      <c r="A1214" s="482"/>
      <c r="B1214" s="483"/>
      <c r="C1214" s="483"/>
      <c r="D1214" s="483"/>
      <c r="E1214" s="483"/>
      <c r="F1214" s="483"/>
    </row>
    <row r="1215" spans="1:6">
      <c r="A1215" s="482"/>
      <c r="B1215" s="483"/>
      <c r="C1215" s="483"/>
      <c r="D1215" s="483"/>
      <c r="E1215" s="483"/>
      <c r="F1215" s="483"/>
    </row>
    <row r="1216" spans="1:6">
      <c r="A1216" s="482"/>
      <c r="B1216" s="483"/>
      <c r="C1216" s="483"/>
      <c r="D1216" s="483"/>
      <c r="E1216" s="483"/>
      <c r="F1216" s="483"/>
    </row>
    <row r="1217" spans="1:6">
      <c r="A1217" s="482"/>
      <c r="B1217" s="483"/>
      <c r="C1217" s="483"/>
      <c r="D1217" s="483"/>
      <c r="E1217" s="483"/>
      <c r="F1217" s="483"/>
    </row>
    <row r="1218" spans="1:6">
      <c r="A1218" s="482"/>
      <c r="B1218" s="483"/>
      <c r="C1218" s="483"/>
      <c r="D1218" s="483"/>
      <c r="E1218" s="483"/>
      <c r="F1218" s="483"/>
    </row>
    <row r="1219" spans="1:6">
      <c r="A1219" s="482"/>
      <c r="B1219" s="483"/>
      <c r="C1219" s="483"/>
      <c r="D1219" s="483"/>
      <c r="E1219" s="483"/>
      <c r="F1219" s="483"/>
    </row>
    <row r="1220" spans="1:6">
      <c r="A1220" s="482"/>
      <c r="B1220" s="483"/>
      <c r="C1220" s="483"/>
      <c r="D1220" s="483"/>
      <c r="E1220" s="483"/>
      <c r="F1220" s="483"/>
    </row>
    <row r="1221" spans="1:6">
      <c r="A1221" s="482"/>
      <c r="B1221" s="483"/>
      <c r="C1221" s="483"/>
      <c r="D1221" s="483"/>
      <c r="E1221" s="483"/>
      <c r="F1221" s="483"/>
    </row>
    <row r="1222" spans="1:6">
      <c r="A1222" s="482"/>
      <c r="B1222" s="483"/>
      <c r="C1222" s="483"/>
      <c r="D1222" s="483"/>
      <c r="E1222" s="483"/>
      <c r="F1222" s="483"/>
    </row>
    <row r="1223" spans="1:6">
      <c r="A1223" s="482"/>
      <c r="B1223" s="483"/>
      <c r="C1223" s="483"/>
      <c r="D1223" s="483"/>
      <c r="E1223" s="483"/>
      <c r="F1223" s="483"/>
    </row>
    <row r="1224" spans="1:6">
      <c r="A1224" s="482"/>
      <c r="B1224" s="483"/>
      <c r="C1224" s="483"/>
      <c r="D1224" s="483"/>
      <c r="E1224" s="483"/>
      <c r="F1224" s="483"/>
    </row>
    <row r="1225" spans="1:6">
      <c r="A1225" s="482"/>
      <c r="B1225" s="483"/>
      <c r="C1225" s="483"/>
      <c r="D1225" s="483"/>
      <c r="E1225" s="483"/>
      <c r="F1225" s="483"/>
    </row>
    <row r="1226" spans="1:6">
      <c r="A1226" s="482"/>
      <c r="B1226" s="483"/>
      <c r="C1226" s="483"/>
      <c r="D1226" s="483"/>
      <c r="E1226" s="483"/>
      <c r="F1226" s="483"/>
    </row>
    <row r="1227" spans="1:6">
      <c r="A1227" s="482"/>
      <c r="B1227" s="483"/>
      <c r="C1227" s="483"/>
      <c r="D1227" s="483"/>
      <c r="E1227" s="483"/>
      <c r="F1227" s="483"/>
    </row>
    <row r="1228" spans="1:6">
      <c r="A1228" s="482"/>
      <c r="B1228" s="483"/>
      <c r="C1228" s="483"/>
      <c r="D1228" s="483"/>
      <c r="E1228" s="483"/>
      <c r="F1228" s="483"/>
    </row>
    <row r="1229" spans="1:6">
      <c r="A1229" s="482"/>
      <c r="B1229" s="483"/>
      <c r="C1229" s="483"/>
      <c r="D1229" s="483"/>
      <c r="E1229" s="483"/>
      <c r="F1229" s="483"/>
    </row>
    <row r="1230" spans="1:6">
      <c r="A1230" s="482"/>
      <c r="B1230" s="483"/>
      <c r="C1230" s="483"/>
      <c r="D1230" s="483"/>
      <c r="E1230" s="483"/>
      <c r="F1230" s="483"/>
    </row>
    <row r="1231" spans="1:6">
      <c r="A1231" s="482"/>
      <c r="B1231" s="483"/>
      <c r="C1231" s="483"/>
      <c r="D1231" s="483"/>
      <c r="E1231" s="483"/>
      <c r="F1231" s="483"/>
    </row>
    <row r="1232" spans="1:6">
      <c r="A1232" s="482"/>
      <c r="B1232" s="483"/>
      <c r="C1232" s="483"/>
      <c r="D1232" s="483"/>
      <c r="E1232" s="483"/>
      <c r="F1232" s="483"/>
    </row>
    <row r="1233" spans="1:6">
      <c r="A1233" s="482"/>
      <c r="B1233" s="483"/>
      <c r="C1233" s="483"/>
      <c r="D1233" s="483"/>
      <c r="E1233" s="483"/>
      <c r="F1233" s="483"/>
    </row>
    <row r="1234" spans="1:6">
      <c r="A1234" s="482"/>
      <c r="B1234" s="483"/>
      <c r="C1234" s="483"/>
      <c r="D1234" s="483"/>
      <c r="E1234" s="483"/>
      <c r="F1234" s="483"/>
    </row>
    <row r="1235" spans="1:6">
      <c r="A1235" s="482"/>
      <c r="B1235" s="483"/>
      <c r="C1235" s="483"/>
      <c r="D1235" s="483"/>
      <c r="E1235" s="483"/>
      <c r="F1235" s="483"/>
    </row>
    <row r="1236" spans="1:6">
      <c r="A1236" s="482"/>
      <c r="B1236" s="483"/>
      <c r="C1236" s="483"/>
      <c r="D1236" s="483"/>
      <c r="E1236" s="483"/>
      <c r="F1236" s="483"/>
    </row>
    <row r="1237" spans="1:6">
      <c r="A1237" s="482"/>
      <c r="B1237" s="483"/>
      <c r="C1237" s="483"/>
      <c r="D1237" s="483"/>
      <c r="E1237" s="483"/>
      <c r="F1237" s="483"/>
    </row>
    <row r="1238" spans="1:6">
      <c r="A1238" s="482"/>
      <c r="B1238" s="483"/>
      <c r="C1238" s="483"/>
      <c r="D1238" s="483"/>
      <c r="E1238" s="483"/>
      <c r="F1238" s="483"/>
    </row>
    <row r="1239" spans="1:6">
      <c r="A1239" s="482"/>
      <c r="B1239" s="483"/>
      <c r="C1239" s="483"/>
      <c r="D1239" s="483"/>
      <c r="E1239" s="483"/>
      <c r="F1239" s="483"/>
    </row>
    <row r="1240" spans="1:6">
      <c r="A1240" s="482"/>
      <c r="B1240" s="483"/>
      <c r="C1240" s="483"/>
      <c r="D1240" s="483"/>
      <c r="E1240" s="483"/>
      <c r="F1240" s="483"/>
    </row>
    <row r="1241" spans="1:6">
      <c r="A1241" s="482"/>
      <c r="B1241" s="483"/>
      <c r="C1241" s="483"/>
      <c r="D1241" s="483"/>
      <c r="E1241" s="483"/>
      <c r="F1241" s="483"/>
    </row>
    <row r="1242" spans="1:6">
      <c r="A1242" s="482"/>
      <c r="B1242" s="483"/>
      <c r="C1242" s="483"/>
      <c r="D1242" s="483"/>
      <c r="E1242" s="483"/>
      <c r="F1242" s="483"/>
    </row>
    <row r="1243" spans="1:6">
      <c r="A1243" s="482"/>
      <c r="B1243" s="483"/>
      <c r="C1243" s="483"/>
      <c r="D1243" s="483"/>
      <c r="E1243" s="483"/>
      <c r="F1243" s="483"/>
    </row>
    <row r="1244" spans="1:6">
      <c r="A1244" s="482"/>
      <c r="B1244" s="483"/>
      <c r="C1244" s="483"/>
      <c r="D1244" s="483"/>
      <c r="E1244" s="483"/>
      <c r="F1244" s="483"/>
    </row>
    <row r="1245" spans="1:6">
      <c r="A1245" s="482"/>
      <c r="B1245" s="483"/>
      <c r="C1245" s="483"/>
      <c r="D1245" s="483"/>
      <c r="E1245" s="483"/>
      <c r="F1245" s="483"/>
    </row>
    <row r="1246" spans="1:6">
      <c r="A1246" s="482"/>
      <c r="B1246" s="483"/>
      <c r="C1246" s="483"/>
      <c r="D1246" s="483"/>
      <c r="E1246" s="483"/>
      <c r="F1246" s="483"/>
    </row>
    <row r="1247" spans="1:6">
      <c r="A1247" s="482"/>
      <c r="B1247" s="483"/>
      <c r="C1247" s="483"/>
      <c r="D1247" s="483"/>
      <c r="E1247" s="483"/>
      <c r="F1247" s="483"/>
    </row>
    <row r="1248" spans="1:6">
      <c r="A1248" s="482"/>
      <c r="B1248" s="483"/>
      <c r="C1248" s="483"/>
      <c r="D1248" s="483"/>
      <c r="E1248" s="483"/>
      <c r="F1248" s="483"/>
    </row>
    <row r="1249" spans="1:6">
      <c r="A1249" s="482"/>
      <c r="B1249" s="483"/>
      <c r="C1249" s="483"/>
      <c r="D1249" s="483"/>
      <c r="E1249" s="483"/>
      <c r="F1249" s="483"/>
    </row>
    <row r="1250" spans="1:6">
      <c r="A1250" s="482"/>
      <c r="B1250" s="483"/>
      <c r="C1250" s="483"/>
      <c r="D1250" s="483"/>
      <c r="E1250" s="483"/>
      <c r="F1250" s="483"/>
    </row>
    <row r="1251" spans="1:6">
      <c r="A1251" s="482"/>
      <c r="B1251" s="483"/>
      <c r="C1251" s="483"/>
      <c r="D1251" s="483"/>
      <c r="E1251" s="483"/>
      <c r="F1251" s="483"/>
    </row>
    <row r="1252" spans="1:6">
      <c r="A1252" s="482"/>
      <c r="B1252" s="483"/>
      <c r="C1252" s="483"/>
      <c r="D1252" s="483"/>
      <c r="E1252" s="483"/>
      <c r="F1252" s="483"/>
    </row>
    <row r="1253" spans="1:6">
      <c r="A1253" s="482"/>
      <c r="B1253" s="483"/>
      <c r="C1253" s="483"/>
      <c r="D1253" s="483"/>
      <c r="E1253" s="483"/>
      <c r="F1253" s="483"/>
    </row>
    <row r="1254" spans="1:6">
      <c r="A1254" s="482"/>
      <c r="B1254" s="483"/>
      <c r="C1254" s="483"/>
      <c r="D1254" s="483"/>
      <c r="E1254" s="483"/>
      <c r="F1254" s="483"/>
    </row>
    <row r="1255" spans="1:6">
      <c r="A1255" s="482"/>
      <c r="B1255" s="483"/>
      <c r="C1255" s="483"/>
      <c r="D1255" s="483"/>
      <c r="E1255" s="483"/>
      <c r="F1255" s="483"/>
    </row>
    <row r="1256" spans="1:6">
      <c r="A1256" s="482"/>
      <c r="B1256" s="483"/>
      <c r="C1256" s="483"/>
      <c r="D1256" s="483"/>
      <c r="E1256" s="483"/>
      <c r="F1256" s="483"/>
    </row>
    <row r="1257" spans="1:6">
      <c r="A1257" s="482"/>
      <c r="B1257" s="483"/>
      <c r="C1257" s="483"/>
      <c r="D1257" s="483"/>
      <c r="E1257" s="483"/>
      <c r="F1257" s="483"/>
    </row>
    <row r="1258" spans="1:6">
      <c r="A1258" s="482"/>
      <c r="B1258" s="483"/>
      <c r="C1258" s="483"/>
      <c r="D1258" s="483"/>
      <c r="E1258" s="483"/>
      <c r="F1258" s="483"/>
    </row>
    <row r="1259" spans="1:6">
      <c r="A1259" s="482"/>
      <c r="B1259" s="483"/>
      <c r="C1259" s="483"/>
      <c r="D1259" s="483"/>
      <c r="E1259" s="483"/>
      <c r="F1259" s="483"/>
    </row>
    <row r="1260" spans="1:6">
      <c r="A1260" s="482"/>
      <c r="B1260" s="483"/>
      <c r="C1260" s="483"/>
      <c r="D1260" s="483"/>
      <c r="E1260" s="483"/>
      <c r="F1260" s="483"/>
    </row>
    <row r="1261" spans="1:6">
      <c r="A1261" s="482"/>
      <c r="B1261" s="483"/>
      <c r="C1261" s="483"/>
      <c r="D1261" s="483"/>
      <c r="E1261" s="483"/>
      <c r="F1261" s="483"/>
    </row>
    <row r="1262" spans="1:6">
      <c r="A1262" s="482"/>
      <c r="B1262" s="483"/>
      <c r="C1262" s="483"/>
      <c r="D1262" s="483"/>
      <c r="E1262" s="483"/>
      <c r="F1262" s="483"/>
    </row>
    <row r="1263" spans="1:6">
      <c r="A1263" s="482"/>
      <c r="B1263" s="483"/>
      <c r="C1263" s="483"/>
      <c r="D1263" s="483"/>
      <c r="E1263" s="483"/>
      <c r="F1263" s="483"/>
    </row>
    <row r="1264" spans="1:6">
      <c r="A1264" s="482"/>
      <c r="B1264" s="483"/>
      <c r="C1264" s="483"/>
      <c r="D1264" s="483"/>
      <c r="E1264" s="483"/>
      <c r="F1264" s="483"/>
    </row>
    <row r="1265" spans="1:6">
      <c r="A1265" s="482"/>
      <c r="B1265" s="483"/>
      <c r="C1265" s="483"/>
      <c r="D1265" s="483"/>
      <c r="E1265" s="483"/>
      <c r="F1265" s="483"/>
    </row>
    <row r="1266" spans="1:6">
      <c r="A1266" s="482"/>
      <c r="B1266" s="483"/>
      <c r="C1266" s="483"/>
      <c r="D1266" s="483"/>
      <c r="E1266" s="483"/>
      <c r="F1266" s="483"/>
    </row>
    <row r="1267" spans="1:6">
      <c r="A1267" s="482"/>
      <c r="B1267" s="483"/>
      <c r="C1267" s="483"/>
      <c r="D1267" s="483"/>
      <c r="E1267" s="483"/>
      <c r="F1267" s="483"/>
    </row>
    <row r="1268" spans="1:6">
      <c r="A1268" s="482"/>
      <c r="B1268" s="483"/>
      <c r="C1268" s="483"/>
      <c r="D1268" s="483"/>
      <c r="E1268" s="483"/>
      <c r="F1268" s="483"/>
    </row>
    <row r="1269" spans="1:6">
      <c r="A1269" s="482"/>
      <c r="B1269" s="483"/>
      <c r="C1269" s="483"/>
      <c r="D1269" s="483"/>
      <c r="E1269" s="483"/>
      <c r="F1269" s="483"/>
    </row>
    <row r="1270" spans="1:6">
      <c r="A1270" s="482"/>
      <c r="B1270" s="483"/>
      <c r="C1270" s="483"/>
      <c r="D1270" s="483"/>
      <c r="E1270" s="483"/>
      <c r="F1270" s="483"/>
    </row>
    <row r="1271" spans="1:6">
      <c r="A1271" s="482"/>
      <c r="B1271" s="483"/>
      <c r="C1271" s="483"/>
      <c r="D1271" s="483"/>
      <c r="E1271" s="483"/>
      <c r="F1271" s="483"/>
    </row>
    <row r="1272" spans="1:6">
      <c r="A1272" s="482"/>
      <c r="B1272" s="483"/>
      <c r="C1272" s="483"/>
      <c r="D1272" s="483"/>
      <c r="E1272" s="483"/>
      <c r="F1272" s="483"/>
    </row>
    <row r="1273" spans="1:6">
      <c r="A1273" s="482"/>
      <c r="B1273" s="483"/>
      <c r="C1273" s="483"/>
      <c r="D1273" s="483"/>
      <c r="E1273" s="483"/>
      <c r="F1273" s="483"/>
    </row>
    <row r="1274" spans="1:6">
      <c r="A1274" s="482"/>
      <c r="B1274" s="483"/>
      <c r="C1274" s="483"/>
      <c r="D1274" s="483"/>
      <c r="E1274" s="483"/>
      <c r="F1274" s="483"/>
    </row>
    <row r="1275" spans="1:6">
      <c r="A1275" s="482"/>
      <c r="B1275" s="483"/>
      <c r="C1275" s="483"/>
      <c r="D1275" s="483"/>
      <c r="E1275" s="483"/>
      <c r="F1275" s="483"/>
    </row>
    <row r="1276" spans="1:6">
      <c r="A1276" s="482"/>
      <c r="B1276" s="483"/>
      <c r="C1276" s="483"/>
      <c r="D1276" s="483"/>
      <c r="E1276" s="483"/>
      <c r="F1276" s="483"/>
    </row>
    <row r="1277" spans="1:6">
      <c r="A1277" s="482"/>
      <c r="B1277" s="483"/>
      <c r="C1277" s="483"/>
      <c r="D1277" s="483"/>
      <c r="E1277" s="483"/>
      <c r="F1277" s="483"/>
    </row>
    <row r="1278" spans="1:6">
      <c r="A1278" s="482"/>
      <c r="B1278" s="483"/>
      <c r="C1278" s="483"/>
      <c r="D1278" s="483"/>
      <c r="E1278" s="483"/>
      <c r="F1278" s="483"/>
    </row>
    <row r="1279" spans="1:6">
      <c r="A1279" s="482"/>
      <c r="B1279" s="483"/>
      <c r="C1279" s="483"/>
      <c r="D1279" s="483"/>
      <c r="E1279" s="483"/>
      <c r="F1279" s="483"/>
    </row>
    <row r="1280" spans="1:6">
      <c r="A1280" s="482"/>
      <c r="B1280" s="483"/>
      <c r="C1280" s="483"/>
      <c r="D1280" s="483"/>
      <c r="E1280" s="483"/>
      <c r="F1280" s="483"/>
    </row>
    <row r="1281" spans="1:6">
      <c r="A1281" s="482"/>
      <c r="B1281" s="483"/>
      <c r="C1281" s="483"/>
      <c r="D1281" s="483"/>
      <c r="E1281" s="483"/>
      <c r="F1281" s="483"/>
    </row>
    <row r="1282" spans="1:6">
      <c r="A1282" s="482"/>
      <c r="B1282" s="483"/>
      <c r="C1282" s="483"/>
      <c r="D1282" s="483"/>
      <c r="E1282" s="483"/>
      <c r="F1282" s="483"/>
    </row>
    <row r="1283" spans="1:6">
      <c r="A1283" s="482"/>
      <c r="B1283" s="483"/>
      <c r="C1283" s="483"/>
      <c r="D1283" s="483"/>
      <c r="E1283" s="483"/>
      <c r="F1283" s="483"/>
    </row>
    <row r="1284" spans="1:6">
      <c r="A1284" s="482"/>
      <c r="B1284" s="483"/>
      <c r="C1284" s="483"/>
      <c r="D1284" s="483"/>
      <c r="E1284" s="483"/>
      <c r="F1284" s="483"/>
    </row>
    <row r="1285" spans="1:6">
      <c r="A1285" s="482"/>
      <c r="B1285" s="483"/>
      <c r="C1285" s="483"/>
      <c r="D1285" s="483"/>
      <c r="E1285" s="483"/>
      <c r="F1285" s="483"/>
    </row>
    <row r="1286" spans="1:6">
      <c r="A1286" s="482"/>
      <c r="B1286" s="483"/>
      <c r="C1286" s="483"/>
      <c r="D1286" s="483"/>
      <c r="E1286" s="483"/>
      <c r="F1286" s="483"/>
    </row>
    <row r="1287" spans="1:6">
      <c r="A1287" s="482"/>
      <c r="B1287" s="483"/>
      <c r="C1287" s="483"/>
      <c r="D1287" s="483"/>
      <c r="E1287" s="483"/>
      <c r="F1287" s="483"/>
    </row>
    <row r="1288" spans="1:6">
      <c r="A1288" s="482"/>
      <c r="B1288" s="483"/>
      <c r="C1288" s="483"/>
      <c r="D1288" s="483"/>
      <c r="E1288" s="483"/>
      <c r="F1288" s="483"/>
    </row>
    <row r="1289" spans="1:6">
      <c r="A1289" s="482"/>
      <c r="B1289" s="483"/>
      <c r="C1289" s="483"/>
      <c r="D1289" s="483"/>
      <c r="E1289" s="483"/>
      <c r="F1289" s="483"/>
    </row>
    <row r="1290" spans="1:6">
      <c r="A1290" s="482"/>
      <c r="B1290" s="483"/>
      <c r="C1290" s="483"/>
      <c r="D1290" s="483"/>
      <c r="E1290" s="483"/>
      <c r="F1290" s="483"/>
    </row>
    <row r="1291" spans="1:6">
      <c r="A1291" s="482"/>
      <c r="B1291" s="483"/>
      <c r="C1291" s="483"/>
      <c r="D1291" s="483"/>
      <c r="E1291" s="483"/>
      <c r="F1291" s="483"/>
    </row>
    <row r="1292" spans="1:6">
      <c r="A1292" s="482"/>
      <c r="B1292" s="483"/>
      <c r="C1292" s="483"/>
      <c r="D1292" s="483"/>
      <c r="E1292" s="483"/>
      <c r="F1292" s="483"/>
    </row>
    <row r="1293" spans="1:6">
      <c r="A1293" s="482"/>
      <c r="B1293" s="483"/>
      <c r="C1293" s="483"/>
      <c r="D1293" s="483"/>
      <c r="E1293" s="483"/>
      <c r="F1293" s="483"/>
    </row>
    <row r="1294" spans="1:6">
      <c r="A1294" s="482"/>
      <c r="B1294" s="483"/>
      <c r="C1294" s="483"/>
      <c r="D1294" s="483"/>
      <c r="E1294" s="483"/>
      <c r="F1294" s="483"/>
    </row>
    <row r="1295" spans="1:6">
      <c r="A1295" s="482"/>
      <c r="B1295" s="483"/>
      <c r="C1295" s="483"/>
      <c r="D1295" s="483"/>
      <c r="E1295" s="483"/>
      <c r="F1295" s="483"/>
    </row>
    <row r="1296" spans="1:6">
      <c r="A1296" s="482"/>
      <c r="B1296" s="483"/>
      <c r="C1296" s="483"/>
      <c r="D1296" s="483"/>
      <c r="E1296" s="483"/>
      <c r="F1296" s="483"/>
    </row>
    <row r="1297" spans="1:6">
      <c r="A1297" s="482"/>
      <c r="B1297" s="483"/>
      <c r="C1297" s="483"/>
      <c r="D1297" s="483"/>
      <c r="E1297" s="483"/>
      <c r="F1297" s="483"/>
    </row>
    <row r="1298" spans="1:6">
      <c r="A1298" s="482"/>
      <c r="B1298" s="483"/>
      <c r="C1298" s="483"/>
      <c r="D1298" s="483"/>
      <c r="E1298" s="483"/>
      <c r="F1298" s="483"/>
    </row>
    <row r="1299" spans="1:6">
      <c r="A1299" s="482"/>
      <c r="B1299" s="483"/>
      <c r="C1299" s="483"/>
      <c r="D1299" s="483"/>
      <c r="E1299" s="483"/>
      <c r="F1299" s="483"/>
    </row>
    <row r="1300" spans="1:6">
      <c r="A1300" s="482"/>
      <c r="B1300" s="483"/>
      <c r="C1300" s="483"/>
      <c r="D1300" s="483"/>
      <c r="E1300" s="483"/>
      <c r="F1300" s="483"/>
    </row>
    <row r="1301" spans="1:6">
      <c r="A1301" s="482"/>
      <c r="B1301" s="483"/>
      <c r="C1301" s="483"/>
      <c r="D1301" s="483"/>
      <c r="E1301" s="483"/>
      <c r="F1301" s="483"/>
    </row>
    <row r="1302" spans="1:6">
      <c r="A1302" s="482"/>
      <c r="B1302" s="483"/>
      <c r="C1302" s="483"/>
      <c r="D1302" s="483"/>
      <c r="E1302" s="483"/>
      <c r="F1302" s="483"/>
    </row>
    <row r="1303" spans="1:6">
      <c r="A1303" s="482"/>
      <c r="B1303" s="483"/>
      <c r="C1303" s="483"/>
      <c r="D1303" s="483"/>
      <c r="E1303" s="483"/>
      <c r="F1303" s="483"/>
    </row>
    <row r="1304" spans="1:6">
      <c r="A1304" s="482"/>
      <c r="B1304" s="483"/>
      <c r="C1304" s="483"/>
      <c r="D1304" s="483"/>
      <c r="E1304" s="483"/>
      <c r="F1304" s="483"/>
    </row>
    <row r="1305" spans="1:6">
      <c r="A1305" s="482"/>
      <c r="B1305" s="483"/>
      <c r="C1305" s="483"/>
      <c r="D1305" s="483"/>
      <c r="E1305" s="483"/>
      <c r="F1305" s="483"/>
    </row>
    <row r="1306" spans="1:6">
      <c r="A1306" s="482"/>
      <c r="B1306" s="483"/>
      <c r="C1306" s="483"/>
      <c r="D1306" s="483"/>
      <c r="E1306" s="483"/>
      <c r="F1306" s="483"/>
    </row>
    <row r="1307" spans="1:6">
      <c r="A1307" s="482"/>
      <c r="B1307" s="483"/>
      <c r="C1307" s="483"/>
      <c r="D1307" s="483"/>
      <c r="E1307" s="483"/>
      <c r="F1307" s="483"/>
    </row>
    <row r="1308" spans="1:6">
      <c r="A1308" s="482"/>
      <c r="B1308" s="483"/>
      <c r="C1308" s="483"/>
      <c r="D1308" s="483"/>
      <c r="E1308" s="483"/>
      <c r="F1308" s="483"/>
    </row>
    <row r="1309" spans="1:6">
      <c r="A1309" s="482"/>
      <c r="B1309" s="483"/>
      <c r="C1309" s="483"/>
      <c r="D1309" s="483"/>
      <c r="E1309" s="483"/>
      <c r="F1309" s="483"/>
    </row>
    <row r="1310" spans="1:6">
      <c r="A1310" s="482"/>
      <c r="B1310" s="483"/>
      <c r="C1310" s="483"/>
      <c r="D1310" s="483"/>
      <c r="E1310" s="483"/>
      <c r="F1310" s="483"/>
    </row>
    <row r="1311" spans="1:6">
      <c r="A1311" s="482"/>
      <c r="B1311" s="483"/>
      <c r="C1311" s="483"/>
      <c r="D1311" s="483"/>
      <c r="E1311" s="483"/>
      <c r="F1311" s="483"/>
    </row>
    <row r="1312" spans="1:6">
      <c r="A1312" s="482"/>
      <c r="B1312" s="483"/>
      <c r="C1312" s="483"/>
      <c r="D1312" s="483"/>
      <c r="E1312" s="483"/>
      <c r="F1312" s="483"/>
    </row>
    <row r="1313" spans="1:6">
      <c r="A1313" s="482"/>
      <c r="B1313" s="483"/>
      <c r="C1313" s="483"/>
      <c r="D1313" s="483"/>
      <c r="E1313" s="483"/>
      <c r="F1313" s="483"/>
    </row>
    <row r="1314" spans="1:6">
      <c r="A1314" s="482"/>
      <c r="B1314" s="483"/>
      <c r="C1314" s="483"/>
      <c r="D1314" s="483"/>
      <c r="E1314" s="483"/>
      <c r="F1314" s="483"/>
    </row>
    <row r="1315" spans="1:6">
      <c r="A1315" s="482"/>
      <c r="B1315" s="483"/>
      <c r="C1315" s="483"/>
      <c r="D1315" s="483"/>
      <c r="E1315" s="483"/>
      <c r="F1315" s="483"/>
    </row>
    <row r="1316" spans="1:6">
      <c r="A1316" s="482"/>
      <c r="B1316" s="483"/>
      <c r="C1316" s="483"/>
      <c r="D1316" s="483"/>
      <c r="E1316" s="483"/>
      <c r="F1316" s="483"/>
    </row>
    <row r="1317" spans="1:6">
      <c r="A1317" s="482"/>
      <c r="B1317" s="483"/>
      <c r="C1317" s="483"/>
      <c r="D1317" s="483"/>
      <c r="E1317" s="483"/>
      <c r="F1317" s="483"/>
    </row>
    <row r="1318" spans="1:6">
      <c r="A1318" s="482"/>
      <c r="B1318" s="483"/>
      <c r="C1318" s="483"/>
      <c r="D1318" s="483"/>
      <c r="E1318" s="483"/>
      <c r="F1318" s="483"/>
    </row>
    <row r="1319" spans="1:6">
      <c r="A1319" s="482"/>
      <c r="B1319" s="483"/>
      <c r="C1319" s="483"/>
      <c r="D1319" s="483"/>
      <c r="E1319" s="483"/>
      <c r="F1319" s="483"/>
    </row>
    <row r="1320" spans="1:6">
      <c r="A1320" s="482"/>
      <c r="B1320" s="483"/>
      <c r="C1320" s="483"/>
      <c r="D1320" s="483"/>
      <c r="E1320" s="483"/>
      <c r="F1320" s="483"/>
    </row>
    <row r="1321" spans="1:6">
      <c r="A1321" s="482"/>
      <c r="B1321" s="483"/>
      <c r="C1321" s="483"/>
      <c r="D1321" s="483"/>
      <c r="E1321" s="483"/>
      <c r="F1321" s="483"/>
    </row>
    <row r="1322" spans="1:6">
      <c r="A1322" s="482"/>
      <c r="B1322" s="483"/>
      <c r="C1322" s="483"/>
      <c r="D1322" s="483"/>
      <c r="E1322" s="483"/>
      <c r="F1322" s="483"/>
    </row>
    <row r="1323" spans="1:6">
      <c r="A1323" s="482"/>
      <c r="B1323" s="483"/>
      <c r="C1323" s="483"/>
      <c r="D1323" s="483"/>
      <c r="E1323" s="483"/>
      <c r="F1323" s="483"/>
    </row>
    <row r="1324" spans="1:6">
      <c r="A1324" s="482"/>
      <c r="B1324" s="483"/>
      <c r="C1324" s="483"/>
      <c r="D1324" s="483"/>
      <c r="E1324" s="483"/>
      <c r="F1324" s="483"/>
    </row>
    <row r="1325" spans="1:6">
      <c r="A1325" s="482"/>
      <c r="B1325" s="483"/>
      <c r="C1325" s="483"/>
      <c r="D1325" s="483"/>
      <c r="E1325" s="483"/>
      <c r="F1325" s="483"/>
    </row>
    <row r="1326" spans="1:6">
      <c r="A1326" s="482"/>
      <c r="B1326" s="483"/>
      <c r="C1326" s="483"/>
      <c r="D1326" s="483"/>
      <c r="E1326" s="483"/>
      <c r="F1326" s="483"/>
    </row>
    <row r="1327" spans="1:6">
      <c r="A1327" s="482"/>
      <c r="B1327" s="483"/>
      <c r="C1327" s="483"/>
      <c r="D1327" s="483"/>
      <c r="E1327" s="483"/>
      <c r="F1327" s="483"/>
    </row>
    <row r="1328" spans="1:6">
      <c r="A1328" s="482"/>
      <c r="B1328" s="483"/>
      <c r="C1328" s="483"/>
      <c r="D1328" s="483"/>
      <c r="E1328" s="483"/>
      <c r="F1328" s="483"/>
    </row>
    <row r="1329" spans="1:6">
      <c r="A1329" s="482"/>
      <c r="B1329" s="483"/>
      <c r="C1329" s="483"/>
      <c r="D1329" s="483"/>
      <c r="E1329" s="483"/>
      <c r="F1329" s="483"/>
    </row>
    <row r="1330" spans="1:6">
      <c r="A1330" s="482"/>
      <c r="B1330" s="483"/>
      <c r="C1330" s="483"/>
      <c r="D1330" s="483"/>
      <c r="E1330" s="483"/>
      <c r="F1330" s="483"/>
    </row>
    <row r="1331" spans="1:6">
      <c r="A1331" s="482"/>
      <c r="B1331" s="483"/>
      <c r="C1331" s="483"/>
      <c r="D1331" s="483"/>
      <c r="E1331" s="483"/>
      <c r="F1331" s="483"/>
    </row>
    <row r="1332" spans="1:6">
      <c r="A1332" s="482"/>
      <c r="B1332" s="483"/>
      <c r="C1332" s="483"/>
      <c r="D1332" s="483"/>
      <c r="E1332" s="483"/>
      <c r="F1332" s="483"/>
    </row>
    <row r="1333" spans="1:6">
      <c r="A1333" s="482"/>
      <c r="B1333" s="483"/>
      <c r="C1333" s="483"/>
      <c r="D1333" s="483"/>
      <c r="E1333" s="483"/>
      <c r="F1333" s="483"/>
    </row>
    <row r="1334" spans="1:6">
      <c r="A1334" s="482"/>
      <c r="B1334" s="483"/>
      <c r="C1334" s="483"/>
      <c r="D1334" s="483"/>
      <c r="E1334" s="483"/>
      <c r="F1334" s="483"/>
    </row>
    <row r="1335" spans="1:6">
      <c r="A1335" s="482"/>
      <c r="B1335" s="483"/>
      <c r="C1335" s="483"/>
      <c r="D1335" s="483"/>
      <c r="E1335" s="483"/>
      <c r="F1335" s="483"/>
    </row>
    <row r="1336" spans="1:6">
      <c r="A1336" s="482"/>
      <c r="B1336" s="483"/>
      <c r="C1336" s="483"/>
      <c r="D1336" s="483"/>
      <c r="E1336" s="483"/>
      <c r="F1336" s="483"/>
    </row>
    <row r="1337" spans="1:6">
      <c r="A1337" s="482"/>
      <c r="B1337" s="483"/>
      <c r="C1337" s="483"/>
      <c r="D1337" s="483"/>
      <c r="E1337" s="483"/>
      <c r="F1337" s="483"/>
    </row>
    <row r="1338" spans="1:6">
      <c r="A1338" s="482"/>
      <c r="B1338" s="483"/>
      <c r="C1338" s="483"/>
      <c r="D1338" s="483"/>
      <c r="E1338" s="483"/>
      <c r="F1338" s="483"/>
    </row>
    <row r="1339" spans="1:6">
      <c r="A1339" s="482"/>
      <c r="B1339" s="483"/>
      <c r="C1339" s="483"/>
      <c r="D1339" s="483"/>
      <c r="E1339" s="483"/>
      <c r="F1339" s="483"/>
    </row>
    <row r="1340" spans="1:6">
      <c r="A1340" s="482"/>
      <c r="B1340" s="483"/>
      <c r="C1340" s="483"/>
      <c r="D1340" s="483"/>
      <c r="E1340" s="483"/>
      <c r="F1340" s="483"/>
    </row>
    <row r="1341" spans="1:6">
      <c r="A1341" s="482"/>
      <c r="B1341" s="483"/>
      <c r="C1341" s="483"/>
      <c r="D1341" s="483"/>
      <c r="E1341" s="483"/>
      <c r="F1341" s="483"/>
    </row>
    <row r="1342" spans="1:6">
      <c r="A1342" s="482"/>
      <c r="B1342" s="483"/>
      <c r="C1342" s="483"/>
      <c r="D1342" s="483"/>
      <c r="E1342" s="483"/>
      <c r="F1342" s="483"/>
    </row>
    <row r="1343" spans="1:6">
      <c r="A1343" s="482"/>
      <c r="B1343" s="483"/>
      <c r="C1343" s="483"/>
      <c r="D1343" s="483"/>
      <c r="E1343" s="483"/>
      <c r="F1343" s="483"/>
    </row>
    <row r="1344" spans="1:6">
      <c r="A1344" s="482"/>
      <c r="B1344" s="483"/>
      <c r="C1344" s="483"/>
      <c r="D1344" s="483"/>
      <c r="E1344" s="483"/>
      <c r="F1344" s="483"/>
    </row>
    <row r="1345" spans="1:6">
      <c r="A1345" s="482"/>
      <c r="B1345" s="483"/>
      <c r="C1345" s="483"/>
      <c r="D1345" s="483"/>
      <c r="E1345" s="483"/>
      <c r="F1345" s="483"/>
    </row>
    <row r="1346" spans="1:6">
      <c r="A1346" s="482"/>
      <c r="B1346" s="483"/>
      <c r="C1346" s="483"/>
      <c r="D1346" s="483"/>
      <c r="E1346" s="483"/>
      <c r="F1346" s="483"/>
    </row>
    <row r="1347" spans="1:6">
      <c r="A1347" s="482"/>
      <c r="B1347" s="483"/>
      <c r="C1347" s="483"/>
      <c r="D1347" s="483"/>
      <c r="E1347" s="483"/>
      <c r="F1347" s="483"/>
    </row>
    <row r="1348" spans="1:6">
      <c r="A1348" s="482"/>
      <c r="B1348" s="483"/>
      <c r="C1348" s="483"/>
      <c r="D1348" s="483"/>
      <c r="E1348" s="483"/>
      <c r="F1348" s="483"/>
    </row>
    <row r="1349" spans="1:6">
      <c r="A1349" s="482"/>
      <c r="B1349" s="483"/>
      <c r="C1349" s="483"/>
      <c r="D1349" s="483"/>
      <c r="E1349" s="483"/>
      <c r="F1349" s="483"/>
    </row>
    <row r="1350" spans="1:6">
      <c r="A1350" s="482"/>
      <c r="B1350" s="483"/>
      <c r="C1350" s="483"/>
      <c r="D1350" s="483"/>
      <c r="E1350" s="483"/>
      <c r="F1350" s="483"/>
    </row>
    <row r="1351" spans="1:6">
      <c r="A1351" s="482"/>
      <c r="B1351" s="483"/>
      <c r="C1351" s="483"/>
      <c r="D1351" s="483"/>
      <c r="E1351" s="483"/>
      <c r="F1351" s="483"/>
    </row>
    <row r="1352" spans="1:6">
      <c r="A1352" s="482"/>
      <c r="B1352" s="483"/>
      <c r="C1352" s="483"/>
      <c r="D1352" s="483"/>
      <c r="E1352" s="483"/>
      <c r="F1352" s="483"/>
    </row>
    <row r="1353" spans="1:6">
      <c r="A1353" s="482"/>
      <c r="B1353" s="483"/>
      <c r="C1353" s="483"/>
      <c r="D1353" s="483"/>
      <c r="E1353" s="483"/>
      <c r="F1353" s="483"/>
    </row>
    <row r="1354" spans="1:6">
      <c r="A1354" s="482"/>
      <c r="B1354" s="483"/>
      <c r="C1354" s="483"/>
      <c r="D1354" s="483"/>
      <c r="E1354" s="483"/>
      <c r="F1354" s="483"/>
    </row>
    <row r="1355" spans="1:6">
      <c r="A1355" s="482"/>
      <c r="B1355" s="483"/>
      <c r="C1355" s="483"/>
      <c r="D1355" s="483"/>
      <c r="E1355" s="483"/>
      <c r="F1355" s="483"/>
    </row>
    <row r="1356" spans="1:6">
      <c r="A1356" s="482"/>
      <c r="B1356" s="483"/>
      <c r="C1356" s="483"/>
      <c r="D1356" s="483"/>
      <c r="E1356" s="483"/>
      <c r="F1356" s="483"/>
    </row>
    <row r="1357" spans="1:6">
      <c r="A1357" s="482"/>
      <c r="B1357" s="483"/>
      <c r="C1357" s="483"/>
      <c r="D1357" s="483"/>
      <c r="E1357" s="483"/>
      <c r="F1357" s="483"/>
    </row>
    <row r="1358" spans="1:6">
      <c r="A1358" s="482"/>
      <c r="B1358" s="483"/>
      <c r="C1358" s="483"/>
      <c r="D1358" s="483"/>
      <c r="E1358" s="483"/>
      <c r="F1358" s="483"/>
    </row>
    <row r="1359" spans="1:6">
      <c r="A1359" s="482"/>
      <c r="B1359" s="483"/>
      <c r="C1359" s="483"/>
      <c r="D1359" s="483"/>
      <c r="E1359" s="483"/>
      <c r="F1359" s="483"/>
    </row>
    <row r="1360" spans="1:6">
      <c r="A1360" s="482"/>
      <c r="B1360" s="483"/>
      <c r="C1360" s="483"/>
      <c r="D1360" s="483"/>
      <c r="E1360" s="483"/>
      <c r="F1360" s="483"/>
    </row>
    <row r="1361" spans="1:6">
      <c r="A1361" s="482"/>
      <c r="B1361" s="483"/>
      <c r="C1361" s="483"/>
      <c r="D1361" s="483"/>
      <c r="E1361" s="483"/>
      <c r="F1361" s="483"/>
    </row>
    <row r="1362" spans="1:6">
      <c r="A1362" s="482"/>
      <c r="B1362" s="483"/>
      <c r="C1362" s="483"/>
      <c r="D1362" s="483"/>
      <c r="E1362" s="483"/>
      <c r="F1362" s="483"/>
    </row>
    <row r="1363" spans="1:6">
      <c r="A1363" s="482"/>
      <c r="B1363" s="483"/>
      <c r="C1363" s="483"/>
      <c r="D1363" s="483"/>
      <c r="E1363" s="483"/>
      <c r="F1363" s="483"/>
    </row>
    <row r="1364" spans="1:6">
      <c r="A1364" s="482"/>
      <c r="B1364" s="483"/>
      <c r="C1364" s="483"/>
      <c r="D1364" s="483"/>
      <c r="E1364" s="483"/>
      <c r="F1364" s="483"/>
    </row>
    <row r="1365" spans="1:6">
      <c r="A1365" s="482"/>
      <c r="B1365" s="483"/>
      <c r="C1365" s="483"/>
      <c r="D1365" s="483"/>
      <c r="E1365" s="483"/>
      <c r="F1365" s="483"/>
    </row>
    <row r="1366" spans="1:6">
      <c r="A1366" s="482"/>
      <c r="B1366" s="483"/>
      <c r="C1366" s="483"/>
      <c r="D1366" s="483"/>
      <c r="E1366" s="483"/>
      <c r="F1366" s="483"/>
    </row>
    <row r="1367" spans="1:6">
      <c r="A1367" s="482"/>
      <c r="B1367" s="483"/>
      <c r="C1367" s="483"/>
      <c r="D1367" s="483"/>
      <c r="E1367" s="483"/>
      <c r="F1367" s="483"/>
    </row>
    <row r="1368" spans="1:6">
      <c r="A1368" s="482"/>
      <c r="B1368" s="483"/>
      <c r="C1368" s="483"/>
      <c r="D1368" s="483"/>
      <c r="E1368" s="483"/>
      <c r="F1368" s="483"/>
    </row>
    <row r="1369" spans="1:6">
      <c r="A1369" s="482"/>
      <c r="B1369" s="483"/>
      <c r="C1369" s="483"/>
      <c r="D1369" s="483"/>
      <c r="E1369" s="483"/>
      <c r="F1369" s="483"/>
    </row>
    <row r="1370" spans="1:6">
      <c r="A1370" s="482"/>
      <c r="B1370" s="483"/>
      <c r="C1370" s="483"/>
      <c r="D1370" s="483"/>
      <c r="E1370" s="483"/>
      <c r="F1370" s="483"/>
    </row>
    <row r="1371" spans="1:6">
      <c r="A1371" s="482"/>
      <c r="B1371" s="483"/>
      <c r="C1371" s="483"/>
      <c r="D1371" s="483"/>
      <c r="E1371" s="483"/>
      <c r="F1371" s="483"/>
    </row>
    <row r="1372" spans="1:6">
      <c r="A1372" s="482"/>
      <c r="B1372" s="483"/>
      <c r="C1372" s="483"/>
      <c r="D1372" s="483"/>
      <c r="E1372" s="483"/>
      <c r="F1372" s="483"/>
    </row>
    <row r="1373" spans="1:6">
      <c r="A1373" s="482"/>
      <c r="B1373" s="483"/>
      <c r="C1373" s="483"/>
      <c r="D1373" s="483"/>
      <c r="E1373" s="483"/>
      <c r="F1373" s="483"/>
    </row>
    <row r="1374" spans="1:6">
      <c r="A1374" s="482"/>
      <c r="B1374" s="483"/>
      <c r="C1374" s="483"/>
      <c r="D1374" s="483"/>
      <c r="E1374" s="483"/>
      <c r="F1374" s="483"/>
    </row>
    <row r="1375" spans="1:6">
      <c r="A1375" s="482"/>
      <c r="B1375" s="483"/>
      <c r="C1375" s="483"/>
      <c r="D1375" s="483"/>
      <c r="E1375" s="483"/>
      <c r="F1375" s="483"/>
    </row>
    <row r="1376" spans="1:6">
      <c r="A1376" s="482"/>
      <c r="B1376" s="483"/>
      <c r="C1376" s="483"/>
      <c r="D1376" s="483"/>
      <c r="E1376" s="483"/>
      <c r="F1376" s="483"/>
    </row>
    <row r="1377" spans="1:6">
      <c r="A1377" s="482"/>
      <c r="B1377" s="483"/>
      <c r="C1377" s="483"/>
      <c r="D1377" s="483"/>
      <c r="E1377" s="483"/>
      <c r="F1377" s="483"/>
    </row>
    <row r="1378" spans="1:6">
      <c r="A1378" s="482"/>
      <c r="B1378" s="483"/>
      <c r="C1378" s="483"/>
      <c r="D1378" s="483"/>
      <c r="E1378" s="483"/>
      <c r="F1378" s="483"/>
    </row>
    <row r="1379" spans="1:6">
      <c r="A1379" s="482"/>
      <c r="B1379" s="483"/>
      <c r="C1379" s="483"/>
      <c r="D1379" s="483"/>
      <c r="E1379" s="483"/>
      <c r="F1379" s="483"/>
    </row>
    <row r="1380" spans="1:6">
      <c r="A1380" s="482"/>
      <c r="B1380" s="483"/>
      <c r="C1380" s="483"/>
      <c r="D1380" s="483"/>
      <c r="E1380" s="483"/>
      <c r="F1380" s="483"/>
    </row>
    <row r="1381" spans="1:6">
      <c r="A1381" s="482"/>
      <c r="B1381" s="483"/>
      <c r="C1381" s="483"/>
      <c r="D1381" s="483"/>
      <c r="E1381" s="483"/>
      <c r="F1381" s="483"/>
    </row>
    <row r="1382" spans="1:6">
      <c r="A1382" s="482"/>
      <c r="B1382" s="483"/>
      <c r="C1382" s="483"/>
      <c r="D1382" s="483"/>
      <c r="E1382" s="483"/>
      <c r="F1382" s="483"/>
    </row>
    <row r="1383" spans="1:6">
      <c r="A1383" s="482"/>
      <c r="B1383" s="483"/>
      <c r="C1383" s="483"/>
      <c r="D1383" s="483"/>
      <c r="E1383" s="483"/>
      <c r="F1383" s="483"/>
    </row>
    <row r="1384" spans="1:6">
      <c r="A1384" s="482"/>
      <c r="B1384" s="483"/>
      <c r="C1384" s="483"/>
      <c r="D1384" s="483"/>
      <c r="E1384" s="483"/>
      <c r="F1384" s="483"/>
    </row>
    <row r="1385" spans="1:6">
      <c r="A1385" s="482"/>
      <c r="B1385" s="483"/>
      <c r="C1385" s="483"/>
      <c r="D1385" s="483"/>
      <c r="E1385" s="483"/>
      <c r="F1385" s="483"/>
    </row>
    <row r="1386" spans="1:6">
      <c r="A1386" s="482"/>
      <c r="B1386" s="483"/>
      <c r="C1386" s="483"/>
      <c r="D1386" s="483"/>
      <c r="E1386" s="483"/>
      <c r="F1386" s="483"/>
    </row>
    <row r="1387" spans="1:6">
      <c r="A1387" s="482"/>
      <c r="B1387" s="483"/>
      <c r="C1387" s="483"/>
      <c r="D1387" s="483"/>
      <c r="E1387" s="483"/>
      <c r="F1387" s="483"/>
    </row>
    <row r="1388" spans="1:6">
      <c r="A1388" s="482"/>
      <c r="B1388" s="483"/>
      <c r="C1388" s="483"/>
      <c r="D1388" s="483"/>
      <c r="E1388" s="483"/>
      <c r="F1388" s="483"/>
    </row>
    <row r="1389" spans="1:6">
      <c r="A1389" s="482"/>
      <c r="B1389" s="483"/>
      <c r="C1389" s="483"/>
      <c r="D1389" s="483"/>
      <c r="E1389" s="483"/>
      <c r="F1389" s="483"/>
    </row>
    <row r="1390" spans="1:6">
      <c r="A1390" s="482"/>
      <c r="B1390" s="483"/>
      <c r="C1390" s="483"/>
      <c r="D1390" s="483"/>
      <c r="E1390" s="483"/>
      <c r="F1390" s="483"/>
    </row>
    <row r="1391" spans="1:6">
      <c r="A1391" s="482"/>
      <c r="B1391" s="483"/>
      <c r="C1391" s="483"/>
      <c r="D1391" s="483"/>
      <c r="E1391" s="483"/>
      <c r="F1391" s="483"/>
    </row>
    <row r="1392" spans="1:6">
      <c r="A1392" s="482"/>
      <c r="B1392" s="483"/>
      <c r="C1392" s="483"/>
      <c r="D1392" s="483"/>
      <c r="E1392" s="483"/>
      <c r="F1392" s="483"/>
    </row>
    <row r="1393" spans="1:6">
      <c r="A1393" s="482"/>
      <c r="B1393" s="483"/>
      <c r="C1393" s="483"/>
      <c r="D1393" s="483"/>
      <c r="E1393" s="483"/>
      <c r="F1393" s="483"/>
    </row>
    <row r="1394" spans="1:6">
      <c r="A1394" s="482"/>
      <c r="B1394" s="483"/>
      <c r="C1394" s="483"/>
      <c r="D1394" s="483"/>
      <c r="E1394" s="483"/>
      <c r="F1394" s="483"/>
    </row>
    <row r="1395" spans="1:6">
      <c r="A1395" s="482"/>
      <c r="B1395" s="483"/>
      <c r="C1395" s="483"/>
      <c r="D1395" s="483"/>
      <c r="E1395" s="483"/>
      <c r="F1395" s="483"/>
    </row>
    <row r="1396" spans="1:6">
      <c r="A1396" s="482"/>
      <c r="B1396" s="483"/>
      <c r="C1396" s="483"/>
      <c r="D1396" s="483"/>
      <c r="E1396" s="483"/>
      <c r="F1396" s="483"/>
    </row>
    <row r="1397" spans="1:6">
      <c r="A1397" s="482"/>
      <c r="B1397" s="483"/>
      <c r="C1397" s="483"/>
      <c r="D1397" s="483"/>
      <c r="E1397" s="483"/>
      <c r="F1397" s="483"/>
    </row>
    <row r="1398" spans="1:6">
      <c r="A1398" s="482"/>
      <c r="B1398" s="483"/>
      <c r="C1398" s="483"/>
      <c r="D1398" s="483"/>
      <c r="E1398" s="483"/>
      <c r="F1398" s="483"/>
    </row>
    <row r="1399" spans="1:6">
      <c r="A1399" s="482"/>
      <c r="B1399" s="483"/>
      <c r="C1399" s="483"/>
      <c r="D1399" s="483"/>
      <c r="E1399" s="483"/>
      <c r="F1399" s="483"/>
    </row>
    <row r="1400" spans="1:6">
      <c r="A1400" s="482"/>
      <c r="B1400" s="483"/>
      <c r="C1400" s="483"/>
      <c r="D1400" s="483"/>
      <c r="E1400" s="483"/>
      <c r="F1400" s="483"/>
    </row>
    <row r="1401" spans="1:6">
      <c r="A1401" s="482"/>
      <c r="B1401" s="483"/>
      <c r="C1401" s="483"/>
      <c r="D1401" s="483"/>
      <c r="E1401" s="483"/>
      <c r="F1401" s="483"/>
    </row>
    <row r="1402" spans="1:6">
      <c r="A1402" s="482"/>
      <c r="B1402" s="483"/>
      <c r="C1402" s="483"/>
      <c r="D1402" s="483"/>
      <c r="E1402" s="483"/>
      <c r="F1402" s="483"/>
    </row>
    <row r="1403" spans="1:6">
      <c r="A1403" s="482"/>
      <c r="B1403" s="483"/>
      <c r="C1403" s="483"/>
      <c r="D1403" s="483"/>
      <c r="E1403" s="483"/>
      <c r="F1403" s="483"/>
    </row>
    <row r="1404" spans="1:6">
      <c r="A1404" s="482"/>
      <c r="B1404" s="483"/>
      <c r="C1404" s="483"/>
      <c r="D1404" s="483"/>
      <c r="E1404" s="483"/>
      <c r="F1404" s="483"/>
    </row>
    <row r="1405" spans="1:6">
      <c r="A1405" s="482"/>
      <c r="B1405" s="483"/>
      <c r="C1405" s="483"/>
      <c r="D1405" s="483"/>
      <c r="E1405" s="483"/>
      <c r="F1405" s="483"/>
    </row>
    <row r="1406" spans="1:6">
      <c r="A1406" s="482"/>
      <c r="B1406" s="483"/>
      <c r="C1406" s="483"/>
      <c r="D1406" s="483"/>
      <c r="E1406" s="483"/>
      <c r="F1406" s="483"/>
    </row>
    <row r="1407" spans="1:6">
      <c r="A1407" s="482"/>
      <c r="B1407" s="483"/>
      <c r="C1407" s="483"/>
      <c r="D1407" s="483"/>
      <c r="E1407" s="483"/>
      <c r="F1407" s="483"/>
    </row>
    <row r="1408" spans="1:6">
      <c r="A1408" s="482"/>
      <c r="B1408" s="483"/>
      <c r="C1408" s="483"/>
      <c r="D1408" s="483"/>
      <c r="E1408" s="483"/>
      <c r="F1408" s="483"/>
    </row>
    <row r="1409" spans="1:6">
      <c r="A1409" s="482"/>
      <c r="B1409" s="483"/>
      <c r="C1409" s="483"/>
      <c r="D1409" s="483"/>
      <c r="E1409" s="483"/>
      <c r="F1409" s="483"/>
    </row>
    <row r="1410" spans="1:6">
      <c r="A1410" s="482"/>
      <c r="B1410" s="483"/>
      <c r="C1410" s="483"/>
      <c r="D1410" s="483"/>
      <c r="E1410" s="483"/>
      <c r="F1410" s="483"/>
    </row>
    <row r="1411" spans="1:6">
      <c r="A1411" s="482"/>
      <c r="B1411" s="483"/>
      <c r="C1411" s="483"/>
      <c r="D1411" s="483"/>
      <c r="E1411" s="483"/>
      <c r="F1411" s="483"/>
    </row>
    <row r="1412" spans="1:6">
      <c r="A1412" s="482"/>
      <c r="B1412" s="483"/>
      <c r="C1412" s="483"/>
      <c r="D1412" s="483"/>
      <c r="E1412" s="483"/>
      <c r="F1412" s="483"/>
    </row>
    <row r="1413" spans="1:6">
      <c r="A1413" s="482"/>
      <c r="B1413" s="483"/>
      <c r="C1413" s="483"/>
      <c r="D1413" s="483"/>
      <c r="E1413" s="483"/>
      <c r="F1413" s="483"/>
    </row>
    <row r="1414" spans="1:6">
      <c r="A1414" s="482"/>
      <c r="B1414" s="483"/>
      <c r="C1414" s="483"/>
      <c r="D1414" s="483"/>
      <c r="E1414" s="483"/>
      <c r="F1414" s="483"/>
    </row>
    <row r="1415" spans="1:6">
      <c r="A1415" s="482"/>
      <c r="B1415" s="483"/>
      <c r="C1415" s="483"/>
      <c r="D1415" s="483"/>
      <c r="E1415" s="483"/>
      <c r="F1415" s="483"/>
    </row>
    <row r="1416" spans="1:6">
      <c r="A1416" s="482"/>
      <c r="B1416" s="483"/>
      <c r="C1416" s="483"/>
      <c r="D1416" s="483"/>
      <c r="E1416" s="483"/>
      <c r="F1416" s="483"/>
    </row>
    <row r="1417" spans="1:6">
      <c r="A1417" s="482"/>
      <c r="B1417" s="483"/>
      <c r="C1417" s="483"/>
      <c r="D1417" s="483"/>
      <c r="E1417" s="483"/>
      <c r="F1417" s="483"/>
    </row>
    <row r="1418" spans="1:6">
      <c r="A1418" s="482"/>
      <c r="B1418" s="483"/>
      <c r="C1418" s="483"/>
      <c r="D1418" s="483"/>
      <c r="E1418" s="483"/>
      <c r="F1418" s="483"/>
    </row>
    <row r="1419" spans="1:6">
      <c r="A1419" s="482"/>
      <c r="B1419" s="483"/>
      <c r="C1419" s="483"/>
      <c r="D1419" s="483"/>
      <c r="E1419" s="483"/>
      <c r="F1419" s="483"/>
    </row>
    <row r="1420" spans="1:6">
      <c r="A1420" s="482"/>
      <c r="B1420" s="483"/>
      <c r="C1420" s="483"/>
      <c r="D1420" s="483"/>
      <c r="E1420" s="483"/>
      <c r="F1420" s="483"/>
    </row>
    <row r="1421" spans="1:6">
      <c r="A1421" s="482"/>
      <c r="B1421" s="483"/>
      <c r="C1421" s="483"/>
      <c r="D1421" s="483"/>
      <c r="E1421" s="483"/>
      <c r="F1421" s="483"/>
    </row>
    <row r="1422" spans="1:6">
      <c r="A1422" s="482"/>
      <c r="B1422" s="483"/>
      <c r="C1422" s="483"/>
      <c r="D1422" s="483"/>
      <c r="E1422" s="483"/>
      <c r="F1422" s="483"/>
    </row>
    <row r="1423" spans="1:6">
      <c r="A1423" s="482"/>
      <c r="B1423" s="483"/>
      <c r="C1423" s="483"/>
      <c r="D1423" s="483"/>
      <c r="E1423" s="483"/>
      <c r="F1423" s="483"/>
    </row>
    <row r="1424" spans="1:6">
      <c r="A1424" s="482"/>
      <c r="B1424" s="483"/>
      <c r="C1424" s="483"/>
      <c r="D1424" s="483"/>
      <c r="E1424" s="483"/>
      <c r="F1424" s="483"/>
    </row>
    <row r="1425" spans="1:6">
      <c r="A1425" s="482"/>
      <c r="B1425" s="483"/>
      <c r="C1425" s="483"/>
      <c r="D1425" s="483"/>
      <c r="E1425" s="483"/>
      <c r="F1425" s="483"/>
    </row>
    <row r="1426" spans="1:6">
      <c r="A1426" s="482"/>
      <c r="B1426" s="483"/>
      <c r="C1426" s="483"/>
      <c r="D1426" s="483"/>
      <c r="E1426" s="483"/>
      <c r="F1426" s="483"/>
    </row>
    <row r="1427" spans="1:6">
      <c r="A1427" s="482"/>
      <c r="B1427" s="483"/>
      <c r="C1427" s="483"/>
      <c r="D1427" s="483"/>
      <c r="E1427" s="483"/>
      <c r="F1427" s="483"/>
    </row>
    <row r="1428" spans="1:6">
      <c r="A1428" s="482"/>
      <c r="B1428" s="483"/>
      <c r="C1428" s="483"/>
      <c r="D1428" s="483"/>
      <c r="E1428" s="483"/>
      <c r="F1428" s="483"/>
    </row>
    <row r="1429" spans="1:6">
      <c r="A1429" s="482"/>
      <c r="B1429" s="483"/>
      <c r="C1429" s="483"/>
      <c r="D1429" s="483"/>
      <c r="E1429" s="483"/>
      <c r="F1429" s="483"/>
    </row>
    <row r="1430" spans="1:6">
      <c r="A1430" s="482"/>
      <c r="B1430" s="483"/>
      <c r="C1430" s="483"/>
      <c r="D1430" s="483"/>
      <c r="E1430" s="483"/>
      <c r="F1430" s="483"/>
    </row>
    <row r="1431" spans="1:6">
      <c r="A1431" s="482"/>
      <c r="B1431" s="483"/>
      <c r="C1431" s="483"/>
      <c r="D1431" s="483"/>
      <c r="E1431" s="483"/>
      <c r="F1431" s="483"/>
    </row>
    <row r="1432" spans="1:6">
      <c r="A1432" s="482"/>
      <c r="B1432" s="483"/>
      <c r="C1432" s="483"/>
      <c r="D1432" s="483"/>
      <c r="E1432" s="483"/>
      <c r="F1432" s="483"/>
    </row>
    <row r="1433" spans="1:6">
      <c r="A1433" s="482"/>
      <c r="B1433" s="483"/>
      <c r="C1433" s="483"/>
      <c r="D1433" s="483"/>
      <c r="E1433" s="483"/>
      <c r="F1433" s="483"/>
    </row>
    <row r="1434" spans="1:6">
      <c r="A1434" s="482"/>
      <c r="B1434" s="483"/>
      <c r="C1434" s="483"/>
      <c r="D1434" s="483"/>
      <c r="E1434" s="483"/>
      <c r="F1434" s="483"/>
    </row>
    <row r="1435" spans="1:6">
      <c r="A1435" s="482"/>
      <c r="B1435" s="483"/>
      <c r="C1435" s="483"/>
      <c r="D1435" s="483"/>
      <c r="E1435" s="483"/>
      <c r="F1435" s="483"/>
    </row>
    <row r="1436" spans="1:6">
      <c r="A1436" s="482"/>
      <c r="B1436" s="483"/>
      <c r="C1436" s="483"/>
      <c r="D1436" s="483"/>
      <c r="E1436" s="483"/>
      <c r="F1436" s="483"/>
    </row>
    <row r="1437" spans="1:6">
      <c r="A1437" s="482"/>
      <c r="B1437" s="483"/>
      <c r="C1437" s="483"/>
      <c r="D1437" s="483"/>
      <c r="E1437" s="483"/>
      <c r="F1437" s="483"/>
    </row>
    <row r="1438" spans="1:6">
      <c r="A1438" s="482"/>
      <c r="B1438" s="483"/>
      <c r="C1438" s="483"/>
      <c r="D1438" s="483"/>
      <c r="E1438" s="483"/>
      <c r="F1438" s="483"/>
    </row>
    <row r="1439" spans="1:6">
      <c r="A1439" s="482"/>
      <c r="B1439" s="483"/>
      <c r="C1439" s="483"/>
      <c r="D1439" s="483"/>
      <c r="E1439" s="483"/>
      <c r="F1439" s="483"/>
    </row>
    <row r="1440" spans="1:6">
      <c r="A1440" s="482"/>
      <c r="B1440" s="483"/>
      <c r="C1440" s="483"/>
      <c r="D1440" s="483"/>
      <c r="E1440" s="483"/>
      <c r="F1440" s="483"/>
    </row>
    <row r="1441" spans="1:6">
      <c r="A1441" s="482"/>
      <c r="B1441" s="483"/>
      <c r="C1441" s="483"/>
      <c r="D1441" s="483"/>
      <c r="E1441" s="483"/>
      <c r="F1441" s="483"/>
    </row>
    <row r="1442" spans="1:6">
      <c r="A1442" s="482"/>
      <c r="B1442" s="483"/>
      <c r="C1442" s="483"/>
      <c r="D1442" s="483"/>
      <c r="E1442" s="483"/>
      <c r="F1442" s="483"/>
    </row>
    <row r="1443" spans="1:6">
      <c r="A1443" s="482"/>
      <c r="B1443" s="483"/>
      <c r="C1443" s="483"/>
      <c r="D1443" s="483"/>
      <c r="E1443" s="483"/>
      <c r="F1443" s="483"/>
    </row>
    <row r="1444" spans="1:6">
      <c r="A1444" s="482"/>
      <c r="B1444" s="483"/>
      <c r="C1444" s="483"/>
      <c r="D1444" s="483"/>
      <c r="E1444" s="483"/>
      <c r="F1444" s="483"/>
    </row>
    <row r="1445" spans="1:6">
      <c r="A1445" s="482"/>
      <c r="B1445" s="483"/>
      <c r="C1445" s="483"/>
      <c r="D1445" s="483"/>
      <c r="E1445" s="483"/>
      <c r="F1445" s="483"/>
    </row>
    <row r="1446" spans="1:6">
      <c r="A1446" s="482"/>
      <c r="B1446" s="483"/>
      <c r="C1446" s="483"/>
      <c r="D1446" s="483"/>
      <c r="E1446" s="483"/>
      <c r="F1446" s="483"/>
    </row>
    <row r="1447" spans="1:6">
      <c r="A1447" s="482"/>
      <c r="B1447" s="483"/>
      <c r="C1447" s="483"/>
      <c r="D1447" s="483"/>
      <c r="E1447" s="483"/>
      <c r="F1447" s="483"/>
    </row>
    <row r="1448" spans="1:6">
      <c r="A1448" s="482"/>
      <c r="B1448" s="483"/>
      <c r="C1448" s="483"/>
      <c r="D1448" s="483"/>
      <c r="E1448" s="483"/>
      <c r="F1448" s="483"/>
    </row>
    <row r="1449" spans="1:6">
      <c r="A1449" s="482"/>
      <c r="B1449" s="483"/>
      <c r="C1449" s="483"/>
      <c r="D1449" s="483"/>
      <c r="E1449" s="483"/>
      <c r="F1449" s="483"/>
    </row>
    <row r="1450" spans="1:6">
      <c r="A1450" s="482"/>
      <c r="B1450" s="483"/>
      <c r="C1450" s="483"/>
      <c r="D1450" s="483"/>
      <c r="E1450" s="483"/>
      <c r="F1450" s="483"/>
    </row>
    <row r="1451" spans="1:6">
      <c r="A1451" s="482"/>
      <c r="B1451" s="483"/>
      <c r="C1451" s="483"/>
      <c r="D1451" s="483"/>
      <c r="E1451" s="483"/>
      <c r="F1451" s="483"/>
    </row>
    <row r="1452" spans="1:6">
      <c r="A1452" s="482"/>
      <c r="B1452" s="483"/>
      <c r="C1452" s="483"/>
      <c r="D1452" s="483"/>
      <c r="E1452" s="483"/>
      <c r="F1452" s="483"/>
    </row>
    <row r="1453" spans="1:6">
      <c r="A1453" s="482"/>
      <c r="B1453" s="483"/>
      <c r="C1453" s="483"/>
      <c r="D1453" s="483"/>
      <c r="E1453" s="483"/>
      <c r="F1453" s="483"/>
    </row>
    <row r="1454" spans="1:6">
      <c r="A1454" s="482"/>
      <c r="B1454" s="483"/>
      <c r="C1454" s="483"/>
      <c r="D1454" s="483"/>
      <c r="E1454" s="483"/>
      <c r="F1454" s="483"/>
    </row>
    <row r="1455" spans="1:6">
      <c r="A1455" s="482"/>
      <c r="B1455" s="483"/>
      <c r="C1455" s="483"/>
      <c r="D1455" s="483"/>
      <c r="E1455" s="483"/>
      <c r="F1455" s="483"/>
    </row>
    <row r="1456" spans="1:6">
      <c r="A1456" s="482"/>
      <c r="B1456" s="483"/>
      <c r="C1456" s="483"/>
      <c r="D1456" s="483"/>
      <c r="E1456" s="483"/>
      <c r="F1456" s="483"/>
    </row>
    <row r="1457" spans="1:6">
      <c r="A1457" s="482"/>
      <c r="B1457" s="483"/>
      <c r="C1457" s="483"/>
      <c r="D1457" s="483"/>
      <c r="E1457" s="483"/>
      <c r="F1457" s="483"/>
    </row>
    <row r="1458" spans="1:6">
      <c r="A1458" s="482"/>
      <c r="B1458" s="483"/>
      <c r="C1458" s="483"/>
      <c r="D1458" s="483"/>
      <c r="E1458" s="483"/>
      <c r="F1458" s="483"/>
    </row>
    <row r="1459" spans="1:6">
      <c r="A1459" s="482"/>
      <c r="B1459" s="483"/>
      <c r="C1459" s="483"/>
      <c r="D1459" s="483"/>
      <c r="E1459" s="483"/>
      <c r="F1459" s="483"/>
    </row>
    <row r="1460" spans="1:6">
      <c r="A1460" s="482"/>
      <c r="B1460" s="483"/>
      <c r="C1460" s="483"/>
      <c r="D1460" s="483"/>
      <c r="E1460" s="483"/>
      <c r="F1460" s="483"/>
    </row>
    <row r="1461" spans="1:6">
      <c r="A1461" s="482"/>
      <c r="B1461" s="483"/>
      <c r="C1461" s="483"/>
      <c r="D1461" s="483"/>
      <c r="E1461" s="483"/>
      <c r="F1461" s="483"/>
    </row>
    <row r="1462" spans="1:6">
      <c r="A1462" s="482"/>
      <c r="B1462" s="483"/>
      <c r="C1462" s="483"/>
      <c r="D1462" s="483"/>
      <c r="E1462" s="483"/>
      <c r="F1462" s="483"/>
    </row>
    <row r="1463" spans="1:6">
      <c r="A1463" s="482"/>
      <c r="B1463" s="483"/>
      <c r="C1463" s="483"/>
      <c r="D1463" s="483"/>
      <c r="E1463" s="483"/>
      <c r="F1463" s="483"/>
    </row>
    <row r="1464" spans="1:6">
      <c r="A1464" s="482"/>
      <c r="B1464" s="483"/>
      <c r="C1464" s="483"/>
      <c r="D1464" s="483"/>
      <c r="E1464" s="483"/>
      <c r="F1464" s="483"/>
    </row>
    <row r="1465" spans="1:6">
      <c r="A1465" s="482"/>
      <c r="B1465" s="483"/>
      <c r="C1465" s="483"/>
      <c r="D1465" s="483"/>
      <c r="E1465" s="483"/>
      <c r="F1465" s="483"/>
    </row>
    <row r="1466" spans="1:6">
      <c r="A1466" s="482"/>
      <c r="B1466" s="483"/>
      <c r="C1466" s="483"/>
      <c r="D1466" s="483"/>
      <c r="E1466" s="483"/>
      <c r="F1466" s="483"/>
    </row>
    <row r="1467" spans="1:6">
      <c r="A1467" s="482"/>
      <c r="B1467" s="483"/>
      <c r="C1467" s="483"/>
      <c r="D1467" s="483"/>
      <c r="E1467" s="483"/>
      <c r="F1467" s="483"/>
    </row>
    <row r="1468" spans="1:6">
      <c r="A1468" s="482"/>
      <c r="B1468" s="483"/>
      <c r="C1468" s="483"/>
      <c r="D1468" s="483"/>
      <c r="E1468" s="483"/>
      <c r="F1468" s="483"/>
    </row>
    <row r="1469" spans="1:6">
      <c r="A1469" s="482"/>
      <c r="B1469" s="483"/>
      <c r="C1469" s="483"/>
      <c r="D1469" s="483"/>
      <c r="E1469" s="483"/>
      <c r="F1469" s="483"/>
    </row>
    <row r="1470" spans="1:6">
      <c r="A1470" s="482"/>
      <c r="B1470" s="483"/>
      <c r="C1470" s="483"/>
      <c r="D1470" s="483"/>
      <c r="E1470" s="483"/>
      <c r="F1470" s="483"/>
    </row>
    <row r="1471" spans="1:6">
      <c r="A1471" s="482"/>
      <c r="B1471" s="483"/>
      <c r="C1471" s="483"/>
      <c r="D1471" s="483"/>
      <c r="E1471" s="483"/>
      <c r="F1471" s="483"/>
    </row>
    <row r="1472" spans="1:6">
      <c r="A1472" s="482"/>
      <c r="B1472" s="483"/>
      <c r="C1472" s="483"/>
      <c r="D1472" s="483"/>
      <c r="E1472" s="483"/>
      <c r="F1472" s="483"/>
    </row>
    <row r="1473" spans="1:6">
      <c r="A1473" s="482"/>
      <c r="B1473" s="483"/>
      <c r="C1473" s="483"/>
      <c r="D1473" s="483"/>
      <c r="E1473" s="483"/>
      <c r="F1473" s="483"/>
    </row>
    <row r="1474" spans="1:6">
      <c r="A1474" s="482"/>
      <c r="B1474" s="483"/>
      <c r="C1474" s="483"/>
      <c r="D1474" s="483"/>
      <c r="E1474" s="483"/>
      <c r="F1474" s="483"/>
    </row>
    <row r="1475" spans="1:6">
      <c r="A1475" s="482"/>
      <c r="B1475" s="483"/>
      <c r="C1475" s="483"/>
      <c r="D1475" s="483"/>
      <c r="E1475" s="483"/>
      <c r="F1475" s="483"/>
    </row>
    <row r="1476" spans="1:6">
      <c r="A1476" s="482"/>
      <c r="B1476" s="483"/>
      <c r="C1476" s="483"/>
      <c r="D1476" s="483"/>
      <c r="E1476" s="483"/>
      <c r="F1476" s="483"/>
    </row>
    <row r="1477" spans="1:6">
      <c r="A1477" s="482"/>
      <c r="B1477" s="483"/>
      <c r="C1477" s="483"/>
      <c r="D1477" s="483"/>
      <c r="E1477" s="483"/>
      <c r="F1477" s="483"/>
    </row>
    <row r="1478" spans="1:6">
      <c r="A1478" s="482"/>
      <c r="B1478" s="483"/>
      <c r="C1478" s="483"/>
      <c r="D1478" s="483"/>
      <c r="E1478" s="483"/>
      <c r="F1478" s="483"/>
    </row>
    <row r="1479" spans="1:6">
      <c r="A1479" s="482"/>
      <c r="B1479" s="483"/>
      <c r="C1479" s="483"/>
      <c r="D1479" s="483"/>
      <c r="E1479" s="483"/>
      <c r="F1479" s="483"/>
    </row>
    <row r="1480" spans="1:6">
      <c r="A1480" s="482"/>
      <c r="B1480" s="483"/>
      <c r="C1480" s="483"/>
      <c r="D1480" s="483"/>
      <c r="E1480" s="483"/>
      <c r="F1480" s="483"/>
    </row>
    <row r="1481" spans="1:6">
      <c r="A1481" s="482"/>
      <c r="B1481" s="483"/>
      <c r="C1481" s="483"/>
      <c r="D1481" s="483"/>
      <c r="E1481" s="483"/>
      <c r="F1481" s="483"/>
    </row>
    <row r="1482" spans="1:6">
      <c r="A1482" s="482"/>
      <c r="B1482" s="483"/>
      <c r="C1482" s="483"/>
      <c r="D1482" s="483"/>
      <c r="E1482" s="483"/>
      <c r="F1482" s="483"/>
    </row>
    <row r="1483" spans="1:6">
      <c r="A1483" s="482"/>
      <c r="B1483" s="483"/>
      <c r="C1483" s="483"/>
      <c r="D1483" s="483"/>
      <c r="E1483" s="483"/>
      <c r="F1483" s="483"/>
    </row>
    <row r="1484" spans="1:6">
      <c r="A1484" s="482"/>
      <c r="B1484" s="483"/>
      <c r="C1484" s="483"/>
      <c r="D1484" s="483"/>
      <c r="E1484" s="483"/>
      <c r="F1484" s="483"/>
    </row>
    <row r="1485" spans="1:6">
      <c r="A1485" s="482"/>
      <c r="B1485" s="483"/>
      <c r="C1485" s="483"/>
      <c r="D1485" s="483"/>
      <c r="E1485" s="483"/>
      <c r="F1485" s="483"/>
    </row>
    <row r="1486" spans="1:6">
      <c r="A1486" s="482"/>
      <c r="B1486" s="483"/>
      <c r="C1486" s="483"/>
      <c r="D1486" s="483"/>
      <c r="E1486" s="483"/>
      <c r="F1486" s="483"/>
    </row>
    <row r="1487" spans="1:6">
      <c r="A1487" s="482"/>
      <c r="B1487" s="483"/>
      <c r="C1487" s="483"/>
      <c r="D1487" s="483"/>
      <c r="E1487" s="483"/>
      <c r="F1487" s="483"/>
    </row>
    <row r="1488" spans="1:6">
      <c r="A1488" s="482"/>
      <c r="B1488" s="483"/>
      <c r="C1488" s="483"/>
      <c r="D1488" s="483"/>
      <c r="E1488" s="483"/>
      <c r="F1488" s="483"/>
    </row>
    <row r="1489" spans="1:6">
      <c r="A1489" s="482"/>
      <c r="B1489" s="483"/>
      <c r="C1489" s="483"/>
      <c r="D1489" s="483"/>
      <c r="E1489" s="483"/>
      <c r="F1489" s="483"/>
    </row>
    <row r="1490" spans="1:6">
      <c r="A1490" s="482"/>
      <c r="B1490" s="483"/>
      <c r="C1490" s="483"/>
      <c r="D1490" s="483"/>
      <c r="E1490" s="483"/>
      <c r="F1490" s="483"/>
    </row>
    <row r="1491" spans="1:6">
      <c r="A1491" s="482"/>
      <c r="B1491" s="483"/>
      <c r="C1491" s="483"/>
      <c r="D1491" s="483"/>
      <c r="E1491" s="483"/>
      <c r="F1491" s="483"/>
    </row>
    <row r="1492" spans="1:6">
      <c r="A1492" s="482"/>
      <c r="B1492" s="483"/>
      <c r="C1492" s="483"/>
      <c r="D1492" s="483"/>
      <c r="E1492" s="483"/>
      <c r="F1492" s="483"/>
    </row>
    <row r="1493" spans="1:6">
      <c r="A1493" s="482"/>
      <c r="B1493" s="483"/>
      <c r="C1493" s="483"/>
      <c r="D1493" s="483"/>
      <c r="E1493" s="483"/>
      <c r="F1493" s="483"/>
    </row>
    <row r="1494" spans="1:6">
      <c r="A1494" s="482"/>
      <c r="B1494" s="483"/>
      <c r="C1494" s="483"/>
      <c r="D1494" s="483"/>
      <c r="E1494" s="483"/>
      <c r="F1494" s="483"/>
    </row>
    <row r="1495" spans="1:6">
      <c r="A1495" s="482"/>
      <c r="B1495" s="483"/>
      <c r="C1495" s="483"/>
      <c r="D1495" s="483"/>
      <c r="E1495" s="483"/>
      <c r="F1495" s="483"/>
    </row>
    <row r="1496" spans="1:6">
      <c r="A1496" s="482"/>
      <c r="B1496" s="483"/>
      <c r="C1496" s="483"/>
      <c r="D1496" s="483"/>
      <c r="E1496" s="483"/>
      <c r="F1496" s="483"/>
    </row>
    <row r="1497" spans="1:6">
      <c r="A1497" s="482"/>
      <c r="B1497" s="483"/>
      <c r="C1497" s="483"/>
      <c r="D1497" s="483"/>
      <c r="E1497" s="483"/>
      <c r="F1497" s="483"/>
    </row>
    <row r="1498" spans="1:6">
      <c r="A1498" s="482"/>
      <c r="B1498" s="483"/>
      <c r="C1498" s="483"/>
      <c r="D1498" s="483"/>
      <c r="E1498" s="483"/>
      <c r="F1498" s="483"/>
    </row>
    <row r="1499" spans="1:6">
      <c r="A1499" s="482"/>
      <c r="B1499" s="483"/>
      <c r="C1499" s="483"/>
      <c r="D1499" s="483"/>
      <c r="E1499" s="483"/>
      <c r="F1499" s="483"/>
    </row>
    <row r="1500" spans="1:6">
      <c r="A1500" s="482"/>
      <c r="B1500" s="483"/>
      <c r="C1500" s="483"/>
      <c r="D1500" s="483"/>
      <c r="E1500" s="483"/>
      <c r="F1500" s="483"/>
    </row>
    <row r="1501" spans="1:6">
      <c r="A1501" s="482"/>
      <c r="B1501" s="483"/>
      <c r="C1501" s="483"/>
      <c r="D1501" s="483"/>
      <c r="E1501" s="483"/>
      <c r="F1501" s="483"/>
    </row>
    <row r="1502" spans="1:6">
      <c r="A1502" s="482"/>
      <c r="B1502" s="483"/>
      <c r="C1502" s="483"/>
      <c r="D1502" s="483"/>
      <c r="E1502" s="483"/>
      <c r="F1502" s="483"/>
    </row>
    <row r="1503" spans="1:6">
      <c r="A1503" s="482"/>
      <c r="B1503" s="483"/>
      <c r="C1503" s="483"/>
      <c r="D1503" s="483"/>
      <c r="E1503" s="483"/>
      <c r="F1503" s="483"/>
    </row>
    <row r="1504" spans="1:6">
      <c r="A1504" s="482"/>
      <c r="B1504" s="483"/>
      <c r="C1504" s="483"/>
      <c r="D1504" s="483"/>
      <c r="E1504" s="483"/>
      <c r="F1504" s="483"/>
    </row>
    <row r="1505" spans="1:6">
      <c r="A1505" s="482"/>
      <c r="B1505" s="483"/>
      <c r="C1505" s="483"/>
      <c r="D1505" s="483"/>
      <c r="E1505" s="483"/>
      <c r="F1505" s="483"/>
    </row>
    <row r="1506" spans="1:6">
      <c r="A1506" s="482"/>
      <c r="B1506" s="483"/>
      <c r="C1506" s="483"/>
      <c r="D1506" s="483"/>
      <c r="E1506" s="483"/>
      <c r="F1506" s="483"/>
    </row>
    <row r="1507" spans="1:6">
      <c r="A1507" s="482"/>
      <c r="B1507" s="483"/>
      <c r="C1507" s="483"/>
      <c r="D1507" s="483"/>
      <c r="E1507" s="483"/>
      <c r="F1507" s="483"/>
    </row>
    <row r="1508" spans="1:6">
      <c r="A1508" s="482"/>
      <c r="B1508" s="483"/>
      <c r="C1508" s="483"/>
      <c r="D1508" s="483"/>
      <c r="E1508" s="483"/>
      <c r="F1508" s="483"/>
    </row>
    <row r="1509" spans="1:6">
      <c r="A1509" s="482"/>
      <c r="B1509" s="483"/>
      <c r="C1509" s="483"/>
      <c r="D1509" s="483"/>
      <c r="E1509" s="483"/>
      <c r="F1509" s="483"/>
    </row>
    <row r="1510" spans="1:6">
      <c r="A1510" s="482"/>
      <c r="B1510" s="483"/>
      <c r="C1510" s="483"/>
      <c r="D1510" s="483"/>
      <c r="E1510" s="483"/>
      <c r="F1510" s="483"/>
    </row>
    <row r="1511" spans="1:6">
      <c r="A1511" s="482"/>
      <c r="B1511" s="483"/>
      <c r="C1511" s="483"/>
      <c r="D1511" s="483"/>
      <c r="E1511" s="483"/>
      <c r="F1511" s="483"/>
    </row>
    <row r="1512" spans="1:6">
      <c r="A1512" s="482"/>
      <c r="B1512" s="483"/>
      <c r="C1512" s="483"/>
      <c r="D1512" s="483"/>
      <c r="E1512" s="483"/>
      <c r="F1512" s="483"/>
    </row>
    <row r="1513" spans="1:6">
      <c r="A1513" s="482"/>
      <c r="B1513" s="483"/>
      <c r="C1513" s="483"/>
      <c r="D1513" s="483"/>
      <c r="E1513" s="483"/>
      <c r="F1513" s="483"/>
    </row>
    <row r="1514" spans="1:6">
      <c r="A1514" s="482"/>
      <c r="B1514" s="483"/>
      <c r="C1514" s="483"/>
      <c r="D1514" s="483"/>
      <c r="E1514" s="483"/>
      <c r="F1514" s="483"/>
    </row>
    <row r="1515" spans="1:6">
      <c r="A1515" s="482"/>
      <c r="B1515" s="483"/>
      <c r="C1515" s="483"/>
      <c r="D1515" s="483"/>
      <c r="E1515" s="483"/>
      <c r="F1515" s="483"/>
    </row>
    <row r="1516" spans="1:6">
      <c r="A1516" s="482"/>
      <c r="B1516" s="483"/>
      <c r="C1516" s="483"/>
      <c r="D1516" s="483"/>
      <c r="E1516" s="483"/>
      <c r="F1516" s="483"/>
    </row>
    <row r="1517" spans="1:6">
      <c r="A1517" s="482"/>
      <c r="B1517" s="483"/>
      <c r="C1517" s="483"/>
      <c r="D1517" s="483"/>
      <c r="E1517" s="483"/>
      <c r="F1517" s="483"/>
    </row>
    <row r="1518" spans="1:6">
      <c r="A1518" s="482"/>
      <c r="B1518" s="483"/>
      <c r="C1518" s="483"/>
      <c r="D1518" s="483"/>
      <c r="E1518" s="483"/>
      <c r="F1518" s="483"/>
    </row>
    <row r="1519" spans="1:6">
      <c r="A1519" s="482"/>
      <c r="B1519" s="483"/>
      <c r="C1519" s="483"/>
      <c r="D1519" s="483"/>
      <c r="E1519" s="483"/>
      <c r="F1519" s="483"/>
    </row>
    <row r="1520" spans="1:6">
      <c r="A1520" s="482"/>
      <c r="B1520" s="483"/>
      <c r="C1520" s="483"/>
      <c r="D1520" s="483"/>
      <c r="E1520" s="483"/>
      <c r="F1520" s="483"/>
    </row>
    <row r="1521" spans="1:6">
      <c r="A1521" s="482"/>
      <c r="B1521" s="483"/>
      <c r="C1521" s="483"/>
      <c r="D1521" s="483"/>
      <c r="E1521" s="483"/>
      <c r="F1521" s="483"/>
    </row>
    <row r="1522" spans="1:6">
      <c r="A1522" s="482"/>
      <c r="B1522" s="483"/>
      <c r="C1522" s="483"/>
      <c r="D1522" s="483"/>
      <c r="E1522" s="483"/>
      <c r="F1522" s="483"/>
    </row>
    <row r="1523" spans="1:6">
      <c r="A1523" s="482"/>
      <c r="B1523" s="483"/>
      <c r="C1523" s="483"/>
      <c r="D1523" s="483"/>
      <c r="E1523" s="483"/>
      <c r="F1523" s="483"/>
    </row>
    <row r="1524" spans="1:6">
      <c r="A1524" s="482"/>
      <c r="B1524" s="483"/>
      <c r="C1524" s="483"/>
      <c r="D1524" s="483"/>
      <c r="E1524" s="483"/>
      <c r="F1524" s="483"/>
    </row>
    <row r="1525" spans="1:6">
      <c r="A1525" s="482"/>
      <c r="B1525" s="483"/>
      <c r="C1525" s="483"/>
      <c r="D1525" s="483"/>
      <c r="E1525" s="483"/>
      <c r="F1525" s="483"/>
    </row>
    <row r="1526" spans="1:6">
      <c r="A1526" s="482"/>
      <c r="B1526" s="483"/>
      <c r="C1526" s="483"/>
      <c r="D1526" s="483"/>
      <c r="E1526" s="483"/>
      <c r="F1526" s="483"/>
    </row>
    <row r="1527" spans="1:6">
      <c r="A1527" s="482"/>
      <c r="B1527" s="483"/>
      <c r="C1527" s="483"/>
      <c r="D1527" s="483"/>
      <c r="E1527" s="483"/>
      <c r="F1527" s="483"/>
    </row>
    <row r="1528" spans="1:6">
      <c r="A1528" s="482"/>
      <c r="B1528" s="483"/>
      <c r="C1528" s="483"/>
      <c r="D1528" s="483"/>
      <c r="E1528" s="483"/>
      <c r="F1528" s="483"/>
    </row>
    <row r="1529" spans="1:6">
      <c r="A1529" s="482"/>
      <c r="B1529" s="483"/>
      <c r="C1529" s="483"/>
      <c r="D1529" s="483"/>
      <c r="E1529" s="483"/>
      <c r="F1529" s="483"/>
    </row>
    <row r="1530" spans="1:6">
      <c r="A1530" s="482"/>
      <c r="B1530" s="483"/>
      <c r="C1530" s="483"/>
      <c r="D1530" s="483"/>
      <c r="E1530" s="483"/>
      <c r="F1530" s="483"/>
    </row>
    <row r="1531" spans="1:6">
      <c r="A1531" s="482"/>
      <c r="B1531" s="483"/>
      <c r="C1531" s="483"/>
      <c r="D1531" s="483"/>
      <c r="E1531" s="483"/>
      <c r="F1531" s="483"/>
    </row>
    <row r="1532" spans="1:6">
      <c r="A1532" s="482"/>
      <c r="B1532" s="483"/>
      <c r="C1532" s="483"/>
      <c r="D1532" s="483"/>
      <c r="E1532" s="483"/>
      <c r="F1532" s="483"/>
    </row>
    <row r="1533" spans="1:6">
      <c r="A1533" s="482"/>
      <c r="B1533" s="483"/>
      <c r="C1533" s="483"/>
      <c r="D1533" s="483"/>
      <c r="E1533" s="483"/>
      <c r="F1533" s="483"/>
    </row>
    <row r="1534" spans="1:6">
      <c r="A1534" s="482"/>
      <c r="B1534" s="483"/>
      <c r="C1534" s="483"/>
      <c r="D1534" s="483"/>
      <c r="E1534" s="483"/>
      <c r="F1534" s="483"/>
    </row>
    <row r="1535" spans="1:6">
      <c r="A1535" s="482"/>
      <c r="B1535" s="483"/>
      <c r="C1535" s="483"/>
      <c r="D1535" s="483"/>
      <c r="E1535" s="483"/>
      <c r="F1535" s="483"/>
    </row>
    <row r="1536" spans="1:6">
      <c r="A1536" s="482"/>
      <c r="B1536" s="483"/>
      <c r="C1536" s="483"/>
      <c r="D1536" s="483"/>
      <c r="E1536" s="483"/>
      <c r="F1536" s="483"/>
    </row>
    <row r="1537" spans="1:6">
      <c r="A1537" s="482"/>
      <c r="B1537" s="483"/>
      <c r="C1537" s="483"/>
      <c r="D1537" s="483"/>
      <c r="E1537" s="483"/>
      <c r="F1537" s="483"/>
    </row>
    <row r="1538" spans="1:6">
      <c r="A1538" s="482"/>
      <c r="B1538" s="483"/>
      <c r="C1538" s="483"/>
      <c r="D1538" s="483"/>
      <c r="E1538" s="483"/>
      <c r="F1538" s="483"/>
    </row>
    <row r="1539" spans="1:6">
      <c r="A1539" s="482"/>
      <c r="B1539" s="483"/>
      <c r="C1539" s="483"/>
      <c r="D1539" s="483"/>
      <c r="E1539" s="483"/>
      <c r="F1539" s="483"/>
    </row>
    <row r="1540" spans="1:6">
      <c r="A1540" s="482"/>
      <c r="B1540" s="483"/>
      <c r="C1540" s="483"/>
      <c r="D1540" s="483"/>
      <c r="E1540" s="483"/>
      <c r="F1540" s="483"/>
    </row>
    <row r="1541" spans="1:6">
      <c r="A1541" s="482"/>
      <c r="B1541" s="483"/>
      <c r="C1541" s="483"/>
      <c r="D1541" s="483"/>
      <c r="E1541" s="483"/>
      <c r="F1541" s="483"/>
    </row>
    <row r="1542" spans="1:6">
      <c r="A1542" s="482"/>
      <c r="B1542" s="483"/>
      <c r="C1542" s="483"/>
      <c r="D1542" s="483"/>
      <c r="E1542" s="483"/>
      <c r="F1542" s="483"/>
    </row>
    <row r="1543" spans="1:6">
      <c r="A1543" s="482"/>
      <c r="B1543" s="483"/>
      <c r="C1543" s="483"/>
      <c r="D1543" s="483"/>
      <c r="E1543" s="483"/>
      <c r="F1543" s="483"/>
    </row>
    <row r="1544" spans="1:6">
      <c r="A1544" s="482"/>
      <c r="B1544" s="483"/>
      <c r="C1544" s="483"/>
      <c r="D1544" s="483"/>
      <c r="E1544" s="483"/>
      <c r="F1544" s="483"/>
    </row>
    <row r="1545" spans="1:6">
      <c r="A1545" s="482"/>
      <c r="B1545" s="483"/>
      <c r="C1545" s="483"/>
      <c r="D1545" s="483"/>
      <c r="E1545" s="483"/>
      <c r="F1545" s="483"/>
    </row>
    <row r="1546" spans="1:6">
      <c r="A1546" s="482"/>
      <c r="B1546" s="483"/>
      <c r="C1546" s="483"/>
      <c r="D1546" s="483"/>
      <c r="E1546" s="483"/>
      <c r="F1546" s="483"/>
    </row>
    <row r="1547" spans="1:6">
      <c r="A1547" s="482"/>
      <c r="B1547" s="483"/>
      <c r="C1547" s="483"/>
      <c r="D1547" s="483"/>
      <c r="E1547" s="483"/>
      <c r="F1547" s="483"/>
    </row>
    <row r="1548" spans="1:6">
      <c r="A1548" s="482"/>
      <c r="B1548" s="483"/>
      <c r="C1548" s="483"/>
      <c r="D1548" s="483"/>
      <c r="E1548" s="483"/>
      <c r="F1548" s="483"/>
    </row>
    <row r="1549" spans="1:6">
      <c r="A1549" s="482"/>
      <c r="B1549" s="483"/>
      <c r="C1549" s="483"/>
      <c r="D1549" s="483"/>
      <c r="E1549" s="483"/>
      <c r="F1549" s="483"/>
    </row>
    <row r="1550" spans="1:6">
      <c r="A1550" s="482"/>
      <c r="B1550" s="483"/>
      <c r="C1550" s="483"/>
      <c r="D1550" s="483"/>
      <c r="E1550" s="483"/>
      <c r="F1550" s="483"/>
    </row>
    <row r="1551" spans="1:6">
      <c r="A1551" s="482"/>
      <c r="B1551" s="483"/>
      <c r="C1551" s="483"/>
      <c r="D1551" s="483"/>
      <c r="E1551" s="483"/>
      <c r="F1551" s="483"/>
    </row>
    <row r="1552" spans="1:6">
      <c r="A1552" s="482"/>
      <c r="B1552" s="483"/>
      <c r="C1552" s="483"/>
      <c r="D1552" s="483"/>
      <c r="E1552" s="483"/>
      <c r="F1552" s="483"/>
    </row>
    <row r="1553" spans="1:6">
      <c r="A1553" s="482"/>
      <c r="B1553" s="483"/>
      <c r="C1553" s="483"/>
      <c r="D1553" s="483"/>
      <c r="E1553" s="483"/>
      <c r="F1553" s="483"/>
    </row>
    <row r="1554" spans="1:6">
      <c r="A1554" s="482"/>
      <c r="B1554" s="483"/>
      <c r="C1554" s="483"/>
      <c r="D1554" s="483"/>
      <c r="E1554" s="483"/>
      <c r="F1554" s="483"/>
    </row>
    <row r="1555" spans="1:6">
      <c r="A1555" s="482"/>
      <c r="B1555" s="483"/>
      <c r="C1555" s="483"/>
      <c r="D1555" s="483"/>
      <c r="E1555" s="483"/>
      <c r="F1555" s="483"/>
    </row>
    <row r="1556" spans="1:6">
      <c r="A1556" s="482"/>
      <c r="B1556" s="483"/>
      <c r="C1556" s="483"/>
      <c r="D1556" s="483"/>
      <c r="E1556" s="483"/>
      <c r="F1556" s="483"/>
    </row>
    <row r="1557" spans="1:6">
      <c r="A1557" s="482"/>
      <c r="B1557" s="483"/>
      <c r="C1557" s="483"/>
      <c r="D1557" s="483"/>
      <c r="E1557" s="483"/>
      <c r="F1557" s="483"/>
    </row>
    <row r="1558" spans="1:6">
      <c r="A1558" s="482"/>
      <c r="B1558" s="483"/>
      <c r="C1558" s="483"/>
      <c r="D1558" s="483"/>
      <c r="E1558" s="483"/>
      <c r="F1558" s="483"/>
    </row>
    <row r="1559" spans="1:6">
      <c r="A1559" s="482"/>
      <c r="B1559" s="483"/>
      <c r="C1559" s="483"/>
      <c r="D1559" s="483"/>
      <c r="E1559" s="483"/>
      <c r="F1559" s="483"/>
    </row>
    <row r="1560" spans="1:6">
      <c r="A1560" s="482"/>
      <c r="B1560" s="483"/>
      <c r="C1560" s="483"/>
      <c r="D1560" s="483"/>
      <c r="E1560" s="483"/>
      <c r="F1560" s="483"/>
    </row>
    <row r="1561" spans="1:6">
      <c r="A1561" s="482"/>
      <c r="B1561" s="483"/>
      <c r="C1561" s="483"/>
      <c r="D1561" s="483"/>
      <c r="E1561" s="483"/>
      <c r="F1561" s="483"/>
    </row>
    <row r="1562" spans="1:6">
      <c r="A1562" s="482"/>
      <c r="B1562" s="483"/>
      <c r="C1562" s="483"/>
      <c r="D1562" s="483"/>
      <c r="E1562" s="483"/>
      <c r="F1562" s="483"/>
    </row>
    <row r="1563" spans="1:6">
      <c r="A1563" s="482"/>
      <c r="B1563" s="483"/>
      <c r="C1563" s="483"/>
      <c r="D1563" s="483"/>
      <c r="E1563" s="483"/>
      <c r="F1563" s="483"/>
    </row>
    <row r="1564" spans="1:6">
      <c r="A1564" s="482"/>
      <c r="B1564" s="483"/>
      <c r="C1564" s="483"/>
      <c r="D1564" s="483"/>
      <c r="E1564" s="483"/>
      <c r="F1564" s="483"/>
    </row>
    <row r="1565" spans="1:6">
      <c r="A1565" s="482"/>
      <c r="B1565" s="483"/>
      <c r="C1565" s="483"/>
      <c r="D1565" s="483"/>
      <c r="E1565" s="483"/>
      <c r="F1565" s="483"/>
    </row>
    <row r="1566" spans="1:6">
      <c r="A1566" s="482"/>
      <c r="B1566" s="483"/>
      <c r="C1566" s="483"/>
      <c r="D1566" s="483"/>
      <c r="E1566" s="483"/>
      <c r="F1566" s="483"/>
    </row>
    <row r="1567" spans="1:6">
      <c r="A1567" s="482"/>
      <c r="B1567" s="483"/>
      <c r="C1567" s="483"/>
      <c r="D1567" s="483"/>
      <c r="E1567" s="483"/>
      <c r="F1567" s="483"/>
    </row>
    <row r="1568" spans="1:6">
      <c r="A1568" s="482"/>
      <c r="B1568" s="483"/>
      <c r="C1568" s="483"/>
      <c r="D1568" s="483"/>
      <c r="E1568" s="483"/>
      <c r="F1568" s="483"/>
    </row>
    <row r="1569" spans="1:6">
      <c r="A1569" s="482"/>
      <c r="B1569" s="483"/>
      <c r="C1569" s="483"/>
      <c r="D1569" s="483"/>
      <c r="E1569" s="483"/>
      <c r="F1569" s="483"/>
    </row>
    <row r="1570" spans="1:6">
      <c r="A1570" s="482"/>
      <c r="B1570" s="483"/>
      <c r="C1570" s="483"/>
      <c r="D1570" s="483"/>
      <c r="E1570" s="483"/>
      <c r="F1570" s="483"/>
    </row>
    <row r="1571" spans="1:6">
      <c r="A1571" s="482"/>
      <c r="B1571" s="483"/>
      <c r="C1571" s="483"/>
      <c r="D1571" s="483"/>
      <c r="E1571" s="483"/>
      <c r="F1571" s="483"/>
    </row>
    <row r="1572" spans="1:6">
      <c r="A1572" s="482"/>
      <c r="B1572" s="483"/>
      <c r="C1572" s="483"/>
      <c r="D1572" s="483"/>
      <c r="E1572" s="483"/>
      <c r="F1572" s="483"/>
    </row>
    <row r="1573" spans="1:6">
      <c r="A1573" s="482"/>
      <c r="B1573" s="483"/>
      <c r="C1573" s="483"/>
      <c r="D1573" s="483"/>
      <c r="E1573" s="483"/>
      <c r="F1573" s="483"/>
    </row>
    <row r="1574" spans="1:6">
      <c r="A1574" s="482"/>
      <c r="B1574" s="483"/>
      <c r="C1574" s="483"/>
      <c r="D1574" s="483"/>
      <c r="E1574" s="483"/>
      <c r="F1574" s="483"/>
    </row>
    <row r="1575" spans="1:6">
      <c r="A1575" s="482"/>
      <c r="B1575" s="483"/>
      <c r="C1575" s="483"/>
      <c r="D1575" s="483"/>
      <c r="E1575" s="483"/>
      <c r="F1575" s="483"/>
    </row>
    <row r="1576" spans="1:6">
      <c r="A1576" s="482"/>
      <c r="B1576" s="483"/>
      <c r="C1576" s="483"/>
      <c r="D1576" s="483"/>
      <c r="E1576" s="483"/>
      <c r="F1576" s="483"/>
    </row>
    <row r="1577" spans="1:6">
      <c r="A1577" s="482"/>
      <c r="B1577" s="483"/>
      <c r="C1577" s="483"/>
      <c r="D1577" s="483"/>
      <c r="E1577" s="483"/>
      <c r="F1577" s="483"/>
    </row>
    <row r="1578" spans="1:6">
      <c r="A1578" s="482"/>
      <c r="B1578" s="483"/>
      <c r="C1578" s="483"/>
      <c r="D1578" s="483"/>
      <c r="E1578" s="483"/>
      <c r="F1578" s="483"/>
    </row>
    <row r="1579" spans="1:6">
      <c r="A1579" s="482"/>
      <c r="B1579" s="483"/>
      <c r="C1579" s="483"/>
      <c r="D1579" s="483"/>
      <c r="E1579" s="483"/>
      <c r="F1579" s="483"/>
    </row>
    <row r="1580" spans="1:6">
      <c r="A1580" s="482"/>
      <c r="B1580" s="483"/>
      <c r="C1580" s="483"/>
      <c r="D1580" s="483"/>
      <c r="E1580" s="483"/>
      <c r="F1580" s="483"/>
    </row>
    <row r="1581" spans="1:6">
      <c r="A1581" s="482"/>
      <c r="B1581" s="483"/>
      <c r="C1581" s="483"/>
      <c r="D1581" s="483"/>
      <c r="E1581" s="483"/>
      <c r="F1581" s="483"/>
    </row>
    <row r="1582" spans="1:6">
      <c r="A1582" s="482"/>
      <c r="B1582" s="483"/>
      <c r="C1582" s="483"/>
      <c r="D1582" s="483"/>
      <c r="E1582" s="483"/>
      <c r="F1582" s="483"/>
    </row>
    <row r="1583" spans="1:6">
      <c r="A1583" s="482"/>
      <c r="B1583" s="483"/>
      <c r="C1583" s="483"/>
      <c r="D1583" s="483"/>
      <c r="E1583" s="483"/>
      <c r="F1583" s="483"/>
    </row>
    <row r="1584" spans="1:6">
      <c r="A1584" s="482"/>
      <c r="B1584" s="483"/>
      <c r="C1584" s="483"/>
      <c r="D1584" s="483"/>
      <c r="E1584" s="483"/>
      <c r="F1584" s="483"/>
    </row>
    <row r="1585" spans="1:6">
      <c r="A1585" s="482"/>
      <c r="B1585" s="483"/>
      <c r="C1585" s="483"/>
      <c r="D1585" s="483"/>
      <c r="E1585" s="483"/>
      <c r="F1585" s="483"/>
    </row>
    <row r="1586" spans="1:6">
      <c r="A1586" s="482"/>
      <c r="B1586" s="483"/>
      <c r="C1586" s="483"/>
      <c r="D1586" s="483"/>
      <c r="E1586" s="483"/>
      <c r="F1586" s="483"/>
    </row>
    <row r="1587" spans="1:6">
      <c r="A1587" s="482"/>
      <c r="B1587" s="483"/>
      <c r="C1587" s="483"/>
      <c r="D1587" s="483"/>
      <c r="E1587" s="483"/>
      <c r="F1587" s="483"/>
    </row>
    <row r="1588" spans="1:6">
      <c r="A1588" s="482"/>
      <c r="B1588" s="483"/>
      <c r="C1588" s="483"/>
      <c r="D1588" s="483"/>
      <c r="E1588" s="483"/>
      <c r="F1588" s="483"/>
    </row>
    <row r="1589" spans="1:6">
      <c r="A1589" s="482"/>
      <c r="B1589" s="483"/>
      <c r="C1589" s="483"/>
      <c r="D1589" s="483"/>
      <c r="E1589" s="483"/>
      <c r="F1589" s="483"/>
    </row>
    <row r="1590" spans="1:6">
      <c r="A1590" s="482"/>
      <c r="B1590" s="483"/>
      <c r="C1590" s="483"/>
      <c r="D1590" s="483"/>
      <c r="E1590" s="483"/>
      <c r="F1590" s="483"/>
    </row>
    <row r="1591" spans="1:6">
      <c r="A1591" s="482"/>
      <c r="B1591" s="483"/>
      <c r="C1591" s="483"/>
      <c r="D1591" s="483"/>
      <c r="E1591" s="483"/>
      <c r="F1591" s="483"/>
    </row>
    <row r="1592" spans="1:6">
      <c r="A1592" s="482"/>
      <c r="B1592" s="483"/>
      <c r="C1592" s="483"/>
      <c r="D1592" s="483"/>
      <c r="E1592" s="483"/>
      <c r="F1592" s="483"/>
    </row>
    <row r="1593" spans="1:6">
      <c r="A1593" s="482"/>
      <c r="B1593" s="483"/>
      <c r="C1593" s="483"/>
      <c r="D1593" s="483"/>
      <c r="E1593" s="483"/>
      <c r="F1593" s="483"/>
    </row>
    <row r="1594" spans="1:6">
      <c r="A1594" s="482"/>
      <c r="B1594" s="483"/>
      <c r="C1594" s="483"/>
      <c r="D1594" s="483"/>
      <c r="E1594" s="483"/>
      <c r="F1594" s="483"/>
    </row>
    <row r="1595" spans="1:6">
      <c r="A1595" s="482"/>
      <c r="B1595" s="483"/>
      <c r="C1595" s="483"/>
      <c r="D1595" s="483"/>
      <c r="E1595" s="483"/>
      <c r="F1595" s="483"/>
    </row>
    <row r="1596" spans="1:6">
      <c r="A1596" s="482"/>
      <c r="B1596" s="483"/>
      <c r="C1596" s="483"/>
      <c r="D1596" s="483"/>
      <c r="E1596" s="483"/>
      <c r="F1596" s="483"/>
    </row>
    <row r="1597" spans="1:6">
      <c r="A1597" s="482"/>
      <c r="B1597" s="483"/>
      <c r="C1597" s="483"/>
      <c r="D1597" s="483"/>
      <c r="E1597" s="483"/>
      <c r="F1597" s="483"/>
    </row>
    <row r="1598" spans="1:6">
      <c r="A1598" s="482"/>
      <c r="B1598" s="483"/>
      <c r="C1598" s="483"/>
      <c r="D1598" s="483"/>
      <c r="E1598" s="483"/>
      <c r="F1598" s="483"/>
    </row>
    <row r="1599" spans="1:6">
      <c r="A1599" s="482"/>
      <c r="B1599" s="483"/>
      <c r="C1599" s="483"/>
      <c r="D1599" s="483"/>
      <c r="E1599" s="483"/>
      <c r="F1599" s="483"/>
    </row>
    <row r="1600" spans="1:6">
      <c r="A1600" s="482"/>
      <c r="B1600" s="483"/>
      <c r="C1600" s="483"/>
      <c r="D1600" s="483"/>
      <c r="E1600" s="483"/>
      <c r="F1600" s="483"/>
    </row>
    <row r="1601" spans="1:6">
      <c r="A1601" s="482"/>
      <c r="B1601" s="483"/>
      <c r="C1601" s="483"/>
      <c r="D1601" s="483"/>
      <c r="E1601" s="483"/>
      <c r="F1601" s="483"/>
    </row>
    <row r="1602" spans="1:6">
      <c r="A1602" s="482"/>
      <c r="B1602" s="483"/>
      <c r="C1602" s="483"/>
      <c r="D1602" s="483"/>
      <c r="E1602" s="483"/>
      <c r="F1602" s="483"/>
    </row>
    <row r="1603" spans="1:6">
      <c r="A1603" s="482"/>
      <c r="B1603" s="483"/>
      <c r="C1603" s="483"/>
      <c r="D1603" s="483"/>
      <c r="E1603" s="483"/>
      <c r="F1603" s="483"/>
    </row>
    <row r="1604" spans="1:6">
      <c r="A1604" s="482"/>
      <c r="B1604" s="483"/>
      <c r="C1604" s="483"/>
      <c r="D1604" s="483"/>
      <c r="E1604" s="483"/>
      <c r="F1604" s="483"/>
    </row>
    <row r="1605" spans="1:6">
      <c r="A1605" s="482"/>
      <c r="B1605" s="483"/>
      <c r="C1605" s="483"/>
      <c r="D1605" s="483"/>
      <c r="E1605" s="483"/>
      <c r="F1605" s="483"/>
    </row>
    <row r="1606" spans="1:6">
      <c r="A1606" s="482"/>
      <c r="B1606" s="483"/>
      <c r="C1606" s="483"/>
      <c r="D1606" s="483"/>
      <c r="E1606" s="483"/>
      <c r="F1606" s="483"/>
    </row>
    <row r="1607" spans="1:6">
      <c r="A1607" s="482"/>
      <c r="B1607" s="483"/>
      <c r="C1607" s="483"/>
      <c r="D1607" s="483"/>
      <c r="E1607" s="483"/>
      <c r="F1607" s="483"/>
    </row>
    <row r="1608" spans="1:6">
      <c r="A1608" s="482"/>
      <c r="B1608" s="483"/>
      <c r="C1608" s="483"/>
      <c r="D1608" s="483"/>
      <c r="E1608" s="483"/>
      <c r="F1608" s="483"/>
    </row>
    <row r="1609" spans="1:6">
      <c r="A1609" s="482"/>
      <c r="B1609" s="483"/>
      <c r="C1609" s="483"/>
      <c r="D1609" s="483"/>
      <c r="E1609" s="483"/>
      <c r="F1609" s="483"/>
    </row>
    <row r="1610" spans="1:6">
      <c r="A1610" s="482"/>
      <c r="B1610" s="483"/>
      <c r="C1610" s="483"/>
      <c r="D1610" s="483"/>
      <c r="E1610" s="483"/>
      <c r="F1610" s="483"/>
    </row>
    <row r="1611" spans="1:6">
      <c r="A1611" s="482"/>
      <c r="B1611" s="483"/>
      <c r="C1611" s="483"/>
      <c r="D1611" s="483"/>
      <c r="E1611" s="483"/>
      <c r="F1611" s="483"/>
    </row>
    <row r="1612" spans="1:6">
      <c r="A1612" s="482"/>
      <c r="B1612" s="483"/>
      <c r="C1612" s="483"/>
      <c r="D1612" s="483"/>
      <c r="E1612" s="483"/>
      <c r="F1612" s="483"/>
    </row>
    <row r="1613" spans="1:6">
      <c r="A1613" s="482"/>
      <c r="B1613" s="483"/>
      <c r="C1613" s="483"/>
      <c r="D1613" s="483"/>
      <c r="E1613" s="483"/>
      <c r="F1613" s="483"/>
    </row>
    <row r="1614" spans="1:6">
      <c r="A1614" s="482"/>
      <c r="B1614" s="483"/>
      <c r="C1614" s="483"/>
      <c r="D1614" s="483"/>
      <c r="E1614" s="483"/>
      <c r="F1614" s="483"/>
    </row>
    <row r="1615" spans="1:6">
      <c r="A1615" s="482"/>
      <c r="B1615" s="483"/>
      <c r="C1615" s="483"/>
      <c r="D1615" s="483"/>
      <c r="E1615" s="483"/>
      <c r="F1615" s="483"/>
    </row>
    <row r="1616" spans="1:6">
      <c r="A1616" s="482"/>
      <c r="B1616" s="483"/>
      <c r="C1616" s="483"/>
      <c r="D1616" s="483"/>
      <c r="E1616" s="483"/>
      <c r="F1616" s="483"/>
    </row>
    <row r="1617" spans="1:6">
      <c r="A1617" s="482"/>
      <c r="B1617" s="483"/>
      <c r="C1617" s="483"/>
      <c r="D1617" s="483"/>
      <c r="E1617" s="483"/>
      <c r="F1617" s="483"/>
    </row>
    <row r="1618" spans="1:6">
      <c r="A1618" s="482"/>
      <c r="B1618" s="483"/>
      <c r="C1618" s="483"/>
      <c r="D1618" s="483"/>
      <c r="E1618" s="483"/>
      <c r="F1618" s="483"/>
    </row>
    <row r="1619" spans="1:6">
      <c r="A1619" s="482"/>
      <c r="B1619" s="483"/>
      <c r="C1619" s="483"/>
      <c r="D1619" s="483"/>
      <c r="E1619" s="483"/>
      <c r="F1619" s="483"/>
    </row>
    <row r="1620" spans="1:6">
      <c r="A1620" s="482"/>
      <c r="B1620" s="483"/>
      <c r="C1620" s="483"/>
      <c r="D1620" s="483"/>
      <c r="E1620" s="483"/>
      <c r="F1620" s="483"/>
    </row>
    <row r="1621" spans="1:6">
      <c r="A1621" s="482"/>
      <c r="B1621" s="483"/>
      <c r="C1621" s="483"/>
      <c r="D1621" s="483"/>
      <c r="E1621" s="483"/>
      <c r="F1621" s="483"/>
    </row>
    <row r="1622" spans="1:6">
      <c r="A1622" s="482"/>
      <c r="B1622" s="483"/>
      <c r="C1622" s="483"/>
      <c r="D1622" s="483"/>
      <c r="E1622" s="483"/>
      <c r="F1622" s="483"/>
    </row>
    <row r="1623" spans="1:6">
      <c r="A1623" s="482"/>
      <c r="B1623" s="483"/>
      <c r="C1623" s="483"/>
      <c r="D1623" s="483"/>
      <c r="E1623" s="483"/>
      <c r="F1623" s="483"/>
    </row>
    <row r="1624" spans="1:6">
      <c r="A1624" s="482"/>
      <c r="B1624" s="483"/>
      <c r="C1624" s="483"/>
      <c r="D1624" s="483"/>
      <c r="E1624" s="483"/>
      <c r="F1624" s="483"/>
    </row>
    <row r="1625" spans="1:6">
      <c r="A1625" s="482"/>
      <c r="B1625" s="483"/>
      <c r="C1625" s="483"/>
      <c r="D1625" s="483"/>
      <c r="E1625" s="483"/>
      <c r="F1625" s="483"/>
    </row>
    <row r="1626" spans="1:6">
      <c r="A1626" s="482"/>
      <c r="B1626" s="483"/>
      <c r="C1626" s="483"/>
      <c r="D1626" s="483"/>
      <c r="E1626" s="483"/>
      <c r="F1626" s="483"/>
    </row>
    <row r="1627" spans="1:6">
      <c r="A1627" s="482"/>
      <c r="B1627" s="483"/>
      <c r="C1627" s="483"/>
      <c r="D1627" s="483"/>
      <c r="E1627" s="483"/>
      <c r="F1627" s="483"/>
    </row>
    <row r="1628" spans="1:6">
      <c r="A1628" s="482"/>
      <c r="B1628" s="483"/>
      <c r="C1628" s="483"/>
      <c r="D1628" s="483"/>
      <c r="E1628" s="483"/>
      <c r="F1628" s="483"/>
    </row>
    <row r="1629" spans="1:6">
      <c r="A1629" s="482"/>
      <c r="B1629" s="483"/>
      <c r="C1629" s="483"/>
      <c r="D1629" s="483"/>
      <c r="E1629" s="483"/>
      <c r="F1629" s="483"/>
    </row>
    <row r="1630" spans="1:6">
      <c r="A1630" s="482"/>
      <c r="B1630" s="483"/>
      <c r="C1630" s="483"/>
      <c r="D1630" s="483"/>
      <c r="E1630" s="483"/>
      <c r="F1630" s="483"/>
    </row>
    <row r="1631" spans="1:6">
      <c r="A1631" s="482"/>
      <c r="B1631" s="483"/>
      <c r="C1631" s="483"/>
      <c r="D1631" s="483"/>
      <c r="E1631" s="483"/>
      <c r="F1631" s="483"/>
    </row>
    <row r="1632" spans="1:6">
      <c r="A1632" s="482"/>
      <c r="B1632" s="483"/>
      <c r="C1632" s="483"/>
      <c r="D1632" s="483"/>
      <c r="E1632" s="483"/>
      <c r="F1632" s="483"/>
    </row>
    <row r="1633" spans="1:6">
      <c r="A1633" s="482"/>
      <c r="B1633" s="483"/>
      <c r="C1633" s="483"/>
      <c r="D1633" s="483"/>
      <c r="E1633" s="483"/>
      <c r="F1633" s="483"/>
    </row>
    <row r="1634" spans="1:6">
      <c r="A1634" s="482"/>
      <c r="B1634" s="483"/>
      <c r="C1634" s="483"/>
      <c r="D1634" s="483"/>
      <c r="E1634" s="483"/>
      <c r="F1634" s="483"/>
    </row>
    <row r="1635" spans="1:6">
      <c r="A1635" s="482"/>
      <c r="B1635" s="483"/>
      <c r="C1635" s="483"/>
      <c r="D1635" s="483"/>
      <c r="E1635" s="483"/>
      <c r="F1635" s="483"/>
    </row>
    <row r="1636" spans="1:6">
      <c r="A1636" s="482"/>
      <c r="B1636" s="483"/>
      <c r="C1636" s="483"/>
      <c r="D1636" s="483"/>
      <c r="E1636" s="483"/>
      <c r="F1636" s="483"/>
    </row>
    <row r="1637" spans="1:6">
      <c r="A1637" s="482"/>
      <c r="B1637" s="483"/>
      <c r="C1637" s="483"/>
      <c r="D1637" s="483"/>
      <c r="E1637" s="483"/>
      <c r="F1637" s="483"/>
    </row>
    <row r="1638" spans="1:6">
      <c r="A1638" s="482"/>
      <c r="B1638" s="483"/>
      <c r="C1638" s="483"/>
      <c r="D1638" s="483"/>
      <c r="E1638" s="483"/>
      <c r="F1638" s="483"/>
    </row>
    <row r="1639" spans="1:6">
      <c r="A1639" s="482"/>
      <c r="B1639" s="483"/>
      <c r="C1639" s="483"/>
      <c r="D1639" s="483"/>
      <c r="E1639" s="483"/>
      <c r="F1639" s="483"/>
    </row>
    <row r="1640" spans="1:6">
      <c r="A1640" s="482"/>
      <c r="B1640" s="483"/>
      <c r="C1640" s="483"/>
      <c r="D1640" s="483"/>
      <c r="E1640" s="483"/>
      <c r="F1640" s="483"/>
    </row>
    <row r="1641" spans="1:6">
      <c r="A1641" s="482"/>
      <c r="B1641" s="483"/>
      <c r="C1641" s="483"/>
      <c r="D1641" s="483"/>
      <c r="E1641" s="483"/>
      <c r="F1641" s="483"/>
    </row>
    <row r="1642" spans="1:6">
      <c r="A1642" s="482"/>
      <c r="B1642" s="483"/>
      <c r="C1642" s="483"/>
      <c r="D1642" s="483"/>
      <c r="E1642" s="483"/>
      <c r="F1642" s="483"/>
    </row>
    <row r="1643" spans="1:6">
      <c r="A1643" s="482"/>
      <c r="B1643" s="483"/>
      <c r="C1643" s="483"/>
      <c r="D1643" s="483"/>
      <c r="E1643" s="483"/>
      <c r="F1643" s="483"/>
    </row>
    <row r="1644" spans="1:6">
      <c r="A1644" s="482"/>
      <c r="B1644" s="483"/>
      <c r="C1644" s="483"/>
      <c r="D1644" s="483"/>
      <c r="E1644" s="483"/>
      <c r="F1644" s="483"/>
    </row>
    <row r="1645" spans="1:6">
      <c r="A1645" s="482"/>
      <c r="B1645" s="483"/>
      <c r="C1645" s="483"/>
      <c r="D1645" s="483"/>
      <c r="E1645" s="483"/>
      <c r="F1645" s="483"/>
    </row>
    <row r="1646" spans="1:6">
      <c r="A1646" s="482"/>
      <c r="B1646" s="483"/>
      <c r="C1646" s="483"/>
      <c r="D1646" s="483"/>
      <c r="E1646" s="483"/>
      <c r="F1646" s="483"/>
    </row>
    <row r="1647" spans="1:6">
      <c r="A1647" s="482"/>
      <c r="B1647" s="483"/>
      <c r="C1647" s="483"/>
      <c r="D1647" s="483"/>
      <c r="E1647" s="483"/>
      <c r="F1647" s="483"/>
    </row>
    <row r="1648" spans="1:6">
      <c r="A1648" s="482"/>
      <c r="B1648" s="483"/>
      <c r="C1648" s="483"/>
      <c r="D1648" s="483"/>
      <c r="E1648" s="483"/>
      <c r="F1648" s="483"/>
    </row>
    <row r="1649" spans="1:6">
      <c r="A1649" s="482"/>
      <c r="B1649" s="483"/>
      <c r="C1649" s="483"/>
      <c r="D1649" s="483"/>
      <c r="E1649" s="483"/>
      <c r="F1649" s="483"/>
    </row>
    <row r="1650" spans="1:6">
      <c r="A1650" s="482"/>
      <c r="B1650" s="483"/>
      <c r="C1650" s="483"/>
      <c r="D1650" s="483"/>
      <c r="E1650" s="483"/>
      <c r="F1650" s="483"/>
    </row>
    <row r="1651" spans="1:6">
      <c r="A1651" s="482"/>
      <c r="B1651" s="483"/>
      <c r="C1651" s="483"/>
      <c r="D1651" s="483"/>
      <c r="E1651" s="483"/>
      <c r="F1651" s="483"/>
    </row>
    <row r="1652" spans="1:6">
      <c r="A1652" s="482"/>
      <c r="B1652" s="483"/>
      <c r="C1652" s="483"/>
      <c r="D1652" s="483"/>
      <c r="E1652" s="483"/>
      <c r="F1652" s="483"/>
    </row>
    <row r="1653" spans="1:6">
      <c r="A1653" s="482"/>
      <c r="B1653" s="483"/>
      <c r="C1653" s="483"/>
      <c r="D1653" s="483"/>
      <c r="E1653" s="483"/>
      <c r="F1653" s="483"/>
    </row>
    <row r="1654" spans="1:6">
      <c r="A1654" s="482"/>
      <c r="B1654" s="483"/>
      <c r="C1654" s="483"/>
      <c r="D1654" s="483"/>
      <c r="E1654" s="483"/>
      <c r="F1654" s="483"/>
    </row>
    <row r="1655" spans="1:6">
      <c r="A1655" s="482"/>
      <c r="B1655" s="483"/>
      <c r="C1655" s="483"/>
      <c r="D1655" s="483"/>
      <c r="E1655" s="483"/>
      <c r="F1655" s="483"/>
    </row>
    <row r="1656" spans="1:6">
      <c r="A1656" s="482"/>
      <c r="B1656" s="483"/>
      <c r="C1656" s="483"/>
      <c r="D1656" s="483"/>
      <c r="E1656" s="483"/>
      <c r="F1656" s="483"/>
    </row>
    <row r="1657" spans="1:6">
      <c r="A1657" s="482"/>
      <c r="B1657" s="483"/>
      <c r="C1657" s="483"/>
      <c r="D1657" s="483"/>
      <c r="E1657" s="483"/>
      <c r="F1657" s="483"/>
    </row>
    <row r="1658" spans="1:6">
      <c r="A1658" s="482"/>
      <c r="B1658" s="483"/>
      <c r="C1658" s="483"/>
      <c r="D1658" s="483"/>
      <c r="E1658" s="483"/>
      <c r="F1658" s="483"/>
    </row>
    <row r="1659" spans="1:6">
      <c r="A1659" s="482"/>
      <c r="B1659" s="483"/>
      <c r="C1659" s="483"/>
      <c r="D1659" s="483"/>
      <c r="E1659" s="483"/>
      <c r="F1659" s="483"/>
    </row>
    <row r="1660" spans="1:6">
      <c r="A1660" s="482"/>
      <c r="B1660" s="483"/>
      <c r="C1660" s="483"/>
      <c r="D1660" s="483"/>
      <c r="E1660" s="483"/>
      <c r="F1660" s="483"/>
    </row>
    <row r="1661" spans="1:6">
      <c r="A1661" s="482"/>
      <c r="B1661" s="483"/>
      <c r="C1661" s="483"/>
      <c r="D1661" s="483"/>
      <c r="E1661" s="483"/>
      <c r="F1661" s="483"/>
    </row>
    <row r="1662" spans="1:6">
      <c r="A1662" s="482"/>
      <c r="B1662" s="483"/>
      <c r="C1662" s="483"/>
      <c r="D1662" s="483"/>
      <c r="E1662" s="483"/>
      <c r="F1662" s="483"/>
    </row>
    <row r="1663" spans="1:6">
      <c r="A1663" s="482"/>
      <c r="B1663" s="483"/>
      <c r="C1663" s="483"/>
      <c r="D1663" s="483"/>
      <c r="E1663" s="483"/>
      <c r="F1663" s="483"/>
    </row>
    <row r="1664" spans="1:6">
      <c r="A1664" s="482"/>
      <c r="B1664" s="483"/>
      <c r="C1664" s="483"/>
      <c r="D1664" s="483"/>
      <c r="E1664" s="483"/>
      <c r="F1664" s="483"/>
    </row>
    <row r="1665" spans="1:6">
      <c r="A1665" s="482"/>
      <c r="B1665" s="483"/>
      <c r="C1665" s="483"/>
      <c r="D1665" s="483"/>
      <c r="E1665" s="483"/>
      <c r="F1665" s="483"/>
    </row>
    <row r="1666" spans="1:6">
      <c r="A1666" s="482"/>
      <c r="B1666" s="483"/>
      <c r="C1666" s="483"/>
      <c r="D1666" s="483"/>
      <c r="E1666" s="483"/>
      <c r="F1666" s="483"/>
    </row>
    <row r="1667" spans="1:6">
      <c r="A1667" s="482"/>
      <c r="B1667" s="483"/>
      <c r="C1667" s="483"/>
      <c r="D1667" s="483"/>
      <c r="E1667" s="483"/>
      <c r="F1667" s="483"/>
    </row>
    <row r="1668" spans="1:6">
      <c r="A1668" s="482"/>
      <c r="B1668" s="483"/>
      <c r="C1668" s="483"/>
      <c r="D1668" s="483"/>
      <c r="E1668" s="483"/>
      <c r="F1668" s="483"/>
    </row>
    <row r="1669" spans="1:6">
      <c r="A1669" s="482"/>
      <c r="B1669" s="483"/>
      <c r="C1669" s="483"/>
      <c r="D1669" s="483"/>
      <c r="E1669" s="483"/>
      <c r="F1669" s="483"/>
    </row>
    <row r="1670" spans="1:6">
      <c r="A1670" s="482"/>
      <c r="B1670" s="483"/>
      <c r="C1670" s="483"/>
      <c r="D1670" s="483"/>
      <c r="E1670" s="483"/>
      <c r="F1670" s="483"/>
    </row>
    <row r="1671" spans="1:6">
      <c r="A1671" s="482"/>
      <c r="B1671" s="483"/>
      <c r="C1671" s="483"/>
      <c r="D1671" s="483"/>
      <c r="E1671" s="483"/>
      <c r="F1671" s="483"/>
    </row>
    <row r="1672" spans="1:6">
      <c r="A1672" s="482"/>
      <c r="B1672" s="483"/>
      <c r="C1672" s="483"/>
      <c r="D1672" s="483"/>
      <c r="E1672" s="483"/>
      <c r="F1672" s="483"/>
    </row>
    <row r="1673" spans="1:6">
      <c r="A1673" s="482"/>
      <c r="B1673" s="483"/>
      <c r="C1673" s="483"/>
      <c r="D1673" s="483"/>
      <c r="E1673" s="483"/>
      <c r="F1673" s="483"/>
    </row>
    <row r="1674" spans="1:6">
      <c r="A1674" s="482"/>
      <c r="B1674" s="483"/>
      <c r="C1674" s="483"/>
      <c r="D1674" s="483"/>
      <c r="E1674" s="483"/>
      <c r="F1674" s="483"/>
    </row>
    <row r="1675" spans="1:6">
      <c r="A1675" s="482"/>
      <c r="B1675" s="483"/>
      <c r="C1675" s="483"/>
      <c r="D1675" s="483"/>
      <c r="E1675" s="483"/>
      <c r="F1675" s="483"/>
    </row>
    <row r="1676" spans="1:6">
      <c r="A1676" s="482"/>
      <c r="B1676" s="483"/>
      <c r="C1676" s="483"/>
      <c r="D1676" s="483"/>
      <c r="E1676" s="483"/>
      <c r="F1676" s="483"/>
    </row>
    <row r="1677" spans="1:6">
      <c r="A1677" s="482"/>
      <c r="B1677" s="483"/>
      <c r="C1677" s="483"/>
      <c r="D1677" s="483"/>
      <c r="E1677" s="483"/>
      <c r="F1677" s="483"/>
    </row>
    <row r="1678" spans="1:6">
      <c r="A1678" s="482"/>
      <c r="B1678" s="483"/>
      <c r="C1678" s="483"/>
      <c r="D1678" s="483"/>
      <c r="E1678" s="483"/>
      <c r="F1678" s="483"/>
    </row>
    <row r="1679" spans="1:6">
      <c r="A1679" s="482"/>
      <c r="B1679" s="483"/>
      <c r="C1679" s="483"/>
      <c r="D1679" s="483"/>
      <c r="E1679" s="483"/>
      <c r="F1679" s="483"/>
    </row>
    <row r="1680" spans="1:6">
      <c r="A1680" s="482"/>
      <c r="B1680" s="483"/>
      <c r="C1680" s="483"/>
      <c r="D1680" s="483"/>
      <c r="E1680" s="483"/>
      <c r="F1680" s="483"/>
    </row>
    <row r="1681" spans="1:6">
      <c r="A1681" s="482"/>
      <c r="B1681" s="483"/>
      <c r="C1681" s="483"/>
      <c r="D1681" s="483"/>
      <c r="E1681" s="483"/>
      <c r="F1681" s="483"/>
    </row>
    <row r="1682" spans="1:6">
      <c r="A1682" s="482"/>
      <c r="B1682" s="483"/>
      <c r="C1682" s="483"/>
      <c r="D1682" s="483"/>
      <c r="E1682" s="483"/>
      <c r="F1682" s="483"/>
    </row>
    <row r="1683" spans="1:6">
      <c r="A1683" s="482"/>
      <c r="B1683" s="483"/>
      <c r="C1683" s="483"/>
      <c r="D1683" s="483"/>
      <c r="E1683" s="483"/>
      <c r="F1683" s="483"/>
    </row>
    <row r="1684" spans="1:6">
      <c r="A1684" s="482"/>
      <c r="B1684" s="483"/>
      <c r="C1684" s="483"/>
      <c r="D1684" s="483"/>
      <c r="E1684" s="483"/>
      <c r="F1684" s="483"/>
    </row>
    <row r="1685" spans="1:6">
      <c r="A1685" s="482"/>
      <c r="B1685" s="483"/>
      <c r="C1685" s="483"/>
      <c r="D1685" s="483"/>
      <c r="E1685" s="483"/>
      <c r="F1685" s="483"/>
    </row>
    <row r="1686" spans="1:6">
      <c r="A1686" s="482"/>
      <c r="B1686" s="483"/>
      <c r="C1686" s="483"/>
      <c r="D1686" s="483"/>
      <c r="E1686" s="483"/>
      <c r="F1686" s="483"/>
    </row>
    <row r="1687" spans="1:6">
      <c r="A1687" s="482"/>
      <c r="B1687" s="483"/>
      <c r="C1687" s="483"/>
      <c r="D1687" s="483"/>
      <c r="E1687" s="483"/>
      <c r="F1687" s="483"/>
    </row>
    <row r="1688" spans="1:6">
      <c r="A1688" s="482"/>
      <c r="B1688" s="483"/>
      <c r="C1688" s="483"/>
      <c r="D1688" s="483"/>
      <c r="E1688" s="483"/>
      <c r="F1688" s="483"/>
    </row>
    <row r="1689" spans="1:6">
      <c r="A1689" s="482"/>
      <c r="B1689" s="483"/>
      <c r="C1689" s="483"/>
      <c r="D1689" s="483"/>
      <c r="E1689" s="483"/>
      <c r="F1689" s="483"/>
    </row>
    <row r="1690" spans="1:6">
      <c r="A1690" s="482"/>
      <c r="B1690" s="483"/>
      <c r="C1690" s="483"/>
      <c r="D1690" s="483"/>
      <c r="E1690" s="483"/>
      <c r="F1690" s="483"/>
    </row>
    <row r="1691" spans="1:6">
      <c r="A1691" s="482"/>
      <c r="B1691" s="483"/>
      <c r="C1691" s="483"/>
      <c r="D1691" s="483"/>
      <c r="E1691" s="483"/>
      <c r="F1691" s="483"/>
    </row>
    <row r="1692" spans="1:6">
      <c r="A1692" s="482"/>
      <c r="B1692" s="483"/>
      <c r="C1692" s="483"/>
      <c r="D1692" s="483"/>
      <c r="E1692" s="483"/>
      <c r="F1692" s="483"/>
    </row>
    <row r="1693" spans="1:6">
      <c r="A1693" s="482"/>
      <c r="B1693" s="483"/>
      <c r="C1693" s="483"/>
      <c r="D1693" s="483"/>
      <c r="E1693" s="483"/>
      <c r="F1693" s="483"/>
    </row>
    <row r="1694" spans="1:6">
      <c r="A1694" s="482"/>
      <c r="B1694" s="483"/>
      <c r="C1694" s="483"/>
      <c r="D1694" s="483"/>
      <c r="E1694" s="483"/>
      <c r="F1694" s="483"/>
    </row>
    <row r="1695" spans="1:6">
      <c r="A1695" s="482"/>
      <c r="B1695" s="483"/>
      <c r="C1695" s="483"/>
      <c r="D1695" s="483"/>
      <c r="E1695" s="483"/>
      <c r="F1695" s="483"/>
    </row>
    <row r="1696" spans="1:6">
      <c r="A1696" s="482"/>
      <c r="B1696" s="483"/>
      <c r="C1696" s="483"/>
      <c r="D1696" s="483"/>
      <c r="E1696" s="483"/>
      <c r="F1696" s="483"/>
    </row>
    <row r="1697" spans="1:6">
      <c r="A1697" s="482"/>
      <c r="B1697" s="483"/>
      <c r="C1697" s="483"/>
      <c r="D1697" s="483"/>
      <c r="E1697" s="483"/>
      <c r="F1697" s="483"/>
    </row>
    <row r="1698" spans="1:6">
      <c r="A1698" s="482"/>
      <c r="B1698" s="483"/>
      <c r="C1698" s="483"/>
      <c r="D1698" s="483"/>
      <c r="E1698" s="483"/>
      <c r="F1698" s="483"/>
    </row>
    <row r="1699" spans="1:6">
      <c r="A1699" s="482"/>
      <c r="B1699" s="483"/>
      <c r="C1699" s="483"/>
      <c r="D1699" s="483"/>
      <c r="E1699" s="483"/>
      <c r="F1699" s="483"/>
    </row>
    <row r="1700" spans="1:6">
      <c r="A1700" s="482"/>
      <c r="B1700" s="483"/>
      <c r="C1700" s="483"/>
      <c r="D1700" s="483"/>
      <c r="E1700" s="483"/>
      <c r="F1700" s="483"/>
    </row>
    <row r="1701" spans="1:6">
      <c r="A1701" s="482"/>
      <c r="B1701" s="483"/>
      <c r="C1701" s="483"/>
      <c r="D1701" s="483"/>
      <c r="E1701" s="483"/>
      <c r="F1701" s="483"/>
    </row>
    <row r="1702" spans="1:6">
      <c r="A1702" s="482"/>
      <c r="B1702" s="483"/>
      <c r="C1702" s="483"/>
      <c r="D1702" s="483"/>
      <c r="E1702" s="483"/>
      <c r="F1702" s="483"/>
    </row>
    <row r="1703" spans="1:6">
      <c r="A1703" s="482"/>
      <c r="B1703" s="483"/>
      <c r="C1703" s="483"/>
      <c r="D1703" s="483"/>
      <c r="E1703" s="483"/>
      <c r="F1703" s="483"/>
    </row>
    <row r="1704" spans="1:6">
      <c r="A1704" s="482"/>
      <c r="B1704" s="483"/>
      <c r="C1704" s="483"/>
      <c r="D1704" s="483"/>
      <c r="E1704" s="483"/>
      <c r="F1704" s="483"/>
    </row>
    <row r="1705" spans="1:6">
      <c r="A1705" s="482"/>
      <c r="B1705" s="483"/>
      <c r="C1705" s="483"/>
      <c r="D1705" s="483"/>
      <c r="E1705" s="483"/>
      <c r="F1705" s="483"/>
    </row>
    <row r="1706" spans="1:6">
      <c r="A1706" s="482"/>
      <c r="B1706" s="483"/>
      <c r="C1706" s="483"/>
      <c r="D1706" s="483"/>
      <c r="E1706" s="483"/>
      <c r="F1706" s="483"/>
    </row>
    <row r="1707" spans="1:6">
      <c r="A1707" s="482"/>
      <c r="B1707" s="483"/>
      <c r="C1707" s="483"/>
      <c r="D1707" s="483"/>
      <c r="E1707" s="483"/>
      <c r="F1707" s="483"/>
    </row>
    <row r="1708" spans="1:6">
      <c r="A1708" s="482"/>
      <c r="B1708" s="483"/>
      <c r="C1708" s="483"/>
      <c r="D1708" s="483"/>
      <c r="E1708" s="483"/>
      <c r="F1708" s="483"/>
    </row>
    <row r="1709" spans="1:6">
      <c r="A1709" s="482"/>
      <c r="B1709" s="483"/>
      <c r="C1709" s="483"/>
      <c r="D1709" s="483"/>
      <c r="E1709" s="483"/>
      <c r="F1709" s="483"/>
    </row>
    <row r="1710" spans="1:6">
      <c r="A1710" s="482"/>
      <c r="B1710" s="483"/>
      <c r="C1710" s="483"/>
      <c r="D1710" s="483"/>
      <c r="E1710" s="483"/>
      <c r="F1710" s="483"/>
    </row>
    <row r="1711" spans="1:6">
      <c r="A1711" s="482"/>
      <c r="B1711" s="483"/>
      <c r="C1711" s="483"/>
      <c r="D1711" s="483"/>
      <c r="E1711" s="483"/>
      <c r="F1711" s="483"/>
    </row>
    <row r="1712" spans="1:6">
      <c r="A1712" s="482"/>
      <c r="B1712" s="483"/>
      <c r="C1712" s="483"/>
      <c r="D1712" s="483"/>
      <c r="E1712" s="483"/>
      <c r="F1712" s="483"/>
    </row>
    <row r="1713" spans="1:6">
      <c r="A1713" s="482"/>
      <c r="B1713" s="483"/>
      <c r="C1713" s="483"/>
      <c r="D1713" s="483"/>
      <c r="E1713" s="483"/>
      <c r="F1713" s="483"/>
    </row>
    <row r="1714" spans="1:6">
      <c r="A1714" s="482"/>
      <c r="B1714" s="483"/>
      <c r="C1714" s="483"/>
      <c r="D1714" s="483"/>
      <c r="E1714" s="483"/>
      <c r="F1714" s="483"/>
    </row>
    <row r="1715" spans="1:6">
      <c r="A1715" s="482"/>
      <c r="B1715" s="483"/>
      <c r="C1715" s="483"/>
      <c r="D1715" s="483"/>
      <c r="E1715" s="483"/>
      <c r="F1715" s="483"/>
    </row>
    <row r="1716" spans="1:6">
      <c r="A1716" s="482"/>
      <c r="B1716" s="483"/>
      <c r="C1716" s="483"/>
      <c r="D1716" s="483"/>
      <c r="E1716" s="483"/>
      <c r="F1716" s="483"/>
    </row>
    <row r="1717" spans="1:6">
      <c r="A1717" s="482"/>
      <c r="B1717" s="483"/>
      <c r="C1717" s="483"/>
      <c r="D1717" s="483"/>
      <c r="E1717" s="483"/>
      <c r="F1717" s="483"/>
    </row>
    <row r="1718" spans="1:6">
      <c r="A1718" s="482"/>
      <c r="B1718" s="483"/>
      <c r="C1718" s="483"/>
      <c r="D1718" s="483"/>
      <c r="E1718" s="483"/>
      <c r="F1718" s="483"/>
    </row>
    <row r="1719" spans="1:6">
      <c r="A1719" s="482"/>
      <c r="B1719" s="483"/>
      <c r="C1719" s="483"/>
      <c r="D1719" s="483"/>
      <c r="E1719" s="483"/>
      <c r="F1719" s="483"/>
    </row>
    <row r="1720" spans="1:6">
      <c r="A1720" s="482"/>
      <c r="B1720" s="483"/>
      <c r="C1720" s="483"/>
      <c r="D1720" s="483"/>
      <c r="E1720" s="483"/>
      <c r="F1720" s="483"/>
    </row>
    <row r="1721" spans="1:6">
      <c r="A1721" s="482"/>
      <c r="B1721" s="483"/>
      <c r="C1721" s="483"/>
      <c r="D1721" s="483"/>
      <c r="E1721" s="483"/>
      <c r="F1721" s="483"/>
    </row>
    <row r="1722" spans="1:6">
      <c r="A1722" s="482"/>
      <c r="B1722" s="483"/>
      <c r="C1722" s="483"/>
      <c r="D1722" s="483"/>
      <c r="E1722" s="483"/>
      <c r="F1722" s="483"/>
    </row>
    <row r="1723" spans="1:6">
      <c r="A1723" s="482"/>
      <c r="B1723" s="483"/>
      <c r="C1723" s="483"/>
      <c r="D1723" s="483"/>
      <c r="E1723" s="483"/>
      <c r="F1723" s="483"/>
    </row>
    <row r="1724" spans="1:6">
      <c r="A1724" s="482"/>
      <c r="B1724" s="483"/>
      <c r="C1724" s="483"/>
      <c r="D1724" s="483"/>
      <c r="E1724" s="483"/>
      <c r="F1724" s="483"/>
    </row>
    <row r="1725" spans="1:6">
      <c r="A1725" s="482"/>
      <c r="B1725" s="483"/>
      <c r="C1725" s="483"/>
      <c r="D1725" s="483"/>
      <c r="E1725" s="483"/>
      <c r="F1725" s="483"/>
    </row>
    <row r="1726" spans="1:6">
      <c r="A1726" s="482"/>
      <c r="B1726" s="483"/>
      <c r="C1726" s="483"/>
      <c r="D1726" s="483"/>
      <c r="E1726" s="483"/>
      <c r="F1726" s="483"/>
    </row>
    <row r="1727" spans="1:6">
      <c r="A1727" s="482"/>
      <c r="B1727" s="483"/>
      <c r="C1727" s="483"/>
      <c r="D1727" s="483"/>
      <c r="E1727" s="483"/>
      <c r="F1727" s="483"/>
    </row>
    <row r="1728" spans="1:6">
      <c r="A1728" s="482"/>
      <c r="B1728" s="483"/>
      <c r="C1728" s="483"/>
      <c r="D1728" s="483"/>
      <c r="E1728" s="483"/>
      <c r="F1728" s="483"/>
    </row>
    <row r="1729" spans="1:6">
      <c r="A1729" s="482"/>
      <c r="B1729" s="483"/>
      <c r="C1729" s="483"/>
      <c r="D1729" s="483"/>
      <c r="E1729" s="483"/>
      <c r="F1729" s="483"/>
    </row>
    <row r="1730" spans="1:6">
      <c r="A1730" s="482"/>
      <c r="B1730" s="483"/>
      <c r="C1730" s="483"/>
      <c r="D1730" s="483"/>
      <c r="E1730" s="483"/>
      <c r="F1730" s="483"/>
    </row>
    <row r="1731" spans="1:6">
      <c r="A1731" s="482"/>
      <c r="B1731" s="483"/>
      <c r="C1731" s="483"/>
      <c r="D1731" s="483"/>
      <c r="E1731" s="483"/>
      <c r="F1731" s="483"/>
    </row>
    <row r="1732" spans="1:6">
      <c r="A1732" s="482"/>
      <c r="B1732" s="483"/>
      <c r="C1732" s="483"/>
      <c r="D1732" s="483"/>
      <c r="E1732" s="483"/>
      <c r="F1732" s="483"/>
    </row>
    <row r="1733" spans="1:6">
      <c r="A1733" s="482"/>
      <c r="B1733" s="483"/>
      <c r="C1733" s="483"/>
      <c r="D1733" s="483"/>
      <c r="E1733" s="483"/>
      <c r="F1733" s="483"/>
    </row>
    <row r="1734" spans="1:6">
      <c r="A1734" s="482"/>
      <c r="B1734" s="483"/>
      <c r="C1734" s="483"/>
      <c r="D1734" s="483"/>
      <c r="E1734" s="483"/>
      <c r="F1734" s="483"/>
    </row>
    <row r="1735" spans="1:6">
      <c r="A1735" s="482"/>
      <c r="B1735" s="483"/>
      <c r="C1735" s="483"/>
      <c r="D1735" s="483"/>
      <c r="E1735" s="483"/>
      <c r="F1735" s="483"/>
    </row>
    <row r="1736" spans="1:6">
      <c r="A1736" s="482"/>
      <c r="B1736" s="483"/>
      <c r="C1736" s="483"/>
      <c r="D1736" s="483"/>
      <c r="E1736" s="483"/>
      <c r="F1736" s="483"/>
    </row>
    <row r="1737" spans="1:6">
      <c r="A1737" s="482"/>
      <c r="B1737" s="483"/>
      <c r="C1737" s="483"/>
      <c r="D1737" s="483"/>
      <c r="E1737" s="483"/>
      <c r="F1737" s="483"/>
    </row>
    <row r="1738" spans="1:6">
      <c r="A1738" s="482"/>
      <c r="B1738" s="483"/>
      <c r="C1738" s="483"/>
      <c r="D1738" s="483"/>
      <c r="E1738" s="483"/>
      <c r="F1738" s="483"/>
    </row>
    <row r="1739" spans="1:6">
      <c r="A1739" s="482"/>
      <c r="B1739" s="483"/>
      <c r="C1739" s="483"/>
      <c r="D1739" s="483"/>
      <c r="E1739" s="483"/>
      <c r="F1739" s="483"/>
    </row>
    <row r="1740" spans="1:6">
      <c r="A1740" s="482"/>
      <c r="B1740" s="483"/>
      <c r="C1740" s="483"/>
      <c r="D1740" s="483"/>
      <c r="E1740" s="483"/>
      <c r="F1740" s="483"/>
    </row>
    <row r="1741" spans="1:6">
      <c r="A1741" s="482"/>
      <c r="B1741" s="483"/>
      <c r="C1741" s="483"/>
      <c r="D1741" s="483"/>
      <c r="E1741" s="483"/>
      <c r="F1741" s="483"/>
    </row>
    <row r="1742" spans="1:6">
      <c r="A1742" s="482"/>
      <c r="B1742" s="483"/>
      <c r="C1742" s="483"/>
      <c r="D1742" s="483"/>
      <c r="E1742" s="483"/>
      <c r="F1742" s="483"/>
    </row>
    <row r="1743" spans="1:6">
      <c r="A1743" s="482"/>
      <c r="B1743" s="483"/>
      <c r="C1743" s="483"/>
      <c r="D1743" s="483"/>
      <c r="E1743" s="483"/>
      <c r="F1743" s="483"/>
    </row>
    <row r="1744" spans="1:6">
      <c r="A1744" s="482"/>
      <c r="B1744" s="483"/>
      <c r="C1744" s="483"/>
      <c r="D1744" s="483"/>
      <c r="E1744" s="483"/>
      <c r="F1744" s="483"/>
    </row>
    <row r="1745" spans="1:6">
      <c r="A1745" s="482"/>
      <c r="B1745" s="483"/>
      <c r="C1745" s="483"/>
      <c r="D1745" s="483"/>
      <c r="E1745" s="483"/>
      <c r="F1745" s="483"/>
    </row>
    <row r="1746" spans="1:6">
      <c r="A1746" s="482"/>
      <c r="B1746" s="483"/>
      <c r="C1746" s="483"/>
      <c r="D1746" s="483"/>
      <c r="E1746" s="483"/>
      <c r="F1746" s="483"/>
    </row>
    <row r="1747" spans="1:6">
      <c r="A1747" s="482"/>
      <c r="B1747" s="483"/>
      <c r="C1747" s="483"/>
      <c r="D1747" s="483"/>
      <c r="E1747" s="483"/>
      <c r="F1747" s="483"/>
    </row>
    <row r="1748" spans="1:6">
      <c r="A1748" s="482"/>
      <c r="B1748" s="483"/>
      <c r="C1748" s="483"/>
      <c r="D1748" s="483"/>
      <c r="E1748" s="483"/>
      <c r="F1748" s="483"/>
    </row>
    <row r="1749" spans="1:6">
      <c r="A1749" s="482"/>
      <c r="B1749" s="483"/>
      <c r="C1749" s="483"/>
      <c r="D1749" s="483"/>
      <c r="E1749" s="483"/>
      <c r="F1749" s="483"/>
    </row>
    <row r="1750" spans="1:6">
      <c r="A1750" s="482"/>
      <c r="B1750" s="483"/>
      <c r="C1750" s="483"/>
      <c r="D1750" s="483"/>
      <c r="E1750" s="483"/>
      <c r="F1750" s="483"/>
    </row>
    <row r="1751" spans="1:6">
      <c r="A1751" s="482"/>
      <c r="B1751" s="483"/>
      <c r="C1751" s="483"/>
      <c r="D1751" s="483"/>
      <c r="E1751" s="483"/>
      <c r="F1751" s="483"/>
    </row>
    <row r="1752" spans="1:6">
      <c r="A1752" s="482"/>
      <c r="B1752" s="483"/>
      <c r="C1752" s="483"/>
      <c r="D1752" s="483"/>
      <c r="E1752" s="483"/>
      <c r="F1752" s="483"/>
    </row>
    <row r="1753" spans="1:6">
      <c r="A1753" s="482"/>
      <c r="B1753" s="483"/>
      <c r="C1753" s="483"/>
      <c r="D1753" s="483"/>
      <c r="E1753" s="483"/>
      <c r="F1753" s="483"/>
    </row>
    <row r="1754" spans="1:6">
      <c r="A1754" s="482"/>
      <c r="B1754" s="483"/>
      <c r="C1754" s="483"/>
      <c r="D1754" s="483"/>
      <c r="E1754" s="483"/>
      <c r="F1754" s="483"/>
    </row>
    <row r="1755" spans="1:6">
      <c r="A1755" s="482"/>
      <c r="B1755" s="483"/>
      <c r="C1755" s="483"/>
      <c r="D1755" s="483"/>
      <c r="E1755" s="483"/>
      <c r="F1755" s="483"/>
    </row>
    <row r="1756" spans="1:6">
      <c r="A1756" s="482"/>
      <c r="B1756" s="483"/>
      <c r="C1756" s="483"/>
      <c r="D1756" s="483"/>
      <c r="E1756" s="483"/>
      <c r="F1756" s="483"/>
    </row>
    <row r="1757" spans="1:6">
      <c r="A1757" s="482"/>
      <c r="B1757" s="483"/>
      <c r="C1757" s="483"/>
      <c r="D1757" s="483"/>
      <c r="E1757" s="483"/>
      <c r="F1757" s="483"/>
    </row>
    <row r="1758" spans="1:6">
      <c r="A1758" s="482"/>
      <c r="B1758" s="483"/>
      <c r="C1758" s="483"/>
      <c r="D1758" s="483"/>
      <c r="E1758" s="483"/>
      <c r="F1758" s="483"/>
    </row>
    <row r="1759" spans="1:6">
      <c r="A1759" s="482"/>
      <c r="B1759" s="483"/>
      <c r="C1759" s="483"/>
      <c r="D1759" s="483"/>
      <c r="E1759" s="483"/>
      <c r="F1759" s="483"/>
    </row>
    <row r="1760" spans="1:6">
      <c r="A1760" s="482"/>
      <c r="B1760" s="483"/>
      <c r="C1760" s="483"/>
      <c r="D1760" s="483"/>
      <c r="E1760" s="483"/>
      <c r="F1760" s="483"/>
    </row>
    <row r="1761" spans="1:6">
      <c r="A1761" s="482"/>
      <c r="B1761" s="483"/>
      <c r="C1761" s="483"/>
      <c r="D1761" s="483"/>
      <c r="E1761" s="483"/>
      <c r="F1761" s="483"/>
    </row>
    <row r="1762" spans="1:6">
      <c r="A1762" s="482"/>
      <c r="B1762" s="483"/>
      <c r="C1762" s="483"/>
      <c r="D1762" s="483"/>
      <c r="E1762" s="483"/>
      <c r="F1762" s="483"/>
    </row>
    <row r="1763" spans="1:6">
      <c r="A1763" s="482"/>
      <c r="B1763" s="483"/>
      <c r="C1763" s="483"/>
      <c r="D1763" s="483"/>
      <c r="E1763" s="483"/>
      <c r="F1763" s="483"/>
    </row>
    <row r="1764" spans="1:6">
      <c r="A1764" s="482"/>
      <c r="B1764" s="483"/>
      <c r="C1764" s="483"/>
      <c r="D1764" s="483"/>
      <c r="E1764" s="483"/>
      <c r="F1764" s="483"/>
    </row>
    <row r="1765" spans="1:6">
      <c r="A1765" s="482"/>
      <c r="B1765" s="483"/>
      <c r="C1765" s="483"/>
      <c r="D1765" s="483"/>
      <c r="E1765" s="483"/>
      <c r="F1765" s="483"/>
    </row>
    <row r="1766" spans="1:6">
      <c r="A1766" s="482"/>
      <c r="B1766" s="483"/>
      <c r="C1766" s="483"/>
      <c r="D1766" s="483"/>
      <c r="E1766" s="483"/>
      <c r="F1766" s="483"/>
    </row>
    <row r="1767" spans="1:6">
      <c r="A1767" s="482"/>
      <c r="B1767" s="483"/>
      <c r="C1767" s="483"/>
      <c r="D1767" s="483"/>
      <c r="E1767" s="483"/>
      <c r="F1767" s="483"/>
    </row>
    <row r="1768" spans="1:6">
      <c r="A1768" s="482"/>
      <c r="B1768" s="483"/>
      <c r="C1768" s="483"/>
      <c r="D1768" s="483"/>
      <c r="E1768" s="483"/>
      <c r="F1768" s="483"/>
    </row>
    <row r="1769" spans="1:6">
      <c r="A1769" s="482"/>
      <c r="B1769" s="483"/>
      <c r="C1769" s="483"/>
      <c r="D1769" s="483"/>
      <c r="E1769" s="483"/>
      <c r="F1769" s="483"/>
    </row>
    <row r="1770" spans="1:6">
      <c r="A1770" s="482"/>
      <c r="B1770" s="483"/>
      <c r="C1770" s="483"/>
      <c r="D1770" s="483"/>
      <c r="E1770" s="483"/>
      <c r="F1770" s="483"/>
    </row>
    <row r="1771" spans="1:6">
      <c r="A1771" s="482"/>
      <c r="B1771" s="483"/>
      <c r="C1771" s="483"/>
      <c r="D1771" s="483"/>
      <c r="E1771" s="483"/>
      <c r="F1771" s="483"/>
    </row>
    <row r="1772" spans="1:6">
      <c r="A1772" s="482"/>
      <c r="B1772" s="483"/>
      <c r="C1772" s="483"/>
      <c r="D1772" s="483"/>
      <c r="E1772" s="483"/>
      <c r="F1772" s="483"/>
    </row>
    <row r="1773" spans="1:6">
      <c r="A1773" s="482"/>
      <c r="B1773" s="483"/>
      <c r="C1773" s="483"/>
      <c r="D1773" s="483"/>
      <c r="E1773" s="483"/>
      <c r="F1773" s="483"/>
    </row>
    <row r="1774" spans="1:6">
      <c r="A1774" s="482"/>
      <c r="B1774" s="483"/>
      <c r="C1774" s="483"/>
      <c r="D1774" s="483"/>
      <c r="E1774" s="483"/>
      <c r="F1774" s="483"/>
    </row>
    <row r="1775" spans="1:6">
      <c r="A1775" s="482"/>
      <c r="B1775" s="483"/>
      <c r="C1775" s="483"/>
      <c r="D1775" s="483"/>
      <c r="E1775" s="483"/>
      <c r="F1775" s="483"/>
    </row>
    <row r="1776" spans="1:6">
      <c r="A1776" s="482"/>
      <c r="B1776" s="483"/>
      <c r="C1776" s="483"/>
      <c r="D1776" s="483"/>
      <c r="E1776" s="483"/>
      <c r="F1776" s="483"/>
    </row>
    <row r="1777" spans="1:6">
      <c r="A1777" s="482"/>
      <c r="B1777" s="483"/>
      <c r="C1777" s="483"/>
      <c r="D1777" s="483"/>
      <c r="E1777" s="483"/>
      <c r="F1777" s="483"/>
    </row>
    <row r="1778" spans="1:6">
      <c r="A1778" s="482"/>
      <c r="B1778" s="483"/>
      <c r="C1778" s="483"/>
      <c r="D1778" s="483"/>
      <c r="E1778" s="483"/>
      <c r="F1778" s="483"/>
    </row>
    <row r="1779" spans="1:6">
      <c r="A1779" s="482"/>
      <c r="B1779" s="483"/>
      <c r="C1779" s="483"/>
      <c r="D1779" s="483"/>
      <c r="E1779" s="483"/>
      <c r="F1779" s="483"/>
    </row>
    <row r="1780" spans="1:6">
      <c r="A1780" s="482"/>
      <c r="B1780" s="483"/>
      <c r="C1780" s="483"/>
      <c r="D1780" s="483"/>
      <c r="E1780" s="483"/>
      <c r="F1780" s="483"/>
    </row>
    <row r="1781" spans="1:6">
      <c r="A1781" s="482"/>
      <c r="B1781" s="483"/>
      <c r="C1781" s="483"/>
      <c r="D1781" s="483"/>
      <c r="E1781" s="483"/>
      <c r="F1781" s="483"/>
    </row>
    <row r="1782" spans="1:6">
      <c r="A1782" s="482"/>
      <c r="B1782" s="483"/>
      <c r="C1782" s="483"/>
      <c r="D1782" s="483"/>
      <c r="E1782" s="483"/>
      <c r="F1782" s="483"/>
    </row>
    <row r="1783" spans="1:6">
      <c r="A1783" s="482"/>
      <c r="B1783" s="483"/>
      <c r="C1783" s="483"/>
      <c r="D1783" s="483"/>
      <c r="E1783" s="483"/>
      <c r="F1783" s="483"/>
    </row>
    <row r="1784" spans="1:6">
      <c r="A1784" s="482"/>
      <c r="B1784" s="483"/>
      <c r="C1784" s="483"/>
      <c r="D1784" s="483"/>
      <c r="E1784" s="483"/>
      <c r="F1784" s="483"/>
    </row>
    <row r="1785" spans="1:6">
      <c r="A1785" s="482"/>
      <c r="B1785" s="483"/>
      <c r="C1785" s="483"/>
      <c r="D1785" s="483"/>
      <c r="E1785" s="483"/>
      <c r="F1785" s="483"/>
    </row>
    <row r="1786" spans="1:6">
      <c r="A1786" s="482"/>
      <c r="B1786" s="483"/>
      <c r="C1786" s="483"/>
      <c r="D1786" s="483"/>
      <c r="E1786" s="483"/>
      <c r="F1786" s="483"/>
    </row>
    <row r="1787" spans="1:6">
      <c r="A1787" s="482"/>
      <c r="B1787" s="483"/>
      <c r="C1787" s="483"/>
      <c r="D1787" s="483"/>
      <c r="E1787" s="483"/>
      <c r="F1787" s="483"/>
    </row>
    <row r="1788" spans="1:6">
      <c r="A1788" s="482"/>
      <c r="B1788" s="483"/>
      <c r="C1788" s="483"/>
      <c r="D1788" s="483"/>
      <c r="E1788" s="483"/>
      <c r="F1788" s="483"/>
    </row>
    <row r="1789" spans="1:6">
      <c r="A1789" s="482"/>
      <c r="B1789" s="483"/>
      <c r="C1789" s="483"/>
      <c r="D1789" s="483"/>
      <c r="E1789" s="483"/>
      <c r="F1789" s="483"/>
    </row>
    <row r="1790" spans="1:6">
      <c r="A1790" s="482"/>
      <c r="B1790" s="483"/>
      <c r="C1790" s="483"/>
      <c r="D1790" s="483"/>
      <c r="E1790" s="483"/>
      <c r="F1790" s="483"/>
    </row>
    <row r="1791" spans="1:6">
      <c r="A1791" s="482"/>
      <c r="B1791" s="483"/>
      <c r="C1791" s="483"/>
      <c r="D1791" s="483"/>
      <c r="E1791" s="483"/>
      <c r="F1791" s="483"/>
    </row>
    <row r="1792" spans="1:6">
      <c r="A1792" s="482"/>
      <c r="B1792" s="483"/>
      <c r="C1792" s="483"/>
      <c r="D1792" s="483"/>
      <c r="E1792" s="483"/>
      <c r="F1792" s="483"/>
    </row>
    <row r="1793" spans="1:6">
      <c r="A1793" s="482"/>
      <c r="B1793" s="483"/>
      <c r="C1793" s="483"/>
      <c r="D1793" s="483"/>
      <c r="E1793" s="483"/>
      <c r="F1793" s="483"/>
    </row>
    <row r="1794" spans="1:6">
      <c r="A1794" s="482"/>
      <c r="B1794" s="483"/>
      <c r="C1794" s="483"/>
      <c r="D1794" s="483"/>
      <c r="E1794" s="483"/>
      <c r="F1794" s="483"/>
    </row>
    <row r="1795" spans="1:6">
      <c r="A1795" s="482"/>
      <c r="B1795" s="483"/>
      <c r="C1795" s="483"/>
      <c r="D1795" s="483"/>
      <c r="E1795" s="483"/>
      <c r="F1795" s="483"/>
    </row>
    <row r="1796" spans="1:6">
      <c r="A1796" s="482"/>
      <c r="B1796" s="483"/>
      <c r="C1796" s="483"/>
      <c r="D1796" s="483"/>
      <c r="E1796" s="483"/>
      <c r="F1796" s="483"/>
    </row>
    <row r="1797" spans="1:6">
      <c r="A1797" s="482"/>
      <c r="B1797" s="483"/>
      <c r="C1797" s="483"/>
      <c r="D1797" s="483"/>
      <c r="E1797" s="483"/>
      <c r="F1797" s="483"/>
    </row>
    <row r="1798" spans="1:6">
      <c r="A1798" s="482"/>
      <c r="B1798" s="483"/>
      <c r="C1798" s="483"/>
      <c r="D1798" s="483"/>
      <c r="E1798" s="483"/>
      <c r="F1798" s="483"/>
    </row>
    <row r="1799" spans="1:6">
      <c r="A1799" s="482"/>
      <c r="B1799" s="483"/>
      <c r="C1799" s="483"/>
      <c r="D1799" s="483"/>
      <c r="E1799" s="483"/>
      <c r="F1799" s="483"/>
    </row>
    <row r="1800" spans="1:6">
      <c r="A1800" s="482"/>
      <c r="B1800" s="483"/>
      <c r="C1800" s="483"/>
      <c r="D1800" s="483"/>
      <c r="E1800" s="483"/>
      <c r="F1800" s="483"/>
    </row>
    <row r="1801" spans="1:6">
      <c r="A1801" s="482"/>
      <c r="B1801" s="483"/>
      <c r="C1801" s="483"/>
      <c r="D1801" s="483"/>
      <c r="E1801" s="483"/>
      <c r="F1801" s="483"/>
    </row>
    <row r="1802" spans="1:6">
      <c r="A1802" s="482"/>
      <c r="B1802" s="483"/>
      <c r="C1802" s="483"/>
      <c r="D1802" s="483"/>
      <c r="E1802" s="483"/>
      <c r="F1802" s="483"/>
    </row>
    <row r="1803" spans="1:6">
      <c r="A1803" s="482"/>
      <c r="B1803" s="483"/>
      <c r="C1803" s="483"/>
      <c r="D1803" s="483"/>
      <c r="E1803" s="483"/>
      <c r="F1803" s="483"/>
    </row>
    <row r="1804" spans="1:6">
      <c r="A1804" s="482"/>
      <c r="B1804" s="483"/>
      <c r="C1804" s="483"/>
      <c r="D1804" s="483"/>
      <c r="E1804" s="483"/>
      <c r="F1804" s="483"/>
    </row>
    <row r="1805" spans="1:6">
      <c r="A1805" s="482"/>
      <c r="B1805" s="483"/>
      <c r="C1805" s="483"/>
      <c r="D1805" s="483"/>
      <c r="E1805" s="483"/>
      <c r="F1805" s="483"/>
    </row>
    <row r="1806" spans="1:6">
      <c r="A1806" s="482"/>
      <c r="B1806" s="483"/>
      <c r="C1806" s="483"/>
      <c r="D1806" s="483"/>
      <c r="E1806" s="483"/>
      <c r="F1806" s="483"/>
    </row>
    <row r="1807" spans="1:6">
      <c r="A1807" s="482"/>
      <c r="B1807" s="483"/>
      <c r="C1807" s="483"/>
      <c r="D1807" s="483"/>
      <c r="E1807" s="483"/>
      <c r="F1807" s="483"/>
    </row>
    <row r="1808" spans="1:6">
      <c r="A1808" s="482"/>
      <c r="B1808" s="483"/>
      <c r="C1808" s="483"/>
      <c r="D1808" s="483"/>
      <c r="E1808" s="483"/>
      <c r="F1808" s="483"/>
    </row>
    <row r="1809" spans="1:6">
      <c r="A1809" s="482"/>
      <c r="B1809" s="483"/>
      <c r="C1809" s="483"/>
      <c r="D1809" s="483"/>
      <c r="E1809" s="483"/>
      <c r="F1809" s="483"/>
    </row>
    <row r="1810" spans="1:6">
      <c r="A1810" s="482"/>
      <c r="B1810" s="483"/>
      <c r="C1810" s="483"/>
      <c r="D1810" s="483"/>
      <c r="E1810" s="483"/>
      <c r="F1810" s="483"/>
    </row>
    <row r="1811" spans="1:6">
      <c r="A1811" s="482"/>
      <c r="B1811" s="483"/>
      <c r="C1811" s="483"/>
      <c r="D1811" s="483"/>
      <c r="E1811" s="483"/>
      <c r="F1811" s="483"/>
    </row>
    <row r="1812" spans="1:6">
      <c r="A1812" s="482"/>
      <c r="B1812" s="483"/>
      <c r="C1812" s="483"/>
      <c r="D1812" s="483"/>
      <c r="E1812" s="483"/>
      <c r="F1812" s="483"/>
    </row>
    <row r="1813" spans="1:6">
      <c r="A1813" s="482"/>
      <c r="B1813" s="483"/>
      <c r="C1813" s="483"/>
      <c r="D1813" s="483"/>
      <c r="E1813" s="483"/>
      <c r="F1813" s="483"/>
    </row>
    <row r="1814" spans="1:6">
      <c r="A1814" s="482"/>
      <c r="B1814" s="483"/>
      <c r="C1814" s="483"/>
      <c r="D1814" s="483"/>
      <c r="E1814" s="483"/>
      <c r="F1814" s="483"/>
    </row>
    <row r="1815" spans="1:6">
      <c r="A1815" s="482"/>
      <c r="B1815" s="483"/>
      <c r="C1815" s="483"/>
      <c r="D1815" s="483"/>
      <c r="E1815" s="483"/>
      <c r="F1815" s="483"/>
    </row>
    <row r="1816" spans="1:6">
      <c r="A1816" s="482"/>
      <c r="B1816" s="483"/>
      <c r="C1816" s="483"/>
      <c r="D1816" s="483"/>
      <c r="E1816" s="483"/>
      <c r="F1816" s="483"/>
    </row>
    <row r="1817" spans="1:6">
      <c r="A1817" s="482"/>
      <c r="B1817" s="483"/>
      <c r="C1817" s="483"/>
      <c r="D1817" s="483"/>
      <c r="E1817" s="483"/>
      <c r="F1817" s="483"/>
    </row>
    <row r="1818" spans="1:6">
      <c r="A1818" s="482"/>
      <c r="B1818" s="483"/>
      <c r="C1818" s="483"/>
      <c r="D1818" s="483"/>
      <c r="E1818" s="483"/>
      <c r="F1818" s="483"/>
    </row>
    <row r="1819" spans="1:6">
      <c r="A1819" s="482"/>
      <c r="B1819" s="483"/>
      <c r="C1819" s="483"/>
      <c r="D1819" s="483"/>
      <c r="E1819" s="483"/>
      <c r="F1819" s="483"/>
    </row>
    <row r="1820" spans="1:6">
      <c r="A1820" s="482"/>
      <c r="B1820" s="483"/>
      <c r="C1820" s="483"/>
      <c r="D1820" s="483"/>
      <c r="E1820" s="483"/>
      <c r="F1820" s="483"/>
    </row>
    <row r="1821" spans="1:6">
      <c r="A1821" s="482"/>
      <c r="B1821" s="483"/>
      <c r="C1821" s="483"/>
      <c r="D1821" s="483"/>
      <c r="E1821" s="483"/>
      <c r="F1821" s="483"/>
    </row>
    <row r="1822" spans="1:6">
      <c r="A1822" s="482"/>
      <c r="B1822" s="483"/>
      <c r="C1822" s="483"/>
      <c r="D1822" s="483"/>
      <c r="E1822" s="483"/>
      <c r="F1822" s="483"/>
    </row>
    <row r="1823" spans="1:6">
      <c r="A1823" s="482"/>
      <c r="B1823" s="483"/>
      <c r="C1823" s="483"/>
      <c r="D1823" s="483"/>
      <c r="E1823" s="483"/>
      <c r="F1823" s="483"/>
    </row>
    <row r="1824" spans="1:6">
      <c r="A1824" s="482"/>
      <c r="B1824" s="483"/>
      <c r="C1824" s="483"/>
      <c r="D1824" s="483"/>
      <c r="E1824" s="483"/>
      <c r="F1824" s="483"/>
    </row>
    <row r="1825" spans="1:6">
      <c r="A1825" s="482"/>
      <c r="B1825" s="483"/>
      <c r="C1825" s="483"/>
      <c r="D1825" s="483"/>
      <c r="E1825" s="483"/>
      <c r="F1825" s="483"/>
    </row>
    <row r="1826" spans="1:6">
      <c r="A1826" s="482"/>
      <c r="B1826" s="483"/>
      <c r="C1826" s="483"/>
      <c r="D1826" s="483"/>
      <c r="E1826" s="483"/>
      <c r="F1826" s="483"/>
    </row>
    <row r="1827" spans="1:6">
      <c r="A1827" s="482"/>
      <c r="B1827" s="483"/>
      <c r="C1827" s="483"/>
      <c r="D1827" s="483"/>
      <c r="E1827" s="483"/>
      <c r="F1827" s="483"/>
    </row>
    <row r="1828" spans="1:6">
      <c r="A1828" s="482"/>
      <c r="B1828" s="483"/>
      <c r="C1828" s="483"/>
      <c r="D1828" s="483"/>
      <c r="E1828" s="483"/>
      <c r="F1828" s="483"/>
    </row>
    <row r="1829" spans="1:6">
      <c r="A1829" s="482"/>
      <c r="B1829" s="483"/>
      <c r="C1829" s="483"/>
      <c r="D1829" s="483"/>
      <c r="E1829" s="483"/>
      <c r="F1829" s="483"/>
    </row>
    <row r="1830" spans="1:6">
      <c r="A1830" s="482"/>
      <c r="B1830" s="483"/>
      <c r="C1830" s="483"/>
      <c r="D1830" s="483"/>
      <c r="E1830" s="483"/>
      <c r="F1830" s="483"/>
    </row>
    <row r="1831" spans="1:6">
      <c r="A1831" s="482"/>
      <c r="B1831" s="483"/>
      <c r="C1831" s="483"/>
      <c r="D1831" s="483"/>
      <c r="E1831" s="483"/>
      <c r="F1831" s="483"/>
    </row>
    <row r="1832" spans="1:6">
      <c r="A1832" s="482"/>
      <c r="B1832" s="483"/>
      <c r="C1832" s="483"/>
      <c r="D1832" s="483"/>
      <c r="E1832" s="483"/>
      <c r="F1832" s="483"/>
    </row>
    <row r="1833" spans="1:6">
      <c r="A1833" s="482"/>
      <c r="B1833" s="483"/>
      <c r="C1833" s="483"/>
      <c r="D1833" s="483"/>
      <c r="E1833" s="483"/>
      <c r="F1833" s="483"/>
    </row>
    <row r="1834" spans="1:6">
      <c r="A1834" s="482"/>
      <c r="B1834" s="483"/>
      <c r="C1834" s="483"/>
      <c r="D1834" s="483"/>
      <c r="E1834" s="483"/>
      <c r="F1834" s="483"/>
    </row>
    <row r="1835" spans="1:6">
      <c r="A1835" s="482"/>
      <c r="B1835" s="483"/>
      <c r="C1835" s="483"/>
      <c r="D1835" s="483"/>
      <c r="E1835" s="483"/>
      <c r="F1835" s="483"/>
    </row>
    <row r="1836" spans="1:6">
      <c r="A1836" s="482"/>
      <c r="B1836" s="483"/>
      <c r="C1836" s="483"/>
      <c r="D1836" s="483"/>
      <c r="E1836" s="483"/>
      <c r="F1836" s="483"/>
    </row>
    <row r="1837" spans="1:6">
      <c r="A1837" s="482"/>
      <c r="B1837" s="483"/>
      <c r="C1837" s="483"/>
      <c r="D1837" s="483"/>
      <c r="E1837" s="483"/>
      <c r="F1837" s="483"/>
    </row>
    <row r="1838" spans="1:6">
      <c r="A1838" s="482"/>
      <c r="B1838" s="483"/>
      <c r="C1838" s="483"/>
      <c r="D1838" s="483"/>
      <c r="E1838" s="483"/>
      <c r="F1838" s="483"/>
    </row>
    <row r="1839" spans="1:6">
      <c r="A1839" s="482"/>
      <c r="B1839" s="483"/>
      <c r="C1839" s="483"/>
      <c r="D1839" s="483"/>
      <c r="E1839" s="483"/>
      <c r="F1839" s="483"/>
    </row>
    <row r="1840" spans="1:6">
      <c r="A1840" s="482"/>
      <c r="B1840" s="483"/>
      <c r="C1840" s="483"/>
      <c r="D1840" s="483"/>
      <c r="E1840" s="483"/>
      <c r="F1840" s="483"/>
    </row>
    <row r="1841" spans="1:6">
      <c r="A1841" s="482"/>
      <c r="B1841" s="483"/>
      <c r="C1841" s="483"/>
      <c r="D1841" s="483"/>
      <c r="E1841" s="483"/>
      <c r="F1841" s="483"/>
    </row>
    <row r="1842" spans="1:6">
      <c r="A1842" s="482"/>
      <c r="B1842" s="483"/>
      <c r="C1842" s="483"/>
      <c r="D1842" s="483"/>
      <c r="E1842" s="483"/>
      <c r="F1842" s="483"/>
    </row>
    <row r="1843" spans="1:6">
      <c r="A1843" s="482"/>
      <c r="B1843" s="483"/>
      <c r="C1843" s="483"/>
      <c r="D1843" s="483"/>
      <c r="E1843" s="483"/>
      <c r="F1843" s="483"/>
    </row>
    <row r="1844" spans="1:6">
      <c r="A1844" s="482"/>
      <c r="B1844" s="483"/>
      <c r="C1844" s="483"/>
      <c r="D1844" s="483"/>
      <c r="E1844" s="483"/>
      <c r="F1844" s="483"/>
    </row>
    <row r="1845" spans="1:6">
      <c r="A1845" s="482"/>
      <c r="B1845" s="483"/>
      <c r="C1845" s="483"/>
      <c r="D1845" s="483"/>
      <c r="E1845" s="483"/>
      <c r="F1845" s="483"/>
    </row>
    <row r="1846" spans="1:6">
      <c r="A1846" s="482"/>
      <c r="B1846" s="483"/>
      <c r="C1846" s="483"/>
      <c r="D1846" s="483"/>
      <c r="E1846" s="483"/>
      <c r="F1846" s="483"/>
    </row>
    <row r="1847" spans="1:6">
      <c r="A1847" s="482"/>
      <c r="B1847" s="483"/>
      <c r="C1847" s="483"/>
      <c r="D1847" s="483"/>
      <c r="E1847" s="483"/>
      <c r="F1847" s="483"/>
    </row>
    <row r="1848" spans="1:6">
      <c r="A1848" s="482"/>
      <c r="B1848" s="483"/>
      <c r="C1848" s="483"/>
      <c r="D1848" s="483"/>
      <c r="E1848" s="483"/>
      <c r="F1848" s="483"/>
    </row>
    <row r="1849" spans="1:6">
      <c r="A1849" s="482"/>
      <c r="B1849" s="483"/>
      <c r="C1849" s="483"/>
      <c r="D1849" s="483"/>
      <c r="E1849" s="483"/>
      <c r="F1849" s="483"/>
    </row>
    <row r="1850" spans="1:6">
      <c r="A1850" s="482"/>
      <c r="B1850" s="483"/>
      <c r="C1850" s="483"/>
      <c r="D1850" s="483"/>
      <c r="E1850" s="483"/>
      <c r="F1850" s="483"/>
    </row>
    <row r="1851" spans="1:6">
      <c r="A1851" s="482"/>
      <c r="B1851" s="483"/>
      <c r="C1851" s="483"/>
      <c r="D1851" s="483"/>
      <c r="E1851" s="483"/>
      <c r="F1851" s="483"/>
    </row>
    <row r="1852" spans="1:6">
      <c r="A1852" s="482"/>
      <c r="B1852" s="483"/>
      <c r="C1852" s="483"/>
      <c r="D1852" s="483"/>
      <c r="E1852" s="483"/>
      <c r="F1852" s="483"/>
    </row>
    <row r="1853" spans="1:6">
      <c r="A1853" s="482"/>
      <c r="B1853" s="483"/>
      <c r="C1853" s="483"/>
      <c r="D1853" s="483"/>
      <c r="E1853" s="483"/>
      <c r="F1853" s="483"/>
    </row>
    <row r="1854" spans="1:6">
      <c r="A1854" s="482"/>
      <c r="B1854" s="483"/>
      <c r="C1854" s="483"/>
      <c r="D1854" s="483"/>
      <c r="E1854" s="483"/>
      <c r="F1854" s="483"/>
    </row>
    <row r="1855" spans="1:6">
      <c r="A1855" s="482"/>
      <c r="B1855" s="483"/>
      <c r="C1855" s="483"/>
      <c r="D1855" s="483"/>
      <c r="E1855" s="483"/>
      <c r="F1855" s="483"/>
    </row>
    <row r="1856" spans="1:6">
      <c r="A1856" s="482"/>
      <c r="B1856" s="483"/>
      <c r="C1856" s="483"/>
      <c r="D1856" s="483"/>
      <c r="E1856" s="483"/>
      <c r="F1856" s="483"/>
    </row>
    <row r="1857" spans="1:6">
      <c r="A1857" s="482"/>
      <c r="B1857" s="483"/>
      <c r="C1857" s="483"/>
      <c r="D1857" s="483"/>
      <c r="E1857" s="483"/>
      <c r="F1857" s="483"/>
    </row>
    <row r="1858" spans="1:6">
      <c r="A1858" s="482"/>
      <c r="B1858" s="483"/>
      <c r="C1858" s="483"/>
      <c r="D1858" s="483"/>
      <c r="E1858" s="483"/>
      <c r="F1858" s="483"/>
    </row>
    <row r="1859" spans="1:6">
      <c r="A1859" s="482"/>
      <c r="B1859" s="483"/>
      <c r="C1859" s="483"/>
      <c r="D1859" s="483"/>
      <c r="E1859" s="483"/>
      <c r="F1859" s="483"/>
    </row>
    <row r="1860" spans="1:6">
      <c r="A1860" s="482"/>
      <c r="B1860" s="483"/>
      <c r="C1860" s="483"/>
      <c r="D1860" s="483"/>
      <c r="E1860" s="483"/>
      <c r="F1860" s="483"/>
    </row>
    <row r="1861" spans="1:6">
      <c r="A1861" s="482"/>
      <c r="B1861" s="483"/>
      <c r="C1861" s="483"/>
      <c r="D1861" s="483"/>
      <c r="E1861" s="483"/>
      <c r="F1861" s="483"/>
    </row>
    <row r="1862" spans="1:6">
      <c r="A1862" s="482"/>
      <c r="B1862" s="483"/>
      <c r="C1862" s="483"/>
      <c r="D1862" s="483"/>
      <c r="E1862" s="483"/>
      <c r="F1862" s="483"/>
    </row>
    <row r="1863" spans="1:6">
      <c r="A1863" s="482"/>
      <c r="B1863" s="483"/>
      <c r="C1863" s="483"/>
      <c r="D1863" s="483"/>
      <c r="E1863" s="483"/>
      <c r="F1863" s="483"/>
    </row>
    <row r="1864" spans="1:6">
      <c r="A1864" s="482"/>
      <c r="B1864" s="483"/>
      <c r="C1864" s="483"/>
      <c r="D1864" s="483"/>
      <c r="E1864" s="483"/>
      <c r="F1864" s="483"/>
    </row>
    <row r="1865" spans="1:6">
      <c r="A1865" s="482"/>
      <c r="B1865" s="483"/>
      <c r="C1865" s="483"/>
      <c r="D1865" s="483"/>
      <c r="E1865" s="483"/>
      <c r="F1865" s="483"/>
    </row>
    <row r="1866" spans="1:6">
      <c r="A1866" s="482"/>
      <c r="B1866" s="483"/>
      <c r="C1866" s="483"/>
      <c r="D1866" s="483"/>
      <c r="E1866" s="483"/>
      <c r="F1866" s="483"/>
    </row>
    <row r="1867" spans="1:6">
      <c r="A1867" s="482"/>
      <c r="B1867" s="483"/>
      <c r="C1867" s="483"/>
      <c r="D1867" s="483"/>
      <c r="E1867" s="483"/>
      <c r="F1867" s="483"/>
    </row>
    <row r="1868" spans="1:6">
      <c r="A1868" s="482"/>
      <c r="B1868" s="483"/>
      <c r="C1868" s="483"/>
      <c r="D1868" s="483"/>
      <c r="E1868" s="483"/>
      <c r="F1868" s="483"/>
    </row>
    <row r="1869" spans="1:6">
      <c r="A1869" s="482"/>
      <c r="B1869" s="483"/>
      <c r="C1869" s="483"/>
      <c r="D1869" s="483"/>
      <c r="E1869" s="483"/>
      <c r="F1869" s="483"/>
    </row>
    <row r="1870" spans="1:6">
      <c r="A1870" s="482"/>
      <c r="B1870" s="483"/>
      <c r="C1870" s="483"/>
      <c r="D1870" s="483"/>
      <c r="E1870" s="483"/>
      <c r="F1870" s="483"/>
    </row>
    <row r="1871" spans="1:6">
      <c r="A1871" s="482"/>
      <c r="B1871" s="483"/>
      <c r="C1871" s="483"/>
      <c r="D1871" s="483"/>
      <c r="E1871" s="483"/>
      <c r="F1871" s="483"/>
    </row>
    <row r="1872" spans="1:6">
      <c r="A1872" s="482"/>
      <c r="B1872" s="483"/>
      <c r="C1872" s="483"/>
      <c r="D1872" s="483"/>
      <c r="E1872" s="483"/>
      <c r="F1872" s="483"/>
    </row>
    <row r="1873" spans="1:6">
      <c r="A1873" s="482"/>
      <c r="B1873" s="483"/>
      <c r="C1873" s="483"/>
      <c r="D1873" s="483"/>
      <c r="E1873" s="483"/>
      <c r="F1873" s="483"/>
    </row>
    <row r="1874" spans="1:6">
      <c r="A1874" s="482"/>
      <c r="B1874" s="483"/>
      <c r="C1874" s="483"/>
      <c r="D1874" s="483"/>
      <c r="E1874" s="483"/>
      <c r="F1874" s="483"/>
    </row>
    <row r="1875" spans="1:6">
      <c r="A1875" s="482"/>
      <c r="B1875" s="483"/>
      <c r="C1875" s="483"/>
      <c r="D1875" s="483"/>
      <c r="E1875" s="483"/>
      <c r="F1875" s="483"/>
    </row>
    <row r="1876" spans="1:6">
      <c r="A1876" s="482"/>
      <c r="B1876" s="483"/>
      <c r="C1876" s="483"/>
      <c r="D1876" s="483"/>
      <c r="E1876" s="483"/>
      <c r="F1876" s="483"/>
    </row>
    <row r="1877" spans="1:6">
      <c r="A1877" s="482"/>
      <c r="B1877" s="483"/>
      <c r="C1877" s="483"/>
      <c r="D1877" s="483"/>
      <c r="E1877" s="483"/>
      <c r="F1877" s="483"/>
    </row>
    <row r="1878" spans="1:6">
      <c r="A1878" s="482"/>
      <c r="B1878" s="483"/>
      <c r="C1878" s="483"/>
      <c r="D1878" s="483"/>
      <c r="E1878" s="483"/>
      <c r="F1878" s="483"/>
    </row>
    <row r="1879" spans="1:6">
      <c r="A1879" s="482"/>
      <c r="B1879" s="483"/>
      <c r="C1879" s="483"/>
      <c r="D1879" s="483"/>
      <c r="E1879" s="483"/>
      <c r="F1879" s="483"/>
    </row>
    <row r="1880" spans="1:6">
      <c r="A1880" s="482"/>
      <c r="B1880" s="483"/>
      <c r="C1880" s="483"/>
      <c r="D1880" s="483"/>
      <c r="E1880" s="483"/>
      <c r="F1880" s="483"/>
    </row>
    <row r="1881" spans="1:6">
      <c r="A1881" s="482"/>
      <c r="B1881" s="483"/>
      <c r="C1881" s="483"/>
      <c r="D1881" s="483"/>
      <c r="E1881" s="483"/>
      <c r="F1881" s="483"/>
    </row>
    <row r="1882" spans="1:6">
      <c r="A1882" s="482"/>
      <c r="B1882" s="483"/>
      <c r="C1882" s="483"/>
      <c r="D1882" s="483"/>
      <c r="E1882" s="483"/>
      <c r="F1882" s="483"/>
    </row>
    <row r="1883" spans="1:6">
      <c r="A1883" s="482"/>
      <c r="B1883" s="483"/>
      <c r="C1883" s="483"/>
      <c r="D1883" s="483"/>
      <c r="E1883" s="483"/>
      <c r="F1883" s="483"/>
    </row>
    <row r="1884" spans="1:6">
      <c r="A1884" s="482"/>
      <c r="B1884" s="483"/>
      <c r="C1884" s="483"/>
      <c r="D1884" s="483"/>
      <c r="E1884" s="483"/>
      <c r="F1884" s="483"/>
    </row>
    <row r="1885" spans="1:6">
      <c r="A1885" s="482"/>
      <c r="B1885" s="483"/>
      <c r="C1885" s="483"/>
      <c r="D1885" s="483"/>
      <c r="E1885" s="483"/>
      <c r="F1885" s="483"/>
    </row>
    <row r="1886" spans="1:6">
      <c r="A1886" s="482"/>
      <c r="B1886" s="483"/>
      <c r="C1886" s="483"/>
      <c r="D1886" s="483"/>
      <c r="E1886" s="483"/>
      <c r="F1886" s="483"/>
    </row>
    <row r="1887" spans="1:6">
      <c r="A1887" s="482"/>
      <c r="B1887" s="483"/>
      <c r="C1887" s="483"/>
      <c r="D1887" s="483"/>
      <c r="E1887" s="483"/>
      <c r="F1887" s="483"/>
    </row>
    <row r="1888" spans="1:6">
      <c r="A1888" s="482"/>
      <c r="B1888" s="483"/>
      <c r="C1888" s="483"/>
      <c r="D1888" s="483"/>
      <c r="E1888" s="483"/>
      <c r="F1888" s="483"/>
    </row>
    <row r="1889" spans="1:6">
      <c r="A1889" s="482"/>
      <c r="B1889" s="483"/>
      <c r="C1889" s="483"/>
      <c r="D1889" s="483"/>
      <c r="E1889" s="483"/>
      <c r="F1889" s="483"/>
    </row>
    <row r="1890" spans="1:6">
      <c r="A1890" s="482"/>
      <c r="B1890" s="483"/>
      <c r="C1890" s="483"/>
      <c r="D1890" s="483"/>
      <c r="E1890" s="483"/>
      <c r="F1890" s="483"/>
    </row>
    <row r="1891" spans="1:6">
      <c r="A1891" s="482"/>
      <c r="B1891" s="483"/>
      <c r="C1891" s="483"/>
      <c r="D1891" s="483"/>
      <c r="E1891" s="483"/>
      <c r="F1891" s="483"/>
    </row>
    <row r="1892" spans="1:6">
      <c r="A1892" s="482"/>
      <c r="B1892" s="483"/>
      <c r="C1892" s="483"/>
      <c r="D1892" s="483"/>
      <c r="E1892" s="483"/>
      <c r="F1892" s="483"/>
    </row>
    <row r="1893" spans="1:6">
      <c r="A1893" s="482"/>
      <c r="B1893" s="483"/>
      <c r="C1893" s="483"/>
      <c r="D1893" s="483"/>
      <c r="E1893" s="483"/>
      <c r="F1893" s="483"/>
    </row>
    <row r="1894" spans="1:6">
      <c r="A1894" s="482"/>
      <c r="B1894" s="483"/>
      <c r="C1894" s="483"/>
      <c r="D1894" s="483"/>
      <c r="E1894" s="483"/>
      <c r="F1894" s="483"/>
    </row>
    <row r="1895" spans="1:6">
      <c r="A1895" s="482"/>
      <c r="B1895" s="483"/>
      <c r="C1895" s="483"/>
      <c r="D1895" s="483"/>
      <c r="E1895" s="483"/>
      <c r="F1895" s="483"/>
    </row>
    <row r="1896" spans="1:6">
      <c r="A1896" s="482"/>
      <c r="B1896" s="483"/>
      <c r="C1896" s="483"/>
      <c r="D1896" s="483"/>
      <c r="E1896" s="483"/>
      <c r="F1896" s="483"/>
    </row>
    <row r="1897" spans="1:6">
      <c r="A1897" s="482"/>
      <c r="B1897" s="483"/>
      <c r="C1897" s="483"/>
      <c r="D1897" s="483"/>
      <c r="E1897" s="483"/>
      <c r="F1897" s="483"/>
    </row>
    <row r="1898" spans="1:6">
      <c r="A1898" s="482"/>
      <c r="B1898" s="483"/>
      <c r="C1898" s="483"/>
      <c r="D1898" s="483"/>
      <c r="E1898" s="483"/>
      <c r="F1898" s="483"/>
    </row>
    <row r="1899" spans="1:6">
      <c r="A1899" s="482"/>
      <c r="B1899" s="483"/>
      <c r="C1899" s="483"/>
      <c r="D1899" s="483"/>
      <c r="E1899" s="483"/>
      <c r="F1899" s="483"/>
    </row>
    <row r="1900" spans="1:6">
      <c r="A1900" s="482"/>
      <c r="B1900" s="483"/>
      <c r="C1900" s="483"/>
      <c r="D1900" s="483"/>
      <c r="E1900" s="483"/>
      <c r="F1900" s="483"/>
    </row>
    <row r="1901" spans="1:6">
      <c r="A1901" s="482"/>
      <c r="B1901" s="483"/>
      <c r="C1901" s="483"/>
      <c r="D1901" s="483"/>
      <c r="E1901" s="483"/>
      <c r="F1901" s="483"/>
    </row>
    <row r="1902" spans="1:6">
      <c r="A1902" s="482"/>
      <c r="B1902" s="483"/>
      <c r="C1902" s="483"/>
      <c r="D1902" s="483"/>
      <c r="E1902" s="483"/>
      <c r="F1902" s="483"/>
    </row>
    <row r="1903" spans="1:6">
      <c r="A1903" s="482"/>
      <c r="B1903" s="483"/>
      <c r="C1903" s="483"/>
      <c r="D1903" s="483"/>
      <c r="E1903" s="483"/>
      <c r="F1903" s="483"/>
    </row>
    <row r="1904" spans="1:6">
      <c r="A1904" s="482"/>
      <c r="B1904" s="483"/>
      <c r="C1904" s="483"/>
      <c r="D1904" s="483"/>
      <c r="E1904" s="483"/>
      <c r="F1904" s="483"/>
    </row>
    <row r="1905" spans="1:6">
      <c r="A1905" s="482"/>
      <c r="B1905" s="483"/>
      <c r="C1905" s="483"/>
      <c r="D1905" s="483"/>
      <c r="E1905" s="483"/>
      <c r="F1905" s="483"/>
    </row>
    <row r="1906" spans="1:6">
      <c r="A1906" s="482"/>
      <c r="B1906" s="483"/>
      <c r="C1906" s="483"/>
      <c r="D1906" s="483"/>
      <c r="E1906" s="483"/>
      <c r="F1906" s="483"/>
    </row>
    <row r="1907" spans="1:6">
      <c r="A1907" s="482"/>
      <c r="B1907" s="483"/>
      <c r="C1907" s="483"/>
      <c r="D1907" s="483"/>
      <c r="E1907" s="483"/>
      <c r="F1907" s="483"/>
    </row>
    <row r="1908" spans="1:6">
      <c r="A1908" s="482"/>
      <c r="B1908" s="483"/>
      <c r="C1908" s="483"/>
      <c r="D1908" s="483"/>
      <c r="E1908" s="483"/>
      <c r="F1908" s="483"/>
    </row>
    <row r="1909" spans="1:6">
      <c r="A1909" s="482"/>
      <c r="B1909" s="483"/>
      <c r="C1909" s="483"/>
      <c r="D1909" s="483"/>
      <c r="E1909" s="483"/>
      <c r="F1909" s="483"/>
    </row>
    <row r="1910" spans="1:6">
      <c r="A1910" s="482"/>
      <c r="B1910" s="483"/>
      <c r="C1910" s="483"/>
      <c r="D1910" s="483"/>
      <c r="E1910" s="483"/>
      <c r="F1910" s="483"/>
    </row>
    <row r="1911" spans="1:6">
      <c r="A1911" s="482"/>
      <c r="B1911" s="483"/>
      <c r="C1911" s="483"/>
      <c r="D1911" s="483"/>
      <c r="E1911" s="483"/>
      <c r="F1911" s="483"/>
    </row>
    <row r="1912" spans="1:6">
      <c r="A1912" s="482"/>
      <c r="B1912" s="483"/>
      <c r="C1912" s="483"/>
      <c r="D1912" s="483"/>
      <c r="E1912" s="483"/>
      <c r="F1912" s="483"/>
    </row>
    <row r="1913" spans="1:6">
      <c r="A1913" s="482"/>
      <c r="B1913" s="483"/>
      <c r="C1913" s="483"/>
      <c r="D1913" s="483"/>
      <c r="E1913" s="483"/>
      <c r="F1913" s="483"/>
    </row>
    <row r="1914" spans="1:6">
      <c r="A1914" s="482"/>
      <c r="B1914" s="483"/>
      <c r="C1914" s="483"/>
      <c r="D1914" s="483"/>
      <c r="E1914" s="483"/>
      <c r="F1914" s="483"/>
    </row>
    <row r="1915" spans="1:6">
      <c r="A1915" s="482"/>
      <c r="B1915" s="483"/>
      <c r="C1915" s="483"/>
      <c r="D1915" s="483"/>
      <c r="E1915" s="483"/>
      <c r="F1915" s="483"/>
    </row>
    <row r="1916" spans="1:6">
      <c r="A1916" s="482"/>
      <c r="B1916" s="483"/>
      <c r="C1916" s="483"/>
      <c r="D1916" s="483"/>
      <c r="E1916" s="483"/>
      <c r="F1916" s="483"/>
    </row>
    <row r="1917" spans="1:6">
      <c r="A1917" s="482"/>
      <c r="B1917" s="483"/>
      <c r="C1917" s="483"/>
      <c r="D1917" s="483"/>
      <c r="E1917" s="483"/>
      <c r="F1917" s="483"/>
    </row>
    <row r="1918" spans="1:6">
      <c r="A1918" s="482"/>
      <c r="B1918" s="483"/>
      <c r="C1918" s="483"/>
      <c r="D1918" s="483"/>
      <c r="E1918" s="483"/>
      <c r="F1918" s="483"/>
    </row>
    <row r="1919" spans="1:6">
      <c r="A1919" s="482"/>
      <c r="B1919" s="483"/>
      <c r="C1919" s="483"/>
      <c r="D1919" s="483"/>
      <c r="E1919" s="483"/>
      <c r="F1919" s="483"/>
    </row>
    <row r="1920" spans="1:6">
      <c r="A1920" s="482"/>
      <c r="B1920" s="483"/>
      <c r="C1920" s="483"/>
      <c r="D1920" s="483"/>
      <c r="E1920" s="483"/>
      <c r="F1920" s="483"/>
    </row>
    <row r="1921" spans="1:6">
      <c r="A1921" s="482"/>
      <c r="B1921" s="483"/>
      <c r="C1921" s="483"/>
      <c r="D1921" s="483"/>
      <c r="E1921" s="483"/>
      <c r="F1921" s="483"/>
    </row>
    <row r="1922" spans="1:6">
      <c r="A1922" s="482"/>
      <c r="B1922" s="483"/>
      <c r="C1922" s="483"/>
      <c r="D1922" s="483"/>
      <c r="E1922" s="483"/>
      <c r="F1922" s="483"/>
    </row>
    <row r="1923" spans="1:6">
      <c r="A1923" s="482"/>
      <c r="B1923" s="483"/>
      <c r="C1923" s="483"/>
      <c r="D1923" s="483"/>
      <c r="E1923" s="483"/>
      <c r="F1923" s="483"/>
    </row>
    <row r="1924" spans="1:6">
      <c r="A1924" s="482"/>
      <c r="B1924" s="483"/>
      <c r="C1924" s="483"/>
      <c r="D1924" s="483"/>
      <c r="E1924" s="483"/>
      <c r="F1924" s="483"/>
    </row>
    <row r="1925" spans="1:6">
      <c r="A1925" s="482"/>
      <c r="B1925" s="483"/>
      <c r="C1925" s="483"/>
      <c r="D1925" s="483"/>
      <c r="E1925" s="483"/>
      <c r="F1925" s="483"/>
    </row>
    <row r="1926" spans="1:6">
      <c r="A1926" s="482"/>
      <c r="B1926" s="483"/>
      <c r="C1926" s="483"/>
      <c r="D1926" s="483"/>
      <c r="E1926" s="483"/>
      <c r="F1926" s="483"/>
    </row>
    <row r="1927" spans="1:6">
      <c r="A1927" s="482"/>
      <c r="B1927" s="483"/>
      <c r="C1927" s="483"/>
      <c r="D1927" s="483"/>
      <c r="E1927" s="483"/>
      <c r="F1927" s="483"/>
    </row>
    <row r="1928" spans="1:6">
      <c r="A1928" s="482"/>
      <c r="B1928" s="483"/>
      <c r="C1928" s="483"/>
      <c r="D1928" s="483"/>
      <c r="E1928" s="483"/>
      <c r="F1928" s="483"/>
    </row>
    <row r="1929" spans="1:6">
      <c r="A1929" s="482"/>
      <c r="B1929" s="483"/>
      <c r="C1929" s="483"/>
      <c r="D1929" s="483"/>
      <c r="E1929" s="483"/>
      <c r="F1929" s="483"/>
    </row>
    <row r="1930" spans="1:6">
      <c r="A1930" s="482"/>
      <c r="B1930" s="483"/>
      <c r="C1930" s="483"/>
      <c r="D1930" s="483"/>
      <c r="E1930" s="483"/>
      <c r="F1930" s="483"/>
    </row>
    <row r="1931" spans="1:6">
      <c r="A1931" s="482"/>
      <c r="B1931" s="483"/>
      <c r="C1931" s="483"/>
      <c r="D1931" s="483"/>
      <c r="E1931" s="483"/>
      <c r="F1931" s="483"/>
    </row>
    <row r="1932" spans="1:6">
      <c r="A1932" s="482"/>
      <c r="B1932" s="483"/>
      <c r="C1932" s="483"/>
      <c r="D1932" s="483"/>
      <c r="E1932" s="483"/>
      <c r="F1932" s="483"/>
    </row>
    <row r="1933" spans="1:6">
      <c r="A1933" s="482"/>
      <c r="B1933" s="483"/>
      <c r="C1933" s="483"/>
      <c r="D1933" s="483"/>
      <c r="E1933" s="483"/>
      <c r="F1933" s="483"/>
    </row>
    <row r="1934" spans="1:6">
      <c r="A1934" s="482"/>
      <c r="B1934" s="484"/>
      <c r="C1934" s="484"/>
      <c r="D1934" s="483"/>
      <c r="E1934" s="484"/>
      <c r="F1934" s="484"/>
    </row>
    <row r="1935" spans="1:6">
      <c r="A1935" s="482"/>
      <c r="B1935" s="485"/>
      <c r="C1935" s="485"/>
      <c r="D1935" s="483"/>
      <c r="E1935" s="485"/>
      <c r="F1935" s="485"/>
    </row>
    <row r="1936" spans="1:6">
      <c r="A1936" s="482"/>
      <c r="B1936" s="485"/>
      <c r="C1936" s="485"/>
      <c r="D1936" s="483"/>
      <c r="E1936" s="485"/>
      <c r="F1936" s="485"/>
    </row>
    <row r="1937" spans="1:6">
      <c r="A1937" s="482"/>
      <c r="B1937" s="485"/>
      <c r="C1937" s="485"/>
      <c r="D1937" s="483"/>
      <c r="E1937" s="485"/>
      <c r="F1937" s="485"/>
    </row>
    <row r="1938" spans="1:6">
      <c r="A1938" s="482"/>
      <c r="B1938" s="485"/>
      <c r="C1938" s="485"/>
      <c r="D1938" s="483"/>
      <c r="E1938" s="485"/>
      <c r="F1938" s="485"/>
    </row>
    <row r="1939" spans="1:6">
      <c r="A1939" s="482"/>
      <c r="B1939" s="485"/>
      <c r="C1939" s="485"/>
      <c r="D1939" s="483"/>
      <c r="E1939" s="485"/>
      <c r="F1939" s="485"/>
    </row>
    <row r="1940" spans="1:6">
      <c r="A1940" s="482"/>
      <c r="B1940" s="485"/>
      <c r="C1940" s="485"/>
      <c r="D1940" s="483"/>
      <c r="E1940" s="485"/>
      <c r="F1940" s="485"/>
    </row>
    <row r="1941" spans="1:6">
      <c r="A1941" s="482"/>
      <c r="B1941" s="485"/>
      <c r="C1941" s="485"/>
      <c r="D1941" s="483"/>
      <c r="E1941" s="485"/>
      <c r="F1941" s="485"/>
    </row>
    <row r="1942" spans="1:6">
      <c r="A1942" s="482"/>
      <c r="B1942" s="485"/>
      <c r="C1942" s="485"/>
      <c r="D1942" s="483"/>
      <c r="E1942" s="485"/>
      <c r="F1942" s="485"/>
    </row>
    <row r="1943" spans="1:6">
      <c r="A1943" s="482"/>
      <c r="B1943" s="485"/>
      <c r="C1943" s="485"/>
      <c r="D1943" s="483"/>
      <c r="E1943" s="485"/>
      <c r="F1943" s="485"/>
    </row>
    <row r="1944" spans="1:6">
      <c r="A1944" s="482"/>
      <c r="B1944" s="485"/>
      <c r="C1944" s="485"/>
      <c r="D1944" s="483"/>
      <c r="E1944" s="485"/>
      <c r="F1944" s="485"/>
    </row>
    <row r="1945" spans="1:6">
      <c r="A1945" s="482"/>
      <c r="B1945" s="485"/>
      <c r="C1945" s="485"/>
      <c r="D1945" s="483"/>
      <c r="E1945" s="485"/>
      <c r="F1945" s="485"/>
    </row>
    <row r="1946" spans="1:6">
      <c r="A1946" s="482"/>
      <c r="B1946" s="485"/>
      <c r="C1946" s="485"/>
      <c r="D1946" s="483"/>
      <c r="E1946" s="485"/>
      <c r="F1946" s="485"/>
    </row>
    <row r="1947" spans="1:6">
      <c r="A1947" s="482"/>
      <c r="B1947" s="485"/>
      <c r="C1947" s="485"/>
      <c r="D1947" s="483"/>
      <c r="E1947" s="485"/>
      <c r="F1947" s="485"/>
    </row>
    <row r="1948" spans="1:6">
      <c r="A1948" s="482"/>
      <c r="B1948" s="485"/>
      <c r="C1948" s="485"/>
      <c r="D1948" s="483"/>
      <c r="E1948" s="485"/>
      <c r="F1948" s="485"/>
    </row>
    <row r="1949" spans="1:6">
      <c r="A1949" s="482"/>
      <c r="B1949" s="485"/>
      <c r="C1949" s="485"/>
      <c r="D1949" s="483"/>
      <c r="E1949" s="485"/>
      <c r="F1949" s="485"/>
    </row>
    <row r="1950" spans="1:6">
      <c r="A1950" s="482"/>
      <c r="B1950" s="485"/>
      <c r="C1950" s="485"/>
      <c r="D1950" s="483"/>
      <c r="E1950" s="485"/>
      <c r="F1950" s="485"/>
    </row>
    <row r="1951" spans="1:6">
      <c r="A1951" s="482"/>
      <c r="B1951" s="485"/>
      <c r="C1951" s="485"/>
      <c r="D1951" s="483"/>
      <c r="E1951" s="485"/>
      <c r="F1951" s="485"/>
    </row>
    <row r="1952" spans="1:6">
      <c r="A1952" s="482"/>
      <c r="B1952" s="485"/>
      <c r="C1952" s="485"/>
      <c r="D1952" s="483"/>
      <c r="E1952" s="485"/>
      <c r="F1952" s="485"/>
    </row>
    <row r="1953" spans="1:6">
      <c r="A1953" s="482"/>
      <c r="B1953" s="485"/>
      <c r="C1953" s="485"/>
      <c r="D1953" s="483"/>
      <c r="E1953" s="485"/>
      <c r="F1953" s="485"/>
    </row>
    <row r="1954" spans="1:6">
      <c r="A1954" s="482"/>
      <c r="B1954" s="485"/>
      <c r="C1954" s="485"/>
      <c r="D1954" s="483"/>
      <c r="E1954" s="485"/>
      <c r="F1954" s="485"/>
    </row>
    <row r="1955" spans="1:6">
      <c r="A1955" s="482"/>
      <c r="B1955" s="485"/>
      <c r="C1955" s="485"/>
      <c r="D1955" s="483"/>
      <c r="E1955" s="485"/>
      <c r="F1955" s="485"/>
    </row>
    <row r="1956" spans="1:6">
      <c r="A1956" s="482"/>
      <c r="B1956" s="485"/>
      <c r="C1956" s="485"/>
      <c r="D1956" s="483"/>
      <c r="E1956" s="485"/>
      <c r="F1956" s="485"/>
    </row>
    <row r="1957" spans="1:6">
      <c r="A1957" s="482"/>
      <c r="B1957" s="485"/>
      <c r="C1957" s="485"/>
      <c r="D1957" s="483"/>
      <c r="E1957" s="485"/>
      <c r="F1957" s="485"/>
    </row>
    <row r="1958" spans="1:6">
      <c r="A1958" s="482"/>
      <c r="B1958" s="484"/>
      <c r="C1958" s="484"/>
      <c r="D1958" s="483"/>
      <c r="E1958" s="484"/>
      <c r="F1958" s="484"/>
    </row>
    <row r="1959" spans="1:6">
      <c r="A1959" s="482"/>
      <c r="B1959" s="485"/>
      <c r="C1959" s="485"/>
      <c r="D1959" s="483"/>
      <c r="E1959" s="485"/>
      <c r="F1959" s="485"/>
    </row>
    <row r="1960" spans="1:6">
      <c r="A1960" s="482"/>
      <c r="B1960" s="485"/>
      <c r="C1960" s="485"/>
      <c r="D1960" s="483"/>
      <c r="E1960" s="485"/>
      <c r="F1960" s="485"/>
    </row>
    <row r="1961" spans="1:6">
      <c r="A1961" s="482"/>
      <c r="B1961" s="485"/>
      <c r="C1961" s="485"/>
      <c r="D1961" s="483"/>
      <c r="E1961" s="485"/>
      <c r="F1961" s="485"/>
    </row>
    <row r="1962" spans="1:6">
      <c r="A1962" s="482"/>
      <c r="B1962" s="485"/>
      <c r="C1962" s="485"/>
      <c r="D1962" s="483"/>
      <c r="E1962" s="485"/>
      <c r="F1962" s="485"/>
    </row>
    <row r="1963" spans="1:6">
      <c r="A1963" s="482"/>
      <c r="B1963" s="485"/>
      <c r="C1963" s="485"/>
      <c r="D1963" s="483"/>
      <c r="E1963" s="485"/>
      <c r="F1963" s="485"/>
    </row>
    <row r="1964" spans="1:6">
      <c r="A1964" s="482"/>
      <c r="B1964" s="485"/>
      <c r="C1964" s="485"/>
      <c r="D1964" s="483"/>
      <c r="E1964" s="485"/>
      <c r="F1964" s="485"/>
    </row>
    <row r="1965" spans="1:6">
      <c r="A1965" s="482"/>
      <c r="B1965" s="485"/>
      <c r="C1965" s="485"/>
      <c r="D1965" s="483"/>
      <c r="E1965" s="485"/>
      <c r="F1965" s="485"/>
    </row>
    <row r="1966" spans="1:6">
      <c r="A1966" s="482"/>
      <c r="B1966" s="485"/>
      <c r="C1966" s="485"/>
      <c r="D1966" s="483"/>
      <c r="E1966" s="485"/>
      <c r="F1966" s="485"/>
    </row>
    <row r="1967" spans="1:6">
      <c r="A1967" s="482"/>
      <c r="B1967" s="485"/>
      <c r="C1967" s="485"/>
      <c r="D1967" s="483"/>
      <c r="E1967" s="485"/>
      <c r="F1967" s="485"/>
    </row>
    <row r="1968" spans="1:6">
      <c r="A1968" s="482"/>
      <c r="B1968" s="485"/>
      <c r="C1968" s="485"/>
      <c r="D1968" s="483"/>
      <c r="E1968" s="485"/>
      <c r="F1968" s="485"/>
    </row>
    <row r="1969" spans="1:6">
      <c r="A1969" s="482"/>
      <c r="B1969" s="485"/>
      <c r="C1969" s="485"/>
      <c r="D1969" s="483"/>
      <c r="E1969" s="485"/>
      <c r="F1969" s="485"/>
    </row>
    <row r="1970" spans="1:6">
      <c r="A1970" s="482"/>
      <c r="B1970" s="485"/>
      <c r="C1970" s="485"/>
      <c r="D1970" s="483"/>
      <c r="E1970" s="485"/>
      <c r="F1970" s="485"/>
    </row>
    <row r="1971" spans="1:6">
      <c r="A1971" s="482"/>
      <c r="B1971" s="485"/>
      <c r="C1971" s="485"/>
      <c r="D1971" s="483"/>
      <c r="E1971" s="485"/>
      <c r="F1971" s="485"/>
    </row>
    <row r="1972" spans="1:6">
      <c r="A1972" s="482"/>
      <c r="B1972" s="485"/>
      <c r="C1972" s="485"/>
      <c r="D1972" s="483"/>
      <c r="E1972" s="485"/>
      <c r="F1972" s="485"/>
    </row>
    <row r="1973" spans="1:6">
      <c r="A1973" s="482"/>
      <c r="B1973" s="485"/>
      <c r="C1973" s="485"/>
      <c r="D1973" s="483"/>
      <c r="E1973" s="485"/>
      <c r="F1973" s="485"/>
    </row>
    <row r="1974" spans="1:6">
      <c r="A1974" s="482"/>
      <c r="B1974" s="485"/>
      <c r="C1974" s="485"/>
      <c r="D1974" s="483"/>
      <c r="E1974" s="485"/>
      <c r="F1974" s="485"/>
    </row>
    <row r="1975" spans="1:6">
      <c r="A1975" s="482"/>
      <c r="B1975" s="485"/>
      <c r="C1975" s="485"/>
      <c r="D1975" s="483"/>
      <c r="E1975" s="485"/>
      <c r="F1975" s="485"/>
    </row>
    <row r="1976" spans="1:6">
      <c r="A1976" s="482"/>
      <c r="B1976" s="485"/>
      <c r="C1976" s="485"/>
      <c r="D1976" s="483"/>
      <c r="E1976" s="485"/>
      <c r="F1976" s="485"/>
    </row>
    <row r="1977" spans="1:6">
      <c r="A1977" s="482"/>
      <c r="B1977" s="485"/>
      <c r="C1977" s="485"/>
      <c r="D1977" s="483"/>
      <c r="E1977" s="485"/>
      <c r="F1977" s="485"/>
    </row>
    <row r="1978" spans="1:6">
      <c r="A1978" s="482"/>
      <c r="B1978" s="485"/>
      <c r="C1978" s="485"/>
      <c r="D1978" s="483"/>
      <c r="E1978" s="485"/>
      <c r="F1978" s="485"/>
    </row>
    <row r="1979" spans="1:6">
      <c r="A1979" s="482"/>
      <c r="B1979" s="485"/>
      <c r="C1979" s="485"/>
      <c r="D1979" s="483"/>
      <c r="E1979" s="485"/>
      <c r="F1979" s="485"/>
    </row>
    <row r="1980" spans="1:6">
      <c r="A1980" s="482"/>
      <c r="B1980" s="485"/>
      <c r="C1980" s="485"/>
      <c r="D1980" s="483"/>
      <c r="E1980" s="485"/>
      <c r="F1980" s="485"/>
    </row>
    <row r="1981" spans="1:6">
      <c r="A1981" s="482"/>
      <c r="B1981" s="485"/>
      <c r="C1981" s="485"/>
      <c r="D1981" s="483"/>
      <c r="E1981" s="485"/>
      <c r="F1981" s="485"/>
    </row>
    <row r="1982" spans="1:6">
      <c r="A1982" s="482"/>
      <c r="B1982" s="484"/>
      <c r="C1982" s="484"/>
      <c r="D1982" s="483"/>
      <c r="E1982" s="484"/>
      <c r="F1982" s="484"/>
    </row>
    <row r="1983" spans="1:6">
      <c r="A1983" s="482"/>
      <c r="B1983" s="485"/>
      <c r="C1983" s="485"/>
      <c r="D1983" s="483"/>
      <c r="E1983" s="485"/>
      <c r="F1983" s="485"/>
    </row>
    <row r="1984" spans="1:6">
      <c r="A1984" s="482"/>
      <c r="B1984" s="485"/>
      <c r="C1984" s="485"/>
      <c r="D1984" s="483"/>
      <c r="E1984" s="485"/>
      <c r="F1984" s="485"/>
    </row>
    <row r="1985" spans="1:6">
      <c r="A1985" s="482"/>
      <c r="B1985" s="485"/>
      <c r="C1985" s="485"/>
      <c r="D1985" s="483"/>
      <c r="E1985" s="485"/>
      <c r="F1985" s="485"/>
    </row>
    <row r="1986" spans="1:6">
      <c r="A1986" s="482"/>
      <c r="B1986" s="485"/>
      <c r="C1986" s="485"/>
      <c r="D1986" s="483"/>
      <c r="E1986" s="485"/>
      <c r="F1986" s="485"/>
    </row>
    <row r="1987" spans="1:6">
      <c r="A1987" s="482"/>
      <c r="B1987" s="485"/>
      <c r="C1987" s="485"/>
      <c r="D1987" s="483"/>
      <c r="E1987" s="485"/>
      <c r="F1987" s="485"/>
    </row>
    <row r="1988" spans="1:6">
      <c r="A1988" s="482"/>
      <c r="B1988" s="485"/>
      <c r="C1988" s="485"/>
      <c r="D1988" s="483"/>
      <c r="E1988" s="485"/>
      <c r="F1988" s="485"/>
    </row>
    <row r="1989" spans="1:6">
      <c r="A1989" s="482"/>
      <c r="B1989" s="485"/>
      <c r="C1989" s="485"/>
      <c r="D1989" s="483"/>
      <c r="E1989" s="485"/>
      <c r="F1989" s="485"/>
    </row>
    <row r="1990" spans="1:6">
      <c r="A1990" s="482"/>
      <c r="B1990" s="485"/>
      <c r="C1990" s="485"/>
      <c r="D1990" s="483"/>
      <c r="E1990" s="485"/>
      <c r="F1990" s="485"/>
    </row>
    <row r="1991" spans="1:6">
      <c r="A1991" s="482"/>
      <c r="B1991" s="485"/>
      <c r="C1991" s="485"/>
      <c r="D1991" s="483"/>
      <c r="E1991" s="485"/>
      <c r="F1991" s="485"/>
    </row>
    <row r="1992" spans="1:6">
      <c r="A1992" s="482"/>
      <c r="B1992" s="485"/>
      <c r="C1992" s="485"/>
      <c r="D1992" s="483"/>
      <c r="E1992" s="485"/>
      <c r="F1992" s="485"/>
    </row>
    <row r="1993" spans="1:6">
      <c r="A1993" s="482"/>
      <c r="B1993" s="485"/>
      <c r="C1993" s="485"/>
      <c r="D1993" s="483"/>
      <c r="E1993" s="485"/>
      <c r="F1993" s="485"/>
    </row>
    <row r="1994" spans="1:6">
      <c r="A1994" s="482"/>
      <c r="B1994" s="485"/>
      <c r="C1994" s="485"/>
      <c r="D1994" s="483"/>
      <c r="E1994" s="485"/>
      <c r="F1994" s="485"/>
    </row>
    <row r="1995" spans="1:6">
      <c r="A1995" s="482"/>
      <c r="B1995" s="485"/>
      <c r="C1995" s="485"/>
      <c r="D1995" s="483"/>
      <c r="E1995" s="485"/>
      <c r="F1995" s="485"/>
    </row>
    <row r="1996" spans="1:6">
      <c r="A1996" s="482"/>
      <c r="B1996" s="485"/>
      <c r="C1996" s="485"/>
      <c r="D1996" s="483"/>
      <c r="E1996" s="485"/>
      <c r="F1996" s="485"/>
    </row>
    <row r="1997" spans="1:6">
      <c r="A1997" s="482"/>
      <c r="B1997" s="485"/>
      <c r="C1997" s="485"/>
      <c r="D1997" s="483"/>
      <c r="E1997" s="485"/>
      <c r="F1997" s="485"/>
    </row>
    <row r="1998" spans="1:6">
      <c r="A1998" s="482"/>
      <c r="B1998" s="485"/>
      <c r="C1998" s="485"/>
      <c r="D1998" s="483"/>
      <c r="E1998" s="485"/>
      <c r="F1998" s="485"/>
    </row>
    <row r="1999" spans="1:6">
      <c r="A1999" s="482"/>
      <c r="B1999" s="485"/>
      <c r="C1999" s="485"/>
      <c r="D1999" s="483"/>
      <c r="E1999" s="485"/>
      <c r="F1999" s="485"/>
    </row>
    <row r="2000" spans="1:6">
      <c r="A2000" s="482"/>
      <c r="B2000" s="485"/>
      <c r="C2000" s="485"/>
      <c r="D2000" s="483"/>
      <c r="E2000" s="485"/>
      <c r="F2000" s="485"/>
    </row>
    <row r="2001" spans="1:6">
      <c r="A2001" s="482"/>
      <c r="B2001" s="485"/>
      <c r="C2001" s="485"/>
      <c r="D2001" s="483"/>
      <c r="E2001" s="485"/>
      <c r="F2001" s="485"/>
    </row>
    <row r="2002" spans="1:6">
      <c r="A2002" s="482"/>
      <c r="B2002" s="485"/>
      <c r="C2002" s="485"/>
      <c r="D2002" s="483"/>
      <c r="E2002" s="485"/>
      <c r="F2002" s="485"/>
    </row>
    <row r="2003" spans="1:6">
      <c r="A2003" s="482"/>
      <c r="B2003" s="485"/>
      <c r="C2003" s="485"/>
      <c r="D2003" s="483"/>
      <c r="E2003" s="485"/>
      <c r="F2003" s="485"/>
    </row>
    <row r="2004" spans="1:6">
      <c r="A2004" s="482"/>
      <c r="B2004" s="485"/>
      <c r="C2004" s="485"/>
      <c r="D2004" s="483"/>
      <c r="E2004" s="485"/>
      <c r="F2004" s="485"/>
    </row>
    <row r="2005" spans="1:6">
      <c r="A2005" s="482"/>
      <c r="B2005" s="485"/>
      <c r="C2005" s="485"/>
      <c r="D2005" s="483"/>
      <c r="E2005" s="485"/>
      <c r="F2005" s="485"/>
    </row>
    <row r="2006" spans="1:6">
      <c r="A2006" s="482"/>
      <c r="B2006" s="484"/>
      <c r="C2006" s="484"/>
      <c r="D2006" s="483"/>
      <c r="E2006" s="484"/>
      <c r="F2006" s="484"/>
    </row>
    <row r="2007" spans="1:6">
      <c r="A2007" s="482"/>
      <c r="B2007" s="485"/>
      <c r="C2007" s="485"/>
      <c r="D2007" s="483"/>
      <c r="E2007" s="485"/>
      <c r="F2007" s="485"/>
    </row>
    <row r="2008" spans="1:6">
      <c r="A2008" s="482"/>
      <c r="B2008" s="485"/>
      <c r="C2008" s="485"/>
      <c r="D2008" s="483"/>
      <c r="E2008" s="485"/>
      <c r="F2008" s="485"/>
    </row>
    <row r="2009" spans="1:6">
      <c r="A2009" s="482"/>
      <c r="B2009" s="485"/>
      <c r="C2009" s="485"/>
      <c r="D2009" s="483"/>
      <c r="E2009" s="485"/>
      <c r="F2009" s="485"/>
    </row>
    <row r="2010" spans="1:6">
      <c r="A2010" s="482"/>
      <c r="B2010" s="485"/>
      <c r="C2010" s="485"/>
      <c r="D2010" s="483"/>
      <c r="E2010" s="485"/>
      <c r="F2010" s="485"/>
    </row>
    <row r="2011" spans="1:6">
      <c r="A2011" s="482"/>
      <c r="B2011" s="485"/>
      <c r="C2011" s="485"/>
      <c r="D2011" s="483"/>
      <c r="E2011" s="485"/>
      <c r="F2011" s="485"/>
    </row>
    <row r="2012" spans="1:6">
      <c r="A2012" s="482"/>
      <c r="B2012" s="485"/>
      <c r="C2012" s="485"/>
      <c r="D2012" s="483"/>
      <c r="E2012" s="485"/>
      <c r="F2012" s="485"/>
    </row>
    <row r="2013" spans="1:6">
      <c r="A2013" s="482"/>
      <c r="B2013" s="485"/>
      <c r="C2013" s="485"/>
      <c r="D2013" s="483"/>
      <c r="E2013" s="485"/>
      <c r="F2013" s="485"/>
    </row>
    <row r="2014" spans="1:6">
      <c r="A2014" s="482"/>
      <c r="B2014" s="485"/>
      <c r="C2014" s="485"/>
      <c r="D2014" s="483"/>
      <c r="E2014" s="485"/>
      <c r="F2014" s="485"/>
    </row>
    <row r="2015" spans="1:6">
      <c r="A2015" s="482"/>
      <c r="B2015" s="485"/>
      <c r="C2015" s="485"/>
      <c r="D2015" s="483"/>
      <c r="E2015" s="485"/>
      <c r="F2015" s="485"/>
    </row>
    <row r="2016" spans="1:6">
      <c r="A2016" s="482"/>
      <c r="B2016" s="485"/>
      <c r="C2016" s="485"/>
      <c r="D2016" s="483"/>
      <c r="E2016" s="485"/>
      <c r="F2016" s="485"/>
    </row>
    <row r="2017" spans="1:6">
      <c r="A2017" s="482"/>
      <c r="B2017" s="485"/>
      <c r="C2017" s="485"/>
      <c r="D2017" s="483"/>
      <c r="E2017" s="485"/>
      <c r="F2017" s="485"/>
    </row>
    <row r="2018" spans="1:6">
      <c r="A2018" s="482"/>
      <c r="B2018" s="485"/>
      <c r="C2018" s="485"/>
      <c r="D2018" s="483"/>
      <c r="E2018" s="485"/>
      <c r="F2018" s="485"/>
    </row>
    <row r="2019" spans="1:6">
      <c r="A2019" s="482"/>
      <c r="B2019" s="485"/>
      <c r="C2019" s="485"/>
      <c r="D2019" s="483"/>
      <c r="E2019" s="485"/>
      <c r="F2019" s="485"/>
    </row>
    <row r="2020" spans="1:6">
      <c r="A2020" s="482"/>
      <c r="B2020" s="485"/>
      <c r="C2020" s="485"/>
      <c r="D2020" s="483"/>
      <c r="E2020" s="485"/>
      <c r="F2020" s="485"/>
    </row>
    <row r="2021" spans="1:6">
      <c r="A2021" s="482"/>
      <c r="B2021" s="485"/>
      <c r="C2021" s="485"/>
      <c r="D2021" s="483"/>
      <c r="E2021" s="485"/>
      <c r="F2021" s="485"/>
    </row>
    <row r="2022" spans="1:6">
      <c r="A2022" s="482"/>
      <c r="B2022" s="485"/>
      <c r="C2022" s="485"/>
      <c r="D2022" s="483"/>
      <c r="E2022" s="485"/>
      <c r="F2022" s="485"/>
    </row>
    <row r="2023" spans="1:6">
      <c r="A2023" s="482"/>
      <c r="B2023" s="485"/>
      <c r="C2023" s="485"/>
      <c r="D2023" s="483"/>
      <c r="E2023" s="485"/>
      <c r="F2023" s="485"/>
    </row>
    <row r="2024" spans="1:6">
      <c r="A2024" s="482"/>
      <c r="B2024" s="485"/>
      <c r="C2024" s="485"/>
      <c r="D2024" s="483"/>
      <c r="E2024" s="485"/>
      <c r="F2024" s="485"/>
    </row>
    <row r="2025" spans="1:6">
      <c r="A2025" s="482"/>
      <c r="B2025" s="485"/>
      <c r="C2025" s="485"/>
      <c r="D2025" s="483"/>
      <c r="E2025" s="485"/>
      <c r="F2025" s="485"/>
    </row>
    <row r="2026" spans="1:6">
      <c r="A2026" s="482"/>
      <c r="B2026" s="485"/>
      <c r="C2026" s="485"/>
      <c r="D2026" s="483"/>
      <c r="E2026" s="485"/>
      <c r="F2026" s="485"/>
    </row>
    <row r="2027" spans="1:6">
      <c r="A2027" s="482"/>
      <c r="B2027" s="485"/>
      <c r="C2027" s="485"/>
      <c r="D2027" s="483"/>
      <c r="E2027" s="485"/>
      <c r="F2027" s="485"/>
    </row>
    <row r="2028" spans="1:6">
      <c r="A2028" s="482"/>
      <c r="B2028" s="485"/>
      <c r="C2028" s="485"/>
      <c r="D2028" s="483"/>
      <c r="E2028" s="485"/>
      <c r="F2028" s="485"/>
    </row>
    <row r="2029" spans="1:6">
      <c r="A2029" s="482"/>
      <c r="B2029" s="485"/>
      <c r="C2029" s="485"/>
      <c r="D2029" s="483"/>
      <c r="E2029" s="485"/>
      <c r="F2029" s="485"/>
    </row>
    <row r="2030" spans="1:6">
      <c r="A2030" s="482"/>
      <c r="B2030" s="484"/>
      <c r="C2030" s="484"/>
      <c r="D2030" s="483"/>
      <c r="E2030" s="484"/>
      <c r="F2030" s="484"/>
    </row>
    <row r="2031" spans="1:6">
      <c r="A2031" s="482"/>
      <c r="B2031" s="485"/>
      <c r="C2031" s="485"/>
      <c r="D2031" s="483"/>
      <c r="E2031" s="485"/>
      <c r="F2031" s="485"/>
    </row>
    <row r="2032" spans="1:6">
      <c r="A2032" s="482"/>
      <c r="B2032" s="485"/>
      <c r="C2032" s="485"/>
      <c r="D2032" s="483"/>
      <c r="E2032" s="485"/>
      <c r="F2032" s="485"/>
    </row>
    <row r="2033" spans="1:6">
      <c r="A2033" s="482"/>
      <c r="B2033" s="485"/>
      <c r="C2033" s="485"/>
      <c r="D2033" s="483"/>
      <c r="E2033" s="485"/>
      <c r="F2033" s="485"/>
    </row>
    <row r="2034" spans="1:6">
      <c r="A2034" s="482"/>
      <c r="B2034" s="485"/>
      <c r="C2034" s="485"/>
      <c r="D2034" s="483"/>
      <c r="E2034" s="485"/>
      <c r="F2034" s="485"/>
    </row>
    <row r="2035" spans="1:6">
      <c r="A2035" s="482"/>
      <c r="B2035" s="485"/>
      <c r="C2035" s="485"/>
      <c r="D2035" s="483"/>
      <c r="E2035" s="485"/>
      <c r="F2035" s="485"/>
    </row>
    <row r="2036" spans="1:6">
      <c r="A2036" s="482"/>
      <c r="B2036" s="485"/>
      <c r="C2036" s="485"/>
      <c r="D2036" s="483"/>
      <c r="E2036" s="485"/>
      <c r="F2036" s="485"/>
    </row>
    <row r="2037" spans="1:6">
      <c r="A2037" s="482"/>
      <c r="B2037" s="485"/>
      <c r="C2037" s="485"/>
      <c r="D2037" s="483"/>
      <c r="E2037" s="485"/>
      <c r="F2037" s="485"/>
    </row>
    <row r="2038" spans="1:6">
      <c r="A2038" s="482"/>
      <c r="B2038" s="485"/>
      <c r="C2038" s="485"/>
      <c r="D2038" s="483"/>
      <c r="E2038" s="485"/>
      <c r="F2038" s="485"/>
    </row>
    <row r="2039" spans="1:6">
      <c r="A2039" s="482"/>
      <c r="B2039" s="485"/>
      <c r="C2039" s="485"/>
      <c r="D2039" s="483"/>
      <c r="E2039" s="485"/>
      <c r="F2039" s="485"/>
    </row>
    <row r="2040" spans="1:6">
      <c r="A2040" s="482"/>
      <c r="B2040" s="485"/>
      <c r="C2040" s="485"/>
      <c r="D2040" s="483"/>
      <c r="E2040" s="485"/>
      <c r="F2040" s="485"/>
    </row>
    <row r="2041" spans="1:6">
      <c r="A2041" s="482"/>
      <c r="B2041" s="485"/>
      <c r="C2041" s="485"/>
      <c r="D2041" s="483"/>
      <c r="E2041" s="485"/>
      <c r="F2041" s="485"/>
    </row>
    <row r="2042" spans="1:6">
      <c r="A2042" s="482"/>
      <c r="B2042" s="485"/>
      <c r="C2042" s="485"/>
      <c r="D2042" s="483"/>
      <c r="E2042" s="485"/>
      <c r="F2042" s="485"/>
    </row>
    <row r="2043" spans="1:6">
      <c r="A2043" s="482"/>
      <c r="B2043" s="485"/>
      <c r="C2043" s="485"/>
      <c r="D2043" s="483"/>
      <c r="E2043" s="485"/>
      <c r="F2043" s="485"/>
    </row>
    <row r="2044" spans="1:6">
      <c r="A2044" s="482"/>
      <c r="B2044" s="485"/>
      <c r="C2044" s="485"/>
      <c r="D2044" s="483"/>
      <c r="E2044" s="485"/>
      <c r="F2044" s="485"/>
    </row>
    <row r="2045" spans="1:6">
      <c r="A2045" s="482"/>
      <c r="B2045" s="485"/>
      <c r="C2045" s="485"/>
      <c r="D2045" s="483"/>
      <c r="E2045" s="485"/>
      <c r="F2045" s="485"/>
    </row>
    <row r="2046" spans="1:6">
      <c r="A2046" s="482"/>
      <c r="B2046" s="485"/>
      <c r="C2046" s="485"/>
      <c r="D2046" s="483"/>
      <c r="E2046" s="485"/>
      <c r="F2046" s="485"/>
    </row>
    <row r="2047" spans="1:6">
      <c r="A2047" s="482"/>
      <c r="B2047" s="485"/>
      <c r="C2047" s="485"/>
      <c r="D2047" s="483"/>
      <c r="E2047" s="485"/>
      <c r="F2047" s="485"/>
    </row>
    <row r="2048" spans="1:6">
      <c r="A2048" s="482"/>
      <c r="B2048" s="485"/>
      <c r="C2048" s="485"/>
      <c r="D2048" s="483"/>
      <c r="E2048" s="485"/>
      <c r="F2048" s="485"/>
    </row>
    <row r="2049" spans="1:6">
      <c r="A2049" s="482"/>
      <c r="B2049" s="485"/>
      <c r="C2049" s="485"/>
      <c r="D2049" s="483"/>
      <c r="E2049" s="485"/>
      <c r="F2049" s="485"/>
    </row>
    <row r="2050" spans="1:6">
      <c r="A2050" s="482"/>
      <c r="B2050" s="485"/>
      <c r="C2050" s="485"/>
      <c r="D2050" s="483"/>
      <c r="E2050" s="485"/>
      <c r="F2050" s="485"/>
    </row>
    <row r="2051" spans="1:6">
      <c r="A2051" s="482"/>
      <c r="B2051" s="485"/>
      <c r="C2051" s="485"/>
      <c r="D2051" s="483"/>
      <c r="E2051" s="485"/>
      <c r="F2051" s="485"/>
    </row>
    <row r="2052" spans="1:6">
      <c r="A2052" s="482"/>
      <c r="B2052" s="485"/>
      <c r="C2052" s="485"/>
      <c r="D2052" s="483"/>
      <c r="E2052" s="485"/>
      <c r="F2052" s="485"/>
    </row>
    <row r="2053" spans="1:6">
      <c r="A2053" s="482"/>
      <c r="B2053" s="485"/>
      <c r="C2053" s="485"/>
      <c r="D2053" s="483"/>
      <c r="E2053" s="485"/>
      <c r="F2053" s="485"/>
    </row>
    <row r="2054" spans="1:6">
      <c r="A2054" s="482"/>
      <c r="B2054" s="484"/>
      <c r="C2054" s="484"/>
      <c r="D2054" s="483"/>
      <c r="E2054" s="484"/>
      <c r="F2054" s="484"/>
    </row>
    <row r="2055" spans="1:6">
      <c r="A2055" s="482"/>
      <c r="B2055" s="485"/>
      <c r="C2055" s="485"/>
      <c r="D2055" s="483"/>
      <c r="E2055" s="485"/>
      <c r="F2055" s="485"/>
    </row>
    <row r="2056" spans="1:6">
      <c r="A2056" s="482"/>
      <c r="B2056" s="485"/>
      <c r="C2056" s="485"/>
      <c r="D2056" s="483"/>
      <c r="E2056" s="485"/>
      <c r="F2056" s="485"/>
    </row>
    <row r="2057" spans="1:6">
      <c r="A2057" s="482"/>
      <c r="B2057" s="485"/>
      <c r="C2057" s="485"/>
      <c r="D2057" s="483"/>
      <c r="E2057" s="485"/>
      <c r="F2057" s="485"/>
    </row>
    <row r="2058" spans="1:6">
      <c r="A2058" s="482"/>
      <c r="B2058" s="485"/>
      <c r="C2058" s="485"/>
      <c r="D2058" s="483"/>
      <c r="E2058" s="485"/>
      <c r="F2058" s="485"/>
    </row>
    <row r="2059" spans="1:6">
      <c r="A2059" s="482"/>
      <c r="B2059" s="485"/>
      <c r="C2059" s="485"/>
      <c r="D2059" s="483"/>
      <c r="E2059" s="485"/>
      <c r="F2059" s="485"/>
    </row>
    <row r="2060" spans="1:6">
      <c r="A2060" s="482"/>
      <c r="B2060" s="485"/>
      <c r="C2060" s="485"/>
      <c r="D2060" s="483"/>
      <c r="E2060" s="485"/>
      <c r="F2060" s="485"/>
    </row>
    <row r="2061" spans="1:6">
      <c r="A2061" s="482"/>
      <c r="B2061" s="485"/>
      <c r="C2061" s="485"/>
      <c r="D2061" s="483"/>
      <c r="E2061" s="485"/>
      <c r="F2061" s="485"/>
    </row>
    <row r="2062" spans="1:6">
      <c r="A2062" s="482"/>
      <c r="B2062" s="485"/>
      <c r="C2062" s="485"/>
      <c r="D2062" s="483"/>
      <c r="E2062" s="485"/>
      <c r="F2062" s="485"/>
    </row>
    <row r="2063" spans="1:6">
      <c r="A2063" s="482"/>
      <c r="B2063" s="485"/>
      <c r="C2063" s="485"/>
      <c r="D2063" s="483"/>
      <c r="E2063" s="485"/>
      <c r="F2063" s="485"/>
    </row>
    <row r="2064" spans="1:6">
      <c r="A2064" s="482"/>
      <c r="B2064" s="485"/>
      <c r="C2064" s="485"/>
      <c r="D2064" s="483"/>
      <c r="E2064" s="485"/>
      <c r="F2064" s="485"/>
    </row>
    <row r="2065" spans="1:6">
      <c r="A2065" s="482"/>
      <c r="B2065" s="485"/>
      <c r="C2065" s="485"/>
      <c r="D2065" s="483"/>
      <c r="E2065" s="485"/>
      <c r="F2065" s="485"/>
    </row>
    <row r="2066" spans="1:6">
      <c r="A2066" s="482"/>
      <c r="B2066" s="485"/>
      <c r="C2066" s="485"/>
      <c r="D2066" s="483"/>
      <c r="E2066" s="485"/>
      <c r="F2066" s="485"/>
    </row>
    <row r="2067" spans="1:6">
      <c r="A2067" s="482"/>
      <c r="B2067" s="485"/>
      <c r="C2067" s="485"/>
      <c r="D2067" s="483"/>
      <c r="E2067" s="485"/>
      <c r="F2067" s="485"/>
    </row>
    <row r="2068" spans="1:6">
      <c r="A2068" s="482"/>
      <c r="B2068" s="485"/>
      <c r="C2068" s="485"/>
      <c r="D2068" s="483"/>
      <c r="E2068" s="485"/>
      <c r="F2068" s="485"/>
    </row>
    <row r="2069" spans="1:6">
      <c r="A2069" s="482"/>
      <c r="B2069" s="485"/>
      <c r="C2069" s="485"/>
      <c r="D2069" s="483"/>
      <c r="E2069" s="485"/>
      <c r="F2069" s="485"/>
    </row>
    <row r="2070" spans="1:6">
      <c r="A2070" s="482"/>
      <c r="B2070" s="485"/>
      <c r="C2070" s="485"/>
      <c r="D2070" s="483"/>
      <c r="E2070" s="485"/>
      <c r="F2070" s="485"/>
    </row>
    <row r="2071" spans="1:6">
      <c r="A2071" s="482"/>
      <c r="B2071" s="485"/>
      <c r="C2071" s="485"/>
      <c r="D2071" s="483"/>
      <c r="E2071" s="485"/>
      <c r="F2071" s="485"/>
    </row>
    <row r="2072" spans="1:6">
      <c r="A2072" s="482"/>
      <c r="B2072" s="485"/>
      <c r="C2072" s="485"/>
      <c r="D2072" s="483"/>
      <c r="E2072" s="485"/>
      <c r="F2072" s="485"/>
    </row>
    <row r="2073" spans="1:6">
      <c r="A2073" s="482"/>
      <c r="B2073" s="485"/>
      <c r="C2073" s="485"/>
      <c r="D2073" s="483"/>
      <c r="E2073" s="485"/>
      <c r="F2073" s="485"/>
    </row>
    <row r="2074" spans="1:6">
      <c r="A2074" s="482"/>
      <c r="B2074" s="485"/>
      <c r="C2074" s="485"/>
      <c r="D2074" s="483"/>
      <c r="E2074" s="485"/>
      <c r="F2074" s="485"/>
    </row>
    <row r="2075" spans="1:6">
      <c r="A2075" s="482"/>
      <c r="B2075" s="485"/>
      <c r="C2075" s="485"/>
      <c r="D2075" s="483"/>
      <c r="E2075" s="485"/>
      <c r="F2075" s="485"/>
    </row>
    <row r="2076" spans="1:6">
      <c r="A2076" s="482"/>
      <c r="B2076" s="485"/>
      <c r="C2076" s="485"/>
      <c r="D2076" s="483"/>
      <c r="E2076" s="485"/>
      <c r="F2076" s="485"/>
    </row>
    <row r="2077" spans="1:6">
      <c r="A2077" s="482"/>
      <c r="B2077" s="485"/>
      <c r="C2077" s="485"/>
      <c r="D2077" s="483"/>
      <c r="E2077" s="485"/>
      <c r="F2077" s="485"/>
    </row>
    <row r="2078" spans="1:6">
      <c r="A2078" s="482"/>
      <c r="B2078" s="484"/>
      <c r="C2078" s="484"/>
      <c r="D2078" s="483"/>
      <c r="E2078" s="484"/>
      <c r="F2078" s="484"/>
    </row>
    <row r="2079" spans="1:6">
      <c r="A2079" s="482"/>
      <c r="B2079" s="485"/>
      <c r="C2079" s="485"/>
      <c r="D2079" s="483"/>
      <c r="E2079" s="485"/>
      <c r="F2079" s="485"/>
    </row>
    <row r="2080" spans="1:6">
      <c r="A2080" s="482"/>
      <c r="B2080" s="485"/>
      <c r="C2080" s="485"/>
      <c r="D2080" s="483"/>
      <c r="E2080" s="485"/>
      <c r="F2080" s="485"/>
    </row>
    <row r="2081" spans="1:6">
      <c r="A2081" s="482"/>
      <c r="B2081" s="485"/>
      <c r="C2081" s="485"/>
      <c r="D2081" s="483"/>
      <c r="E2081" s="485"/>
      <c r="F2081" s="485"/>
    </row>
    <row r="2082" spans="1:6">
      <c r="A2082" s="482"/>
      <c r="B2082" s="485"/>
      <c r="C2082" s="485"/>
      <c r="D2082" s="483"/>
      <c r="E2082" s="485"/>
      <c r="F2082" s="485"/>
    </row>
    <row r="2083" spans="1:6">
      <c r="A2083" s="482"/>
      <c r="B2083" s="485"/>
      <c r="C2083" s="485"/>
      <c r="D2083" s="483"/>
      <c r="E2083" s="485"/>
      <c r="F2083" s="485"/>
    </row>
    <row r="2084" spans="1:6">
      <c r="A2084" s="482"/>
      <c r="B2084" s="485"/>
      <c r="C2084" s="485"/>
      <c r="D2084" s="483"/>
      <c r="E2084" s="485"/>
      <c r="F2084" s="485"/>
    </row>
    <row r="2085" spans="1:6">
      <c r="A2085" s="482"/>
      <c r="B2085" s="485"/>
      <c r="C2085" s="485"/>
      <c r="D2085" s="483"/>
      <c r="E2085" s="485"/>
      <c r="F2085" s="485"/>
    </row>
    <row r="2086" spans="1:6">
      <c r="A2086" s="482"/>
      <c r="B2086" s="485"/>
      <c r="C2086" s="485"/>
      <c r="D2086" s="483"/>
      <c r="E2086" s="485"/>
      <c r="F2086" s="485"/>
    </row>
    <row r="2087" spans="1:6">
      <c r="A2087" s="482"/>
      <c r="B2087" s="485"/>
      <c r="C2087" s="485"/>
      <c r="D2087" s="483"/>
      <c r="E2087" s="485"/>
      <c r="F2087" s="485"/>
    </row>
    <row r="2088" spans="1:6">
      <c r="A2088" s="482"/>
      <c r="B2088" s="485"/>
      <c r="C2088" s="485"/>
      <c r="D2088" s="483"/>
      <c r="E2088" s="485"/>
      <c r="F2088" s="485"/>
    </row>
    <row r="2089" spans="1:6">
      <c r="A2089" s="482"/>
      <c r="B2089" s="485"/>
      <c r="C2089" s="485"/>
      <c r="D2089" s="483"/>
      <c r="E2089" s="485"/>
      <c r="F2089" s="485"/>
    </row>
    <row r="2090" spans="1:6">
      <c r="A2090" s="482"/>
      <c r="B2090" s="485"/>
      <c r="C2090" s="485"/>
      <c r="D2090" s="483"/>
      <c r="E2090" s="485"/>
      <c r="F2090" s="485"/>
    </row>
    <row r="2091" spans="1:6">
      <c r="A2091" s="482"/>
      <c r="B2091" s="485"/>
      <c r="C2091" s="485"/>
      <c r="D2091" s="483"/>
      <c r="E2091" s="485"/>
      <c r="F2091" s="485"/>
    </row>
    <row r="2092" spans="1:6">
      <c r="A2092" s="482"/>
      <c r="B2092" s="485"/>
      <c r="C2092" s="485"/>
      <c r="D2092" s="483"/>
      <c r="E2092" s="485"/>
      <c r="F2092" s="485"/>
    </row>
    <row r="2093" spans="1:6">
      <c r="A2093" s="482"/>
      <c r="B2093" s="485"/>
      <c r="C2093" s="485"/>
      <c r="D2093" s="483"/>
      <c r="E2093" s="485"/>
      <c r="F2093" s="485"/>
    </row>
    <row r="2094" spans="1:6">
      <c r="A2094" s="482"/>
      <c r="B2094" s="485"/>
      <c r="C2094" s="485"/>
      <c r="D2094" s="483"/>
      <c r="E2094" s="485"/>
      <c r="F2094" s="485"/>
    </row>
    <row r="2095" spans="1:6">
      <c r="A2095" s="482"/>
      <c r="B2095" s="485"/>
      <c r="C2095" s="485"/>
      <c r="D2095" s="483"/>
      <c r="E2095" s="485"/>
      <c r="F2095" s="485"/>
    </row>
    <row r="2096" spans="1:6">
      <c r="A2096" s="482"/>
      <c r="B2096" s="485"/>
      <c r="C2096" s="485"/>
      <c r="D2096" s="483"/>
      <c r="E2096" s="485"/>
      <c r="F2096" s="485"/>
    </row>
    <row r="2097" spans="1:6">
      <c r="A2097" s="482"/>
      <c r="B2097" s="485"/>
      <c r="C2097" s="485"/>
      <c r="D2097" s="483"/>
      <c r="E2097" s="485"/>
      <c r="F2097" s="485"/>
    </row>
    <row r="2098" spans="1:6">
      <c r="A2098" s="482"/>
      <c r="B2098" s="485"/>
      <c r="C2098" s="485"/>
      <c r="D2098" s="483"/>
      <c r="E2098" s="485"/>
      <c r="F2098" s="485"/>
    </row>
    <row r="2099" spans="1:6">
      <c r="A2099" s="482"/>
      <c r="B2099" s="485"/>
      <c r="C2099" s="485"/>
      <c r="D2099" s="483"/>
      <c r="E2099" s="485"/>
      <c r="F2099" s="485"/>
    </row>
    <row r="2100" spans="1:6">
      <c r="A2100" s="482"/>
      <c r="B2100" s="485"/>
      <c r="C2100" s="485"/>
      <c r="D2100" s="483"/>
      <c r="E2100" s="485"/>
      <c r="F2100" s="485"/>
    </row>
    <row r="2101" spans="1:6">
      <c r="A2101" s="482"/>
      <c r="B2101" s="485"/>
      <c r="C2101" s="485"/>
      <c r="D2101" s="483"/>
      <c r="E2101" s="485"/>
      <c r="F2101" s="485"/>
    </row>
    <row r="2102" spans="1:6">
      <c r="A2102" s="482"/>
      <c r="B2102" s="484"/>
      <c r="C2102" s="484"/>
      <c r="D2102" s="483"/>
      <c r="E2102" s="484"/>
      <c r="F2102" s="484"/>
    </row>
    <row r="2103" spans="1:6">
      <c r="A2103" s="482"/>
      <c r="B2103" s="485"/>
      <c r="C2103" s="485"/>
      <c r="D2103" s="483"/>
      <c r="E2103" s="485"/>
      <c r="F2103" s="485"/>
    </row>
    <row r="2104" spans="1:6">
      <c r="A2104" s="482"/>
      <c r="B2104" s="485"/>
      <c r="C2104" s="485"/>
      <c r="D2104" s="483"/>
      <c r="E2104" s="485"/>
      <c r="F2104" s="485"/>
    </row>
    <row r="2105" spans="1:6">
      <c r="A2105" s="482"/>
      <c r="B2105" s="485"/>
      <c r="C2105" s="485"/>
      <c r="D2105" s="483"/>
      <c r="E2105" s="485"/>
      <c r="F2105" s="485"/>
    </row>
    <row r="2106" spans="1:6">
      <c r="A2106" s="482"/>
      <c r="B2106" s="485"/>
      <c r="C2106" s="485"/>
      <c r="D2106" s="483"/>
      <c r="E2106" s="485"/>
      <c r="F2106" s="485"/>
    </row>
    <row r="2107" spans="1:6">
      <c r="A2107" s="482"/>
      <c r="B2107" s="485"/>
      <c r="C2107" s="485"/>
      <c r="D2107" s="483"/>
      <c r="E2107" s="485"/>
      <c r="F2107" s="485"/>
    </row>
    <row r="2108" spans="1:6">
      <c r="A2108" s="482"/>
      <c r="B2108" s="485"/>
      <c r="C2108" s="485"/>
      <c r="D2108" s="483"/>
      <c r="E2108" s="485"/>
      <c r="F2108" s="485"/>
    </row>
    <row r="2109" spans="1:6">
      <c r="A2109" s="482"/>
      <c r="B2109" s="485"/>
      <c r="C2109" s="485"/>
      <c r="D2109" s="483"/>
      <c r="E2109" s="485"/>
      <c r="F2109" s="485"/>
    </row>
    <row r="2110" spans="1:6">
      <c r="A2110" s="482"/>
      <c r="B2110" s="485"/>
      <c r="C2110" s="485"/>
      <c r="D2110" s="483"/>
      <c r="E2110" s="485"/>
      <c r="F2110" s="485"/>
    </row>
    <row r="2111" spans="1:6">
      <c r="A2111" s="482"/>
      <c r="B2111" s="485"/>
      <c r="C2111" s="485"/>
      <c r="D2111" s="483"/>
      <c r="E2111" s="485"/>
      <c r="F2111" s="485"/>
    </row>
    <row r="2112" spans="1:6">
      <c r="A2112" s="482"/>
      <c r="B2112" s="485"/>
      <c r="C2112" s="485"/>
      <c r="D2112" s="483"/>
      <c r="E2112" s="485"/>
      <c r="F2112" s="485"/>
    </row>
    <row r="2113" spans="1:6">
      <c r="A2113" s="482"/>
      <c r="B2113" s="485"/>
      <c r="C2113" s="485"/>
      <c r="D2113" s="483"/>
      <c r="E2113" s="485"/>
      <c r="F2113" s="485"/>
    </row>
    <row r="2114" spans="1:6">
      <c r="A2114" s="482"/>
      <c r="B2114" s="485"/>
      <c r="C2114" s="485"/>
      <c r="D2114" s="483"/>
      <c r="E2114" s="485"/>
      <c r="F2114" s="485"/>
    </row>
    <row r="2115" spans="1:6">
      <c r="A2115" s="482"/>
      <c r="B2115" s="485"/>
      <c r="C2115" s="485"/>
      <c r="D2115" s="483"/>
      <c r="E2115" s="485"/>
      <c r="F2115" s="485"/>
    </row>
    <row r="2116" spans="1:6">
      <c r="A2116" s="482"/>
      <c r="B2116" s="485"/>
      <c r="C2116" s="485"/>
      <c r="D2116" s="483"/>
      <c r="E2116" s="485"/>
      <c r="F2116" s="485"/>
    </row>
    <row r="2117" spans="1:6">
      <c r="A2117" s="482"/>
      <c r="B2117" s="485"/>
      <c r="C2117" s="485"/>
      <c r="D2117" s="483"/>
      <c r="E2117" s="485"/>
      <c r="F2117" s="485"/>
    </row>
    <row r="2118" spans="1:6">
      <c r="A2118" s="482"/>
      <c r="B2118" s="485"/>
      <c r="C2118" s="485"/>
      <c r="D2118" s="483"/>
      <c r="E2118" s="485"/>
      <c r="F2118" s="485"/>
    </row>
    <row r="2119" spans="1:6">
      <c r="A2119" s="482"/>
      <c r="B2119" s="485"/>
      <c r="C2119" s="485"/>
      <c r="D2119" s="483"/>
      <c r="E2119" s="485"/>
      <c r="F2119" s="485"/>
    </row>
    <row r="2120" spans="1:6">
      <c r="A2120" s="482"/>
      <c r="B2120" s="485"/>
      <c r="C2120" s="485"/>
      <c r="D2120" s="483"/>
      <c r="E2120" s="485"/>
      <c r="F2120" s="485"/>
    </row>
    <row r="2121" spans="1:6">
      <c r="A2121" s="482"/>
      <c r="B2121" s="485"/>
      <c r="C2121" s="485"/>
      <c r="D2121" s="483"/>
      <c r="E2121" s="485"/>
      <c r="F2121" s="485"/>
    </row>
    <row r="2122" spans="1:6">
      <c r="A2122" s="482"/>
      <c r="B2122" s="485"/>
      <c r="C2122" s="485"/>
      <c r="D2122" s="483"/>
      <c r="E2122" s="485"/>
      <c r="F2122" s="485"/>
    </row>
    <row r="2123" spans="1:6">
      <c r="A2123" s="482"/>
      <c r="B2123" s="485"/>
      <c r="C2123" s="485"/>
      <c r="D2123" s="483"/>
      <c r="E2123" s="485"/>
      <c r="F2123" s="485"/>
    </row>
    <row r="2124" spans="1:6">
      <c r="A2124" s="482"/>
      <c r="B2124" s="485"/>
      <c r="C2124" s="485"/>
      <c r="D2124" s="483"/>
      <c r="E2124" s="485"/>
      <c r="F2124" s="485"/>
    </row>
    <row r="2125" spans="1:6">
      <c r="A2125" s="482"/>
      <c r="B2125" s="485"/>
      <c r="C2125" s="485"/>
      <c r="D2125" s="483"/>
      <c r="E2125" s="485"/>
      <c r="F2125" s="485"/>
    </row>
    <row r="2126" spans="1:6">
      <c r="A2126" s="482"/>
      <c r="B2126" s="484"/>
      <c r="C2126" s="484"/>
      <c r="D2126" s="483"/>
      <c r="E2126" s="484"/>
      <c r="F2126" s="484"/>
    </row>
    <row r="2127" spans="1:6">
      <c r="A2127" s="482"/>
      <c r="B2127" s="485"/>
      <c r="C2127" s="485"/>
      <c r="D2127" s="483"/>
      <c r="E2127" s="485"/>
      <c r="F2127" s="485"/>
    </row>
    <row r="2128" spans="1:6">
      <c r="A2128" s="482"/>
      <c r="B2128" s="485"/>
      <c r="C2128" s="485"/>
      <c r="D2128" s="483"/>
      <c r="E2128" s="485"/>
      <c r="F2128" s="485"/>
    </row>
    <row r="2129" spans="1:6">
      <c r="A2129" s="482"/>
      <c r="B2129" s="485"/>
      <c r="C2129" s="485"/>
      <c r="D2129" s="483"/>
      <c r="E2129" s="485"/>
      <c r="F2129" s="485"/>
    </row>
    <row r="2130" spans="1:6">
      <c r="A2130" s="482"/>
      <c r="B2130" s="485"/>
      <c r="C2130" s="485"/>
      <c r="D2130" s="483"/>
      <c r="E2130" s="485"/>
      <c r="F2130" s="485"/>
    </row>
    <row r="2131" spans="1:6">
      <c r="A2131" s="482"/>
      <c r="B2131" s="485"/>
      <c r="C2131" s="485"/>
      <c r="D2131" s="483"/>
      <c r="E2131" s="485"/>
      <c r="F2131" s="485"/>
    </row>
    <row r="2132" spans="1:6">
      <c r="A2132" s="482"/>
      <c r="B2132" s="485"/>
      <c r="C2132" s="485"/>
      <c r="D2132" s="483"/>
      <c r="E2132" s="485"/>
      <c r="F2132" s="485"/>
    </row>
    <row r="2133" spans="1:6">
      <c r="A2133" s="482"/>
      <c r="B2133" s="485"/>
      <c r="C2133" s="485"/>
      <c r="D2133" s="483"/>
      <c r="E2133" s="485"/>
      <c r="F2133" s="485"/>
    </row>
    <row r="2134" spans="1:6">
      <c r="A2134" s="482"/>
      <c r="B2134" s="485"/>
      <c r="C2134" s="485"/>
      <c r="D2134" s="483"/>
      <c r="E2134" s="485"/>
      <c r="F2134" s="485"/>
    </row>
    <row r="2135" spans="1:6">
      <c r="A2135" s="482"/>
      <c r="B2135" s="485"/>
      <c r="C2135" s="485"/>
      <c r="D2135" s="483"/>
      <c r="E2135" s="485"/>
      <c r="F2135" s="485"/>
    </row>
    <row r="2136" spans="1:6">
      <c r="A2136" s="482"/>
      <c r="B2136" s="485"/>
      <c r="C2136" s="485"/>
      <c r="D2136" s="483"/>
      <c r="E2136" s="485"/>
      <c r="F2136" s="485"/>
    </row>
    <row r="2137" spans="1:6">
      <c r="A2137" s="482"/>
      <c r="B2137" s="485"/>
      <c r="C2137" s="485"/>
      <c r="D2137" s="483"/>
      <c r="E2137" s="485"/>
      <c r="F2137" s="485"/>
    </row>
    <row r="2138" spans="1:6">
      <c r="A2138" s="482"/>
      <c r="B2138" s="485"/>
      <c r="C2138" s="485"/>
      <c r="D2138" s="483"/>
      <c r="E2138" s="485"/>
      <c r="F2138" s="485"/>
    </row>
    <row r="2139" spans="1:6">
      <c r="A2139" s="482"/>
      <c r="B2139" s="485"/>
      <c r="C2139" s="485"/>
      <c r="D2139" s="483"/>
      <c r="E2139" s="485"/>
      <c r="F2139" s="485"/>
    </row>
    <row r="2140" spans="1:6">
      <c r="A2140" s="482"/>
      <c r="B2140" s="485"/>
      <c r="C2140" s="485"/>
      <c r="D2140" s="483"/>
      <c r="E2140" s="485"/>
      <c r="F2140" s="485"/>
    </row>
    <row r="2141" spans="1:6">
      <c r="A2141" s="482"/>
      <c r="B2141" s="485"/>
      <c r="C2141" s="485"/>
      <c r="D2141" s="483"/>
      <c r="E2141" s="485"/>
      <c r="F2141" s="485"/>
    </row>
    <row r="2142" spans="1:6">
      <c r="A2142" s="482"/>
      <c r="B2142" s="485"/>
      <c r="C2142" s="485"/>
      <c r="D2142" s="483"/>
      <c r="E2142" s="485"/>
      <c r="F2142" s="485"/>
    </row>
    <row r="2143" spans="1:6">
      <c r="A2143" s="482"/>
      <c r="B2143" s="485"/>
      <c r="C2143" s="485"/>
      <c r="D2143" s="483"/>
      <c r="E2143" s="485"/>
      <c r="F2143" s="485"/>
    </row>
    <row r="2144" spans="1:6">
      <c r="A2144" s="482"/>
      <c r="B2144" s="485"/>
      <c r="C2144" s="485"/>
      <c r="D2144" s="483"/>
      <c r="E2144" s="485"/>
      <c r="F2144" s="485"/>
    </row>
    <row r="2145" spans="1:6">
      <c r="A2145" s="482"/>
      <c r="B2145" s="485"/>
      <c r="C2145" s="485"/>
      <c r="D2145" s="483"/>
      <c r="E2145" s="485"/>
      <c r="F2145" s="485"/>
    </row>
    <row r="2146" spans="1:6">
      <c r="A2146" s="482"/>
      <c r="B2146" s="485"/>
      <c r="C2146" s="485"/>
      <c r="D2146" s="483"/>
      <c r="E2146" s="485"/>
      <c r="F2146" s="485"/>
    </row>
    <row r="2147" spans="1:6">
      <c r="A2147" s="482"/>
      <c r="B2147" s="485"/>
      <c r="C2147" s="485"/>
      <c r="D2147" s="483"/>
      <c r="E2147" s="485"/>
      <c r="F2147" s="485"/>
    </row>
    <row r="2148" spans="1:6">
      <c r="A2148" s="482"/>
      <c r="B2148" s="485"/>
      <c r="C2148" s="485"/>
      <c r="D2148" s="483"/>
      <c r="E2148" s="485"/>
      <c r="F2148" s="485"/>
    </row>
    <row r="2149" spans="1:6">
      <c r="A2149" s="482"/>
      <c r="B2149" s="485"/>
      <c r="C2149" s="485"/>
      <c r="D2149" s="483"/>
      <c r="E2149" s="485"/>
      <c r="F2149" s="485"/>
    </row>
    <row r="2150" spans="1:6">
      <c r="A2150" s="482"/>
      <c r="B2150" s="484"/>
      <c r="C2150" s="484"/>
      <c r="D2150" s="483"/>
      <c r="E2150" s="484"/>
      <c r="F2150" s="484"/>
    </row>
    <row r="2151" spans="1:6">
      <c r="A2151" s="482"/>
      <c r="B2151" s="485"/>
      <c r="C2151" s="485"/>
      <c r="D2151" s="483"/>
      <c r="E2151" s="485"/>
      <c r="F2151" s="485"/>
    </row>
    <row r="2152" spans="1:6">
      <c r="A2152" s="482"/>
      <c r="B2152" s="485"/>
      <c r="C2152" s="485"/>
      <c r="D2152" s="483"/>
      <c r="E2152" s="485"/>
      <c r="F2152" s="485"/>
    </row>
    <row r="2153" spans="1:6">
      <c r="A2153" s="482"/>
      <c r="B2153" s="485"/>
      <c r="C2153" s="485"/>
      <c r="D2153" s="483"/>
      <c r="E2153" s="485"/>
      <c r="F2153" s="485"/>
    </row>
    <row r="2154" spans="1:6">
      <c r="A2154" s="482"/>
      <c r="B2154" s="485"/>
      <c r="C2154" s="485"/>
      <c r="D2154" s="483"/>
      <c r="E2154" s="485"/>
      <c r="F2154" s="485"/>
    </row>
    <row r="2155" spans="1:6">
      <c r="A2155" s="482"/>
      <c r="B2155" s="485"/>
      <c r="C2155" s="485"/>
      <c r="D2155" s="483"/>
      <c r="E2155" s="485"/>
      <c r="F2155" s="485"/>
    </row>
    <row r="2156" spans="1:6">
      <c r="A2156" s="482"/>
      <c r="B2156" s="485"/>
      <c r="C2156" s="485"/>
      <c r="D2156" s="483"/>
      <c r="E2156" s="485"/>
      <c r="F2156" s="485"/>
    </row>
    <row r="2157" spans="1:6">
      <c r="A2157" s="482"/>
      <c r="B2157" s="485"/>
      <c r="C2157" s="485"/>
      <c r="D2157" s="483"/>
      <c r="E2157" s="485"/>
      <c r="F2157" s="485"/>
    </row>
    <row r="2158" spans="1:6">
      <c r="A2158" s="482"/>
      <c r="B2158" s="485"/>
      <c r="C2158" s="485"/>
      <c r="D2158" s="483"/>
      <c r="E2158" s="485"/>
      <c r="F2158" s="485"/>
    </row>
    <row r="2159" spans="1:6">
      <c r="A2159" s="482"/>
      <c r="B2159" s="485"/>
      <c r="C2159" s="485"/>
      <c r="D2159" s="483"/>
      <c r="E2159" s="485"/>
      <c r="F2159" s="485"/>
    </row>
    <row r="2160" spans="1:6">
      <c r="A2160" s="482"/>
      <c r="B2160" s="485"/>
      <c r="C2160" s="485"/>
      <c r="D2160" s="483"/>
      <c r="E2160" s="485"/>
      <c r="F2160" s="485"/>
    </row>
    <row r="2161" spans="1:6">
      <c r="A2161" s="482"/>
      <c r="B2161" s="485"/>
      <c r="C2161" s="485"/>
      <c r="D2161" s="483"/>
      <c r="E2161" s="485"/>
      <c r="F2161" s="485"/>
    </row>
    <row r="2162" spans="1:6">
      <c r="A2162" s="482"/>
      <c r="B2162" s="485"/>
      <c r="C2162" s="485"/>
      <c r="D2162" s="483"/>
      <c r="E2162" s="485"/>
      <c r="F2162" s="485"/>
    </row>
    <row r="2163" spans="1:6">
      <c r="A2163" s="482"/>
      <c r="B2163" s="485"/>
      <c r="C2163" s="485"/>
      <c r="D2163" s="483"/>
      <c r="E2163" s="485"/>
      <c r="F2163" s="485"/>
    </row>
    <row r="2164" spans="1:6">
      <c r="A2164" s="482"/>
      <c r="B2164" s="485"/>
      <c r="C2164" s="485"/>
      <c r="D2164" s="483"/>
      <c r="E2164" s="485"/>
      <c r="F2164" s="485"/>
    </row>
    <row r="2165" spans="1:6">
      <c r="A2165" s="482"/>
      <c r="B2165" s="485"/>
      <c r="C2165" s="485"/>
      <c r="D2165" s="483"/>
      <c r="E2165" s="485"/>
      <c r="F2165" s="485"/>
    </row>
    <row r="2166" spans="1:6">
      <c r="A2166" s="482"/>
      <c r="B2166" s="485"/>
      <c r="C2166" s="485"/>
      <c r="D2166" s="483"/>
      <c r="E2166" s="485"/>
      <c r="F2166" s="485"/>
    </row>
    <row r="2167" spans="1:6">
      <c r="A2167" s="482"/>
      <c r="B2167" s="485"/>
      <c r="C2167" s="485"/>
      <c r="D2167" s="483"/>
      <c r="E2167" s="485"/>
      <c r="F2167" s="485"/>
    </row>
    <row r="2168" spans="1:6">
      <c r="A2168" s="482"/>
      <c r="B2168" s="485"/>
      <c r="C2168" s="485"/>
      <c r="D2168" s="483"/>
      <c r="E2168" s="485"/>
      <c r="F2168" s="485"/>
    </row>
    <row r="2169" spans="1:6">
      <c r="A2169" s="482"/>
      <c r="B2169" s="485"/>
      <c r="C2169" s="485"/>
      <c r="D2169" s="483"/>
      <c r="E2169" s="485"/>
      <c r="F2169" s="485"/>
    </row>
    <row r="2170" spans="1:6">
      <c r="A2170" s="482"/>
      <c r="B2170" s="485"/>
      <c r="C2170" s="485"/>
      <c r="D2170" s="483"/>
      <c r="E2170" s="485"/>
      <c r="F2170" s="485"/>
    </row>
    <row r="2171" spans="1:6">
      <c r="A2171" s="482"/>
      <c r="B2171" s="485"/>
      <c r="C2171" s="485"/>
      <c r="D2171" s="483"/>
      <c r="E2171" s="485"/>
      <c r="F2171" s="485"/>
    </row>
    <row r="2172" spans="1:6">
      <c r="A2172" s="482"/>
      <c r="B2172" s="485"/>
      <c r="C2172" s="485"/>
      <c r="D2172" s="483"/>
      <c r="E2172" s="485"/>
      <c r="F2172" s="485"/>
    </row>
    <row r="2173" spans="1:6">
      <c r="A2173" s="482"/>
      <c r="B2173" s="485"/>
      <c r="C2173" s="485"/>
      <c r="D2173" s="483"/>
      <c r="E2173" s="485"/>
      <c r="F2173" s="485"/>
    </row>
    <row r="2174" spans="1:6">
      <c r="A2174" s="482"/>
      <c r="B2174" s="484"/>
      <c r="C2174" s="484"/>
      <c r="D2174" s="483"/>
      <c r="E2174" s="484"/>
      <c r="F2174" s="484"/>
    </row>
    <row r="2175" spans="1:6">
      <c r="A2175" s="482"/>
      <c r="B2175" s="485"/>
      <c r="C2175" s="485"/>
      <c r="D2175" s="483"/>
      <c r="E2175" s="485"/>
      <c r="F2175" s="485"/>
    </row>
    <row r="2176" spans="1:6">
      <c r="A2176" s="482"/>
      <c r="B2176" s="485"/>
      <c r="C2176" s="485"/>
      <c r="D2176" s="483"/>
      <c r="E2176" s="485"/>
      <c r="F2176" s="485"/>
    </row>
    <row r="2177" spans="1:6">
      <c r="A2177" s="482"/>
      <c r="B2177" s="485"/>
      <c r="C2177" s="485"/>
      <c r="D2177" s="483"/>
      <c r="E2177" s="485"/>
      <c r="F2177" s="485"/>
    </row>
    <row r="2178" spans="1:6">
      <c r="A2178" s="482"/>
      <c r="B2178" s="485"/>
      <c r="C2178" s="485"/>
      <c r="D2178" s="483"/>
      <c r="E2178" s="485"/>
      <c r="F2178" s="485"/>
    </row>
    <row r="2179" spans="1:6">
      <c r="A2179" s="482"/>
      <c r="B2179" s="485"/>
      <c r="C2179" s="485"/>
      <c r="D2179" s="483"/>
      <c r="E2179" s="485"/>
      <c r="F2179" s="485"/>
    </row>
    <row r="2180" spans="1:6">
      <c r="A2180" s="482"/>
      <c r="B2180" s="485"/>
      <c r="C2180" s="485"/>
      <c r="D2180" s="483"/>
      <c r="E2180" s="485"/>
      <c r="F2180" s="485"/>
    </row>
    <row r="2181" spans="1:6">
      <c r="A2181" s="482"/>
      <c r="B2181" s="485"/>
      <c r="C2181" s="485"/>
      <c r="D2181" s="483"/>
      <c r="E2181" s="485"/>
      <c r="F2181" s="485"/>
    </row>
    <row r="2182" spans="1:6">
      <c r="A2182" s="482"/>
      <c r="B2182" s="485"/>
      <c r="C2182" s="485"/>
      <c r="D2182" s="483"/>
      <c r="E2182" s="485"/>
      <c r="F2182" s="485"/>
    </row>
    <row r="2183" spans="1:6">
      <c r="A2183" s="482"/>
      <c r="B2183" s="485"/>
      <c r="C2183" s="485"/>
      <c r="D2183" s="483"/>
      <c r="E2183" s="485"/>
      <c r="F2183" s="485"/>
    </row>
    <row r="2184" spans="1:6">
      <c r="A2184" s="482"/>
      <c r="B2184" s="485"/>
      <c r="C2184" s="485"/>
      <c r="D2184" s="483"/>
      <c r="E2184" s="485"/>
      <c r="F2184" s="485"/>
    </row>
    <row r="2185" spans="1:6">
      <c r="A2185" s="482"/>
      <c r="B2185" s="485"/>
      <c r="C2185" s="485"/>
      <c r="D2185" s="483"/>
      <c r="E2185" s="485"/>
      <c r="F2185" s="485"/>
    </row>
    <row r="2186" spans="1:6">
      <c r="A2186" s="482"/>
      <c r="B2186" s="485"/>
      <c r="C2186" s="485"/>
      <c r="D2186" s="483"/>
      <c r="E2186" s="485"/>
      <c r="F2186" s="485"/>
    </row>
    <row r="2187" spans="1:6">
      <c r="A2187" s="482"/>
      <c r="B2187" s="485"/>
      <c r="C2187" s="485"/>
      <c r="D2187" s="483"/>
      <c r="E2187" s="485"/>
      <c r="F2187" s="485"/>
    </row>
    <row r="2188" spans="1:6">
      <c r="A2188" s="482"/>
      <c r="B2188" s="485"/>
      <c r="C2188" s="485"/>
      <c r="D2188" s="483"/>
      <c r="E2188" s="485"/>
      <c r="F2188" s="485"/>
    </row>
    <row r="2189" spans="1:6">
      <c r="A2189" s="482"/>
      <c r="B2189" s="485"/>
      <c r="C2189" s="485"/>
      <c r="D2189" s="483"/>
      <c r="E2189" s="485"/>
      <c r="F2189" s="485"/>
    </row>
    <row r="2190" spans="1:6">
      <c r="A2190" s="482"/>
      <c r="B2190" s="485"/>
      <c r="C2190" s="485"/>
      <c r="D2190" s="483"/>
      <c r="E2190" s="485"/>
      <c r="F2190" s="485"/>
    </row>
    <row r="2191" spans="1:6">
      <c r="A2191" s="482"/>
      <c r="B2191" s="485"/>
      <c r="C2191" s="485"/>
      <c r="D2191" s="483"/>
      <c r="E2191" s="485"/>
      <c r="F2191" s="485"/>
    </row>
    <row r="2192" spans="1:6">
      <c r="A2192" s="482"/>
      <c r="B2192" s="485"/>
      <c r="C2192" s="485"/>
      <c r="D2192" s="483"/>
      <c r="E2192" s="485"/>
      <c r="F2192" s="485"/>
    </row>
    <row r="2193" spans="1:6">
      <c r="A2193" s="482"/>
      <c r="B2193" s="485"/>
      <c r="C2193" s="485"/>
      <c r="D2193" s="483"/>
      <c r="E2193" s="485"/>
      <c r="F2193" s="485"/>
    </row>
    <row r="2194" spans="1:6">
      <c r="A2194" s="482"/>
      <c r="B2194" s="485"/>
      <c r="C2194" s="485"/>
      <c r="D2194" s="483"/>
      <c r="E2194" s="485"/>
      <c r="F2194" s="485"/>
    </row>
    <row r="2195" spans="1:6">
      <c r="A2195" s="482"/>
      <c r="B2195" s="485"/>
      <c r="C2195" s="485"/>
      <c r="D2195" s="483"/>
      <c r="E2195" s="485"/>
      <c r="F2195" s="485"/>
    </row>
    <row r="2196" spans="1:6">
      <c r="A2196" s="482"/>
      <c r="B2196" s="485"/>
      <c r="C2196" s="485"/>
      <c r="D2196" s="483"/>
      <c r="E2196" s="485"/>
      <c r="F2196" s="485"/>
    </row>
    <row r="2197" spans="1:6">
      <c r="A2197" s="482"/>
      <c r="B2197" s="485"/>
      <c r="C2197" s="485"/>
      <c r="D2197" s="483"/>
      <c r="E2197" s="485"/>
      <c r="F2197" s="485"/>
    </row>
    <row r="2198" spans="1:6">
      <c r="A2198" s="482"/>
      <c r="B2198" s="484"/>
      <c r="C2198" s="484"/>
      <c r="D2198" s="483"/>
      <c r="E2198" s="484"/>
      <c r="F2198" s="484"/>
    </row>
    <row r="2199" spans="1:6">
      <c r="A2199" s="482"/>
      <c r="B2199" s="485"/>
      <c r="C2199" s="485"/>
      <c r="D2199" s="483"/>
      <c r="E2199" s="485"/>
      <c r="F2199" s="485"/>
    </row>
    <row r="2200" spans="1:6">
      <c r="A2200" s="482"/>
      <c r="B2200" s="485"/>
      <c r="C2200" s="485"/>
      <c r="D2200" s="483"/>
      <c r="E2200" s="485"/>
      <c r="F2200" s="485"/>
    </row>
    <row r="2201" spans="1:6">
      <c r="A2201" s="482"/>
      <c r="B2201" s="485"/>
      <c r="C2201" s="485"/>
      <c r="D2201" s="483"/>
      <c r="E2201" s="485"/>
      <c r="F2201" s="485"/>
    </row>
    <row r="2202" spans="1:6">
      <c r="A2202" s="482"/>
      <c r="B2202" s="485"/>
      <c r="C2202" s="485"/>
      <c r="D2202" s="483"/>
      <c r="E2202" s="485"/>
      <c r="F2202" s="485"/>
    </row>
    <row r="2203" spans="1:6">
      <c r="A2203" s="482"/>
      <c r="B2203" s="485"/>
      <c r="C2203" s="485"/>
      <c r="D2203" s="483"/>
      <c r="E2203" s="485"/>
      <c r="F2203" s="485"/>
    </row>
    <row r="2204" spans="1:6">
      <c r="A2204" s="482"/>
      <c r="B2204" s="485"/>
      <c r="C2204" s="485"/>
      <c r="D2204" s="483"/>
      <c r="E2204" s="485"/>
      <c r="F2204" s="485"/>
    </row>
    <row r="2205" spans="1:6">
      <c r="A2205" s="482"/>
      <c r="B2205" s="485"/>
      <c r="C2205" s="485"/>
      <c r="D2205" s="483"/>
      <c r="E2205" s="485"/>
      <c r="F2205" s="485"/>
    </row>
    <row r="2206" spans="1:6">
      <c r="A2206" s="482"/>
      <c r="B2206" s="485"/>
      <c r="C2206" s="485"/>
      <c r="D2206" s="483"/>
      <c r="E2206" s="485"/>
      <c r="F2206" s="485"/>
    </row>
    <row r="2207" spans="1:6">
      <c r="A2207" s="482"/>
      <c r="B2207" s="485"/>
      <c r="C2207" s="485"/>
      <c r="D2207" s="483"/>
      <c r="E2207" s="485"/>
      <c r="F2207" s="485"/>
    </row>
    <row r="2208" spans="1:6">
      <c r="A2208" s="482"/>
      <c r="B2208" s="485"/>
      <c r="C2208" s="485"/>
      <c r="D2208" s="483"/>
      <c r="E2208" s="485"/>
      <c r="F2208" s="485"/>
    </row>
    <row r="2209" spans="1:6">
      <c r="A2209" s="482"/>
      <c r="B2209" s="485"/>
      <c r="C2209" s="485"/>
      <c r="D2209" s="483"/>
      <c r="E2209" s="485"/>
      <c r="F2209" s="485"/>
    </row>
    <row r="2210" spans="1:6">
      <c r="A2210" s="482"/>
      <c r="B2210" s="485"/>
      <c r="C2210" s="485"/>
      <c r="D2210" s="483"/>
      <c r="E2210" s="485"/>
      <c r="F2210" s="485"/>
    </row>
    <row r="2211" spans="1:6">
      <c r="A2211" s="482"/>
      <c r="B2211" s="485"/>
      <c r="C2211" s="485"/>
      <c r="D2211" s="483"/>
      <c r="E2211" s="485"/>
      <c r="F2211" s="485"/>
    </row>
    <row r="2212" spans="1:6">
      <c r="A2212" s="482"/>
      <c r="B2212" s="485"/>
      <c r="C2212" s="485"/>
      <c r="D2212" s="483"/>
      <c r="E2212" s="485"/>
      <c r="F2212" s="485"/>
    </row>
    <row r="2213" spans="1:6">
      <c r="A2213" s="482"/>
      <c r="B2213" s="485"/>
      <c r="C2213" s="485"/>
      <c r="D2213" s="483"/>
      <c r="E2213" s="485"/>
      <c r="F2213" s="485"/>
    </row>
    <row r="2214" spans="1:6">
      <c r="A2214" s="482"/>
      <c r="B2214" s="485"/>
      <c r="C2214" s="485"/>
      <c r="D2214" s="483"/>
      <c r="E2214" s="485"/>
      <c r="F2214" s="485"/>
    </row>
    <row r="2215" spans="1:6">
      <c r="A2215" s="482"/>
      <c r="B2215" s="485"/>
      <c r="C2215" s="485"/>
      <c r="D2215" s="483"/>
      <c r="E2215" s="485"/>
      <c r="F2215" s="485"/>
    </row>
    <row r="2216" spans="1:6">
      <c r="A2216" s="482"/>
      <c r="B2216" s="485"/>
      <c r="C2216" s="485"/>
      <c r="D2216" s="483"/>
      <c r="E2216" s="485"/>
      <c r="F2216" s="485"/>
    </row>
    <row r="2217" spans="1:6">
      <c r="A2217" s="482"/>
      <c r="B2217" s="485"/>
      <c r="C2217" s="485"/>
      <c r="D2217" s="483"/>
      <c r="E2217" s="485"/>
      <c r="F2217" s="485"/>
    </row>
    <row r="2218" spans="1:6">
      <c r="A2218" s="482"/>
      <c r="B2218" s="485"/>
      <c r="C2218" s="485"/>
      <c r="D2218" s="483"/>
      <c r="E2218" s="485"/>
      <c r="F2218" s="485"/>
    </row>
    <row r="2219" spans="1:6">
      <c r="A2219" s="482"/>
      <c r="B2219" s="485"/>
      <c r="C2219" s="485"/>
      <c r="D2219" s="483"/>
      <c r="E2219" s="485"/>
      <c r="F2219" s="485"/>
    </row>
    <row r="2220" spans="1:6">
      <c r="A2220" s="482"/>
      <c r="B2220" s="485"/>
      <c r="C2220" s="485"/>
      <c r="D2220" s="483"/>
      <c r="E2220" s="485"/>
      <c r="F2220" s="485"/>
    </row>
    <row r="2221" spans="1:6">
      <c r="A2221" s="482"/>
      <c r="B2221" s="485"/>
      <c r="C2221" s="485"/>
      <c r="D2221" s="483"/>
      <c r="E2221" s="485"/>
      <c r="F2221" s="485"/>
    </row>
    <row r="2222" spans="1:6">
      <c r="A2222" s="482"/>
      <c r="B2222" s="484"/>
      <c r="C2222" s="484"/>
      <c r="D2222" s="483"/>
      <c r="E2222" s="484"/>
      <c r="F2222" s="484"/>
    </row>
    <row r="2223" spans="1:6">
      <c r="A2223" s="482"/>
      <c r="B2223" s="485"/>
      <c r="C2223" s="485"/>
      <c r="D2223" s="483"/>
      <c r="E2223" s="485"/>
      <c r="F2223" s="485"/>
    </row>
    <row r="2224" spans="1:6">
      <c r="A2224" s="482"/>
      <c r="B2224" s="485"/>
      <c r="C2224" s="485"/>
      <c r="D2224" s="483"/>
      <c r="E2224" s="485"/>
      <c r="F2224" s="485"/>
    </row>
    <row r="2225" spans="1:6">
      <c r="A2225" s="482"/>
      <c r="B2225" s="485"/>
      <c r="C2225" s="485"/>
      <c r="D2225" s="483"/>
      <c r="E2225" s="485"/>
      <c r="F2225" s="485"/>
    </row>
    <row r="2226" spans="1:6">
      <c r="A2226" s="482"/>
      <c r="B2226" s="485"/>
      <c r="C2226" s="485"/>
      <c r="D2226" s="483"/>
      <c r="E2226" s="485"/>
      <c r="F2226" s="485"/>
    </row>
    <row r="2227" spans="1:6">
      <c r="A2227" s="482"/>
      <c r="B2227" s="485"/>
      <c r="C2227" s="485"/>
      <c r="D2227" s="483"/>
      <c r="E2227" s="485"/>
      <c r="F2227" s="485"/>
    </row>
    <row r="2228" spans="1:6">
      <c r="A2228" s="482"/>
      <c r="B2228" s="485"/>
      <c r="C2228" s="485"/>
      <c r="D2228" s="483"/>
      <c r="E2228" s="485"/>
      <c r="F2228" s="485"/>
    </row>
    <row r="2229" spans="1:6">
      <c r="A2229" s="482"/>
      <c r="B2229" s="485"/>
      <c r="C2229" s="485"/>
      <c r="D2229" s="483"/>
      <c r="E2229" s="485"/>
      <c r="F2229" s="485"/>
    </row>
    <row r="2230" spans="1:6">
      <c r="A2230" s="482"/>
      <c r="B2230" s="485"/>
      <c r="C2230" s="485"/>
      <c r="D2230" s="483"/>
      <c r="E2230" s="485"/>
      <c r="F2230" s="485"/>
    </row>
    <row r="2231" spans="1:6">
      <c r="A2231" s="482"/>
      <c r="B2231" s="485"/>
      <c r="C2231" s="485"/>
      <c r="D2231" s="483"/>
      <c r="E2231" s="485"/>
      <c r="F2231" s="485"/>
    </row>
    <row r="2232" spans="1:6">
      <c r="A2232" s="482"/>
      <c r="B2232" s="485"/>
      <c r="C2232" s="485"/>
      <c r="D2232" s="483"/>
      <c r="E2232" s="485"/>
      <c r="F2232" s="485"/>
    </row>
    <row r="2233" spans="1:6">
      <c r="A2233" s="482"/>
      <c r="B2233" s="485"/>
      <c r="C2233" s="485"/>
      <c r="D2233" s="483"/>
      <c r="E2233" s="485"/>
      <c r="F2233" s="485"/>
    </row>
    <row r="2234" spans="1:6">
      <c r="A2234" s="482"/>
      <c r="B2234" s="485"/>
      <c r="C2234" s="485"/>
      <c r="D2234" s="483"/>
      <c r="E2234" s="485"/>
      <c r="F2234" s="485"/>
    </row>
    <row r="2235" spans="1:6">
      <c r="A2235" s="482"/>
      <c r="B2235" s="485"/>
      <c r="C2235" s="485"/>
      <c r="D2235" s="483"/>
      <c r="E2235" s="485"/>
      <c r="F2235" s="485"/>
    </row>
    <row r="2236" spans="1:6">
      <c r="A2236" s="482"/>
      <c r="B2236" s="485"/>
      <c r="C2236" s="485"/>
      <c r="D2236" s="483"/>
      <c r="E2236" s="485"/>
      <c r="F2236" s="485"/>
    </row>
    <row r="2237" spans="1:6">
      <c r="A2237" s="482"/>
      <c r="B2237" s="485"/>
      <c r="C2237" s="485"/>
      <c r="D2237" s="483"/>
      <c r="E2237" s="485"/>
      <c r="F2237" s="485"/>
    </row>
    <row r="2238" spans="1:6">
      <c r="A2238" s="482"/>
      <c r="B2238" s="485"/>
      <c r="C2238" s="485"/>
      <c r="D2238" s="483"/>
      <c r="E2238" s="485"/>
      <c r="F2238" s="485"/>
    </row>
    <row r="2239" spans="1:6">
      <c r="A2239" s="482"/>
      <c r="B2239" s="485"/>
      <c r="C2239" s="485"/>
      <c r="D2239" s="483"/>
      <c r="E2239" s="485"/>
      <c r="F2239" s="485"/>
    </row>
    <row r="2240" spans="1:6">
      <c r="A2240" s="482"/>
      <c r="B2240" s="485"/>
      <c r="C2240" s="485"/>
      <c r="D2240" s="483"/>
      <c r="E2240" s="485"/>
      <c r="F2240" s="485"/>
    </row>
    <row r="2241" spans="1:6">
      <c r="A2241" s="482"/>
      <c r="B2241" s="485"/>
      <c r="C2241" s="485"/>
      <c r="D2241" s="483"/>
      <c r="E2241" s="485"/>
      <c r="F2241" s="485"/>
    </row>
    <row r="2242" spans="1:6">
      <c r="A2242" s="482"/>
      <c r="B2242" s="485"/>
      <c r="C2242" s="485"/>
      <c r="D2242" s="483"/>
      <c r="E2242" s="485"/>
      <c r="F2242" s="485"/>
    </row>
    <row r="2243" spans="1:6">
      <c r="A2243" s="482"/>
      <c r="B2243" s="485"/>
      <c r="C2243" s="485"/>
      <c r="D2243" s="483"/>
      <c r="E2243" s="485"/>
      <c r="F2243" s="485"/>
    </row>
    <row r="2244" spans="1:6">
      <c r="A2244" s="482"/>
      <c r="B2244" s="485"/>
      <c r="C2244" s="485"/>
      <c r="D2244" s="483"/>
      <c r="E2244" s="485"/>
      <c r="F2244" s="485"/>
    </row>
    <row r="2245" spans="1:6">
      <c r="A2245" s="482"/>
      <c r="B2245" s="485"/>
      <c r="C2245" s="485"/>
      <c r="D2245" s="483"/>
      <c r="E2245" s="485"/>
      <c r="F2245" s="485"/>
    </row>
    <row r="2246" spans="1:6">
      <c r="A2246" s="482"/>
      <c r="B2246" s="484"/>
      <c r="C2246" s="484"/>
      <c r="D2246" s="483"/>
      <c r="E2246" s="484"/>
      <c r="F2246" s="484"/>
    </row>
    <row r="2247" spans="1:6">
      <c r="A2247" s="482"/>
      <c r="B2247" s="485"/>
      <c r="C2247" s="485"/>
      <c r="D2247" s="483"/>
      <c r="E2247" s="485"/>
      <c r="F2247" s="485"/>
    </row>
    <row r="2248" spans="1:6">
      <c r="A2248" s="482"/>
      <c r="B2248" s="485"/>
      <c r="C2248" s="485"/>
      <c r="D2248" s="483"/>
      <c r="E2248" s="485"/>
      <c r="F2248" s="485"/>
    </row>
    <row r="2249" spans="1:6">
      <c r="A2249" s="482"/>
      <c r="B2249" s="485"/>
      <c r="C2249" s="485"/>
      <c r="D2249" s="483"/>
      <c r="E2249" s="485"/>
      <c r="F2249" s="485"/>
    </row>
    <row r="2250" spans="1:6">
      <c r="A2250" s="482"/>
      <c r="B2250" s="485"/>
      <c r="C2250" s="485"/>
      <c r="D2250" s="483"/>
      <c r="E2250" s="485"/>
      <c r="F2250" s="485"/>
    </row>
    <row r="2251" spans="1:6">
      <c r="A2251" s="482"/>
      <c r="B2251" s="485"/>
      <c r="C2251" s="485"/>
      <c r="D2251" s="483"/>
      <c r="E2251" s="485"/>
      <c r="F2251" s="485"/>
    </row>
    <row r="2252" spans="1:6">
      <c r="A2252" s="482"/>
      <c r="B2252" s="485"/>
      <c r="C2252" s="485"/>
      <c r="D2252" s="483"/>
      <c r="E2252" s="485"/>
      <c r="F2252" s="485"/>
    </row>
    <row r="2253" spans="1:6">
      <c r="A2253" s="482"/>
      <c r="B2253" s="485"/>
      <c r="C2253" s="485"/>
      <c r="D2253" s="483"/>
      <c r="E2253" s="485"/>
      <c r="F2253" s="485"/>
    </row>
    <row r="2254" spans="1:6">
      <c r="A2254" s="482"/>
      <c r="B2254" s="485"/>
      <c r="C2254" s="485"/>
      <c r="D2254" s="483"/>
      <c r="E2254" s="485"/>
      <c r="F2254" s="485"/>
    </row>
    <row r="2255" spans="1:6">
      <c r="A2255" s="482"/>
      <c r="B2255" s="485"/>
      <c r="C2255" s="485"/>
      <c r="D2255" s="483"/>
      <c r="E2255" s="485"/>
      <c r="F2255" s="485"/>
    </row>
    <row r="2256" spans="1:6">
      <c r="A2256" s="482"/>
      <c r="B2256" s="485"/>
      <c r="C2256" s="485"/>
      <c r="D2256" s="483"/>
      <c r="E2256" s="485"/>
      <c r="F2256" s="485"/>
    </row>
    <row r="2257" spans="1:6">
      <c r="A2257" s="482"/>
      <c r="B2257" s="485"/>
      <c r="C2257" s="485"/>
      <c r="D2257" s="483"/>
      <c r="E2257" s="485"/>
      <c r="F2257" s="485"/>
    </row>
    <row r="2258" spans="1:6">
      <c r="A2258" s="482"/>
      <c r="B2258" s="485"/>
      <c r="C2258" s="485"/>
      <c r="D2258" s="483"/>
      <c r="E2258" s="485"/>
      <c r="F2258" s="485"/>
    </row>
    <row r="2259" spans="1:6">
      <c r="A2259" s="482"/>
      <c r="B2259" s="485"/>
      <c r="C2259" s="485"/>
      <c r="D2259" s="483"/>
      <c r="E2259" s="485"/>
      <c r="F2259" s="485"/>
    </row>
    <row r="2260" spans="1:6">
      <c r="A2260" s="482"/>
      <c r="B2260" s="485"/>
      <c r="C2260" s="485"/>
      <c r="D2260" s="483"/>
      <c r="E2260" s="485"/>
      <c r="F2260" s="485"/>
    </row>
    <row r="2261" spans="1:6">
      <c r="A2261" s="482"/>
      <c r="B2261" s="485"/>
      <c r="C2261" s="485"/>
      <c r="D2261" s="483"/>
      <c r="E2261" s="485"/>
      <c r="F2261" s="485"/>
    </row>
    <row r="2262" spans="1:6">
      <c r="A2262" s="482"/>
      <c r="B2262" s="485"/>
      <c r="C2262" s="485"/>
      <c r="D2262" s="483"/>
      <c r="E2262" s="485"/>
      <c r="F2262" s="485"/>
    </row>
    <row r="2263" spans="1:6">
      <c r="A2263" s="482"/>
      <c r="B2263" s="485"/>
      <c r="C2263" s="485"/>
      <c r="D2263" s="483"/>
      <c r="E2263" s="485"/>
      <c r="F2263" s="485"/>
    </row>
    <row r="2264" spans="1:6">
      <c r="A2264" s="482"/>
      <c r="B2264" s="485"/>
      <c r="C2264" s="485"/>
      <c r="D2264" s="483"/>
      <c r="E2264" s="485"/>
      <c r="F2264" s="485"/>
    </row>
    <row r="2265" spans="1:6">
      <c r="A2265" s="482"/>
      <c r="B2265" s="485"/>
      <c r="C2265" s="485"/>
      <c r="D2265" s="483"/>
      <c r="E2265" s="485"/>
      <c r="F2265" s="485"/>
    </row>
    <row r="2266" spans="1:6">
      <c r="A2266" s="482"/>
      <c r="B2266" s="485"/>
      <c r="C2266" s="485"/>
      <c r="D2266" s="483"/>
      <c r="E2266" s="485"/>
      <c r="F2266" s="485"/>
    </row>
    <row r="2267" spans="1:6">
      <c r="A2267" s="482"/>
      <c r="B2267" s="485"/>
      <c r="C2267" s="485"/>
      <c r="D2267" s="483"/>
      <c r="E2267" s="485"/>
      <c r="F2267" s="485"/>
    </row>
    <row r="2268" spans="1:6">
      <c r="A2268" s="482"/>
      <c r="B2268" s="485"/>
      <c r="C2268" s="485"/>
      <c r="D2268" s="483"/>
      <c r="E2268" s="485"/>
      <c r="F2268" s="485"/>
    </row>
    <row r="2269" spans="1:6">
      <c r="A2269" s="482"/>
      <c r="B2269" s="485"/>
      <c r="C2269" s="485"/>
      <c r="D2269" s="483"/>
      <c r="E2269" s="485"/>
      <c r="F2269" s="485"/>
    </row>
    <row r="2270" spans="1:6">
      <c r="A2270" s="482"/>
      <c r="B2270" s="484"/>
      <c r="C2270" s="484"/>
      <c r="D2270" s="483"/>
      <c r="E2270" s="484"/>
      <c r="F2270" s="484"/>
    </row>
    <row r="2271" spans="1:6">
      <c r="A2271" s="482"/>
      <c r="B2271" s="485"/>
      <c r="C2271" s="485"/>
      <c r="D2271" s="483"/>
      <c r="E2271" s="485"/>
      <c r="F2271" s="485"/>
    </row>
    <row r="2272" spans="1:6">
      <c r="A2272" s="482"/>
      <c r="B2272" s="485"/>
      <c r="C2272" s="485"/>
      <c r="D2272" s="483"/>
      <c r="E2272" s="485"/>
      <c r="F2272" s="485"/>
    </row>
    <row r="2273" spans="1:6">
      <c r="A2273" s="482"/>
      <c r="B2273" s="485"/>
      <c r="C2273" s="485"/>
      <c r="D2273" s="483"/>
      <c r="E2273" s="485"/>
      <c r="F2273" s="485"/>
    </row>
    <row r="2274" spans="1:6">
      <c r="A2274" s="482"/>
      <c r="B2274" s="485"/>
      <c r="C2274" s="485"/>
      <c r="D2274" s="483"/>
      <c r="E2274" s="485"/>
      <c r="F2274" s="485"/>
    </row>
    <row r="2275" spans="1:6">
      <c r="A2275" s="482"/>
      <c r="B2275" s="485"/>
      <c r="C2275" s="485"/>
      <c r="D2275" s="483"/>
      <c r="E2275" s="485"/>
      <c r="F2275" s="485"/>
    </row>
    <row r="2276" spans="1:6">
      <c r="A2276" s="482"/>
      <c r="B2276" s="485"/>
      <c r="C2276" s="485"/>
      <c r="D2276" s="483"/>
      <c r="E2276" s="485"/>
      <c r="F2276" s="485"/>
    </row>
    <row r="2277" spans="1:6">
      <c r="A2277" s="482"/>
      <c r="B2277" s="485"/>
      <c r="C2277" s="485"/>
      <c r="D2277" s="483"/>
      <c r="E2277" s="485"/>
      <c r="F2277" s="485"/>
    </row>
    <row r="2278" spans="1:6">
      <c r="A2278" s="482"/>
      <c r="B2278" s="485"/>
      <c r="C2278" s="485"/>
      <c r="D2278" s="483"/>
      <c r="E2278" s="485"/>
      <c r="F2278" s="485"/>
    </row>
    <row r="2279" spans="1:6">
      <c r="A2279" s="482"/>
      <c r="B2279" s="485"/>
      <c r="C2279" s="485"/>
      <c r="D2279" s="483"/>
      <c r="E2279" s="485"/>
      <c r="F2279" s="485"/>
    </row>
    <row r="2280" spans="1:6">
      <c r="A2280" s="482"/>
      <c r="B2280" s="485"/>
      <c r="C2280" s="485"/>
      <c r="D2280" s="483"/>
      <c r="E2280" s="485"/>
      <c r="F2280" s="485"/>
    </row>
    <row r="2281" spans="1:6">
      <c r="A2281" s="482"/>
      <c r="B2281" s="485"/>
      <c r="C2281" s="485"/>
      <c r="D2281" s="483"/>
      <c r="E2281" s="485"/>
      <c r="F2281" s="485"/>
    </row>
    <row r="2282" spans="1:6">
      <c r="A2282" s="482"/>
      <c r="B2282" s="485"/>
      <c r="C2282" s="485"/>
      <c r="D2282" s="483"/>
      <c r="E2282" s="485"/>
      <c r="F2282" s="485"/>
    </row>
    <row r="2283" spans="1:6">
      <c r="A2283" s="482"/>
      <c r="B2283" s="485"/>
      <c r="C2283" s="485"/>
      <c r="D2283" s="483"/>
      <c r="E2283" s="485"/>
      <c r="F2283" s="485"/>
    </row>
    <row r="2284" spans="1:6">
      <c r="A2284" s="482"/>
      <c r="B2284" s="485"/>
      <c r="C2284" s="485"/>
      <c r="D2284" s="483"/>
      <c r="E2284" s="485"/>
      <c r="F2284" s="485"/>
    </row>
    <row r="2285" spans="1:6">
      <c r="A2285" s="482"/>
      <c r="B2285" s="485"/>
      <c r="C2285" s="485"/>
      <c r="D2285" s="483"/>
      <c r="E2285" s="485"/>
      <c r="F2285" s="485"/>
    </row>
    <row r="2286" spans="1:6">
      <c r="A2286" s="482"/>
      <c r="B2286" s="485"/>
      <c r="C2286" s="485"/>
      <c r="D2286" s="483"/>
      <c r="E2286" s="485"/>
      <c r="F2286" s="485"/>
    </row>
    <row r="2287" spans="1:6">
      <c r="A2287" s="482"/>
      <c r="B2287" s="485"/>
      <c r="C2287" s="485"/>
      <c r="D2287" s="483"/>
      <c r="E2287" s="485"/>
      <c r="F2287" s="485"/>
    </row>
    <row r="2288" spans="1:6">
      <c r="A2288" s="482"/>
      <c r="B2288" s="485"/>
      <c r="C2288" s="485"/>
      <c r="D2288" s="483"/>
      <c r="E2288" s="485"/>
      <c r="F2288" s="485"/>
    </row>
    <row r="2289" spans="1:6">
      <c r="A2289" s="482"/>
      <c r="B2289" s="485"/>
      <c r="C2289" s="485"/>
      <c r="D2289" s="483"/>
      <c r="E2289" s="485"/>
      <c r="F2289" s="485"/>
    </row>
    <row r="2290" spans="1:6">
      <c r="A2290" s="482"/>
      <c r="B2290" s="485"/>
      <c r="C2290" s="485"/>
      <c r="D2290" s="483"/>
      <c r="E2290" s="485"/>
      <c r="F2290" s="485"/>
    </row>
    <row r="2291" spans="1:6">
      <c r="A2291" s="482"/>
      <c r="B2291" s="485"/>
      <c r="C2291" s="485"/>
      <c r="D2291" s="483"/>
      <c r="E2291" s="485"/>
      <c r="F2291" s="485"/>
    </row>
    <row r="2292" spans="1:6">
      <c r="A2292" s="482"/>
      <c r="B2292" s="485"/>
      <c r="C2292" s="485"/>
      <c r="D2292" s="483"/>
      <c r="E2292" s="485"/>
      <c r="F2292" s="485"/>
    </row>
    <row r="2293" spans="1:6">
      <c r="A2293" s="482"/>
      <c r="B2293" s="485"/>
      <c r="C2293" s="485"/>
      <c r="D2293" s="483"/>
      <c r="E2293" s="485"/>
      <c r="F2293" s="485"/>
    </row>
    <row r="2294" spans="1:6">
      <c r="A2294" s="482"/>
      <c r="B2294" s="484"/>
      <c r="C2294" s="484"/>
      <c r="D2294" s="483"/>
      <c r="E2294" s="484"/>
      <c r="F2294" s="484"/>
    </row>
    <row r="2295" spans="1:6">
      <c r="A2295" s="482"/>
      <c r="B2295" s="485"/>
      <c r="C2295" s="485"/>
      <c r="D2295" s="483"/>
      <c r="E2295" s="485"/>
      <c r="F2295" s="485"/>
    </row>
    <row r="2296" spans="1:6">
      <c r="A2296" s="482"/>
      <c r="B2296" s="485"/>
      <c r="C2296" s="485"/>
      <c r="D2296" s="483"/>
      <c r="E2296" s="485"/>
      <c r="F2296" s="485"/>
    </row>
    <row r="2297" spans="1:6">
      <c r="A2297" s="482"/>
      <c r="B2297" s="485"/>
      <c r="C2297" s="485"/>
      <c r="D2297" s="483"/>
      <c r="E2297" s="485"/>
      <c r="F2297" s="485"/>
    </row>
    <row r="2298" spans="1:6">
      <c r="A2298" s="482"/>
      <c r="B2298" s="485"/>
      <c r="C2298" s="485"/>
      <c r="D2298" s="483"/>
      <c r="E2298" s="485"/>
      <c r="F2298" s="485"/>
    </row>
    <row r="2299" spans="1:6">
      <c r="A2299" s="482"/>
      <c r="B2299" s="485"/>
      <c r="C2299" s="485"/>
      <c r="D2299" s="483"/>
      <c r="E2299" s="485"/>
      <c r="F2299" s="485"/>
    </row>
    <row r="2300" spans="1:6">
      <c r="A2300" s="482"/>
      <c r="B2300" s="485"/>
      <c r="C2300" s="485"/>
      <c r="D2300" s="483"/>
      <c r="E2300" s="485"/>
      <c r="F2300" s="485"/>
    </row>
    <row r="2301" spans="1:6">
      <c r="A2301" s="482"/>
      <c r="B2301" s="485"/>
      <c r="C2301" s="485"/>
      <c r="D2301" s="483"/>
      <c r="E2301" s="485"/>
      <c r="F2301" s="485"/>
    </row>
    <row r="2302" spans="1:6">
      <c r="A2302" s="482"/>
      <c r="B2302" s="485"/>
      <c r="C2302" s="485"/>
      <c r="D2302" s="483"/>
      <c r="E2302" s="485"/>
      <c r="F2302" s="485"/>
    </row>
    <row r="2303" spans="1:6">
      <c r="A2303" s="482"/>
      <c r="B2303" s="485"/>
      <c r="C2303" s="485"/>
      <c r="D2303" s="483"/>
      <c r="E2303" s="485"/>
      <c r="F2303" s="485"/>
    </row>
    <row r="2304" spans="1:6">
      <c r="A2304" s="482"/>
      <c r="B2304" s="485"/>
      <c r="C2304" s="485"/>
      <c r="D2304" s="483"/>
      <c r="E2304" s="485"/>
      <c r="F2304" s="485"/>
    </row>
    <row r="2305" spans="1:6">
      <c r="A2305" s="482"/>
      <c r="B2305" s="485"/>
      <c r="C2305" s="485"/>
      <c r="D2305" s="483"/>
      <c r="E2305" s="485"/>
      <c r="F2305" s="485"/>
    </row>
    <row r="2306" spans="1:6">
      <c r="A2306" s="482"/>
      <c r="B2306" s="485"/>
      <c r="C2306" s="485"/>
      <c r="D2306" s="483"/>
      <c r="E2306" s="485"/>
      <c r="F2306" s="485"/>
    </row>
    <row r="2307" spans="1:6">
      <c r="A2307" s="482"/>
      <c r="B2307" s="485"/>
      <c r="C2307" s="485"/>
      <c r="D2307" s="483"/>
      <c r="E2307" s="485"/>
      <c r="F2307" s="485"/>
    </row>
    <row r="2308" spans="1:6">
      <c r="A2308" s="482"/>
      <c r="B2308" s="485"/>
      <c r="C2308" s="485"/>
      <c r="D2308" s="483"/>
      <c r="E2308" s="485"/>
      <c r="F2308" s="485"/>
    </row>
    <row r="2309" spans="1:6">
      <c r="A2309" s="482"/>
      <c r="B2309" s="485"/>
      <c r="C2309" s="485"/>
      <c r="D2309" s="483"/>
      <c r="E2309" s="485"/>
      <c r="F2309" s="485"/>
    </row>
    <row r="2310" spans="1:6">
      <c r="A2310" s="482"/>
      <c r="B2310" s="485"/>
      <c r="C2310" s="485"/>
      <c r="D2310" s="483"/>
      <c r="E2310" s="485"/>
      <c r="F2310" s="485"/>
    </row>
    <row r="2311" spans="1:6">
      <c r="A2311" s="482"/>
      <c r="B2311" s="485"/>
      <c r="C2311" s="485"/>
      <c r="D2311" s="483"/>
      <c r="E2311" s="485"/>
      <c r="F2311" s="485"/>
    </row>
    <row r="2312" spans="1:6">
      <c r="A2312" s="482"/>
      <c r="B2312" s="485"/>
      <c r="C2312" s="485"/>
      <c r="D2312" s="483"/>
      <c r="E2312" s="485"/>
      <c r="F2312" s="485"/>
    </row>
    <row r="2313" spans="1:6">
      <c r="A2313" s="482"/>
      <c r="B2313" s="485"/>
      <c r="C2313" s="485"/>
      <c r="D2313" s="483"/>
      <c r="E2313" s="485"/>
      <c r="F2313" s="485"/>
    </row>
    <row r="2314" spans="1:6">
      <c r="A2314" s="482"/>
      <c r="B2314" s="485"/>
      <c r="C2314" s="485"/>
      <c r="D2314" s="483"/>
      <c r="E2314" s="485"/>
      <c r="F2314" s="485"/>
    </row>
    <row r="2315" spans="1:6">
      <c r="A2315" s="482"/>
      <c r="B2315" s="485"/>
      <c r="C2315" s="485"/>
      <c r="D2315" s="483"/>
      <c r="E2315" s="485"/>
      <c r="F2315" s="485"/>
    </row>
    <row r="2316" spans="1:6">
      <c r="A2316" s="482"/>
      <c r="B2316" s="485"/>
      <c r="C2316" s="485"/>
      <c r="D2316" s="483"/>
      <c r="E2316" s="485"/>
      <c r="F2316" s="485"/>
    </row>
    <row r="2317" spans="1:6">
      <c r="A2317" s="482"/>
      <c r="B2317" s="485"/>
      <c r="C2317" s="485"/>
      <c r="D2317" s="483"/>
      <c r="E2317" s="485"/>
      <c r="F2317" s="485"/>
    </row>
    <row r="2318" spans="1:6">
      <c r="A2318" s="482"/>
      <c r="B2318" s="484"/>
      <c r="C2318" s="484"/>
      <c r="D2318" s="483"/>
      <c r="E2318" s="484"/>
      <c r="F2318" s="484"/>
    </row>
    <row r="2319" spans="1:6">
      <c r="A2319" s="482"/>
      <c r="B2319" s="485"/>
      <c r="C2319" s="485"/>
      <c r="D2319" s="483"/>
      <c r="E2319" s="485"/>
      <c r="F2319" s="485"/>
    </row>
    <row r="2320" spans="1:6">
      <c r="A2320" s="482"/>
      <c r="B2320" s="485"/>
      <c r="C2320" s="485"/>
      <c r="D2320" s="483"/>
      <c r="E2320" s="485"/>
      <c r="F2320" s="485"/>
    </row>
    <row r="2321" spans="1:6">
      <c r="A2321" s="482"/>
      <c r="B2321" s="485"/>
      <c r="C2321" s="485"/>
      <c r="D2321" s="483"/>
      <c r="E2321" s="485"/>
      <c r="F2321" s="485"/>
    </row>
    <row r="2322" spans="1:6">
      <c r="A2322" s="482"/>
      <c r="B2322" s="485"/>
      <c r="C2322" s="485"/>
      <c r="D2322" s="483"/>
      <c r="E2322" s="485"/>
      <c r="F2322" s="485"/>
    </row>
    <row r="2323" spans="1:6">
      <c r="A2323" s="482"/>
      <c r="B2323" s="485"/>
      <c r="C2323" s="485"/>
      <c r="D2323" s="483"/>
      <c r="E2323" s="485"/>
      <c r="F2323" s="485"/>
    </row>
    <row r="2324" spans="1:6">
      <c r="A2324" s="482"/>
      <c r="B2324" s="485"/>
      <c r="C2324" s="485"/>
      <c r="D2324" s="483"/>
      <c r="E2324" s="485"/>
      <c r="F2324" s="485"/>
    </row>
    <row r="2325" spans="1:6">
      <c r="A2325" s="482"/>
      <c r="B2325" s="485"/>
      <c r="C2325" s="485"/>
      <c r="D2325" s="483"/>
      <c r="E2325" s="485"/>
      <c r="F2325" s="485"/>
    </row>
    <row r="2326" spans="1:6">
      <c r="A2326" s="482"/>
      <c r="B2326" s="485"/>
      <c r="C2326" s="485"/>
      <c r="D2326" s="483"/>
      <c r="E2326" s="485"/>
      <c r="F2326" s="485"/>
    </row>
    <row r="2327" spans="1:6">
      <c r="A2327" s="482"/>
      <c r="B2327" s="485"/>
      <c r="C2327" s="485"/>
      <c r="D2327" s="483"/>
      <c r="E2327" s="485"/>
      <c r="F2327" s="485"/>
    </row>
    <row r="2328" spans="1:6">
      <c r="A2328" s="482"/>
      <c r="B2328" s="485"/>
      <c r="C2328" s="485"/>
      <c r="D2328" s="483"/>
      <c r="E2328" s="485"/>
      <c r="F2328" s="485"/>
    </row>
    <row r="2329" spans="1:6">
      <c r="A2329" s="482"/>
      <c r="B2329" s="485"/>
      <c r="C2329" s="485"/>
      <c r="D2329" s="483"/>
      <c r="E2329" s="485"/>
      <c r="F2329" s="485"/>
    </row>
    <row r="2330" spans="1:6">
      <c r="A2330" s="482"/>
      <c r="B2330" s="485"/>
      <c r="C2330" s="485"/>
      <c r="D2330" s="483"/>
      <c r="E2330" s="485"/>
      <c r="F2330" s="485"/>
    </row>
    <row r="2331" spans="1:6">
      <c r="A2331" s="482"/>
      <c r="B2331" s="485"/>
      <c r="C2331" s="485"/>
      <c r="D2331" s="483"/>
      <c r="E2331" s="485"/>
      <c r="F2331" s="485"/>
    </row>
    <row r="2332" spans="1:6">
      <c r="A2332" s="482"/>
      <c r="B2332" s="485"/>
      <c r="C2332" s="485"/>
      <c r="D2332" s="483"/>
      <c r="E2332" s="485"/>
      <c r="F2332" s="485"/>
    </row>
    <row r="2333" spans="1:6">
      <c r="A2333" s="482"/>
      <c r="B2333" s="485"/>
      <c r="C2333" s="485"/>
      <c r="D2333" s="483"/>
      <c r="E2333" s="485"/>
      <c r="F2333" s="485"/>
    </row>
    <row r="2334" spans="1:6">
      <c r="A2334" s="482"/>
      <c r="B2334" s="485"/>
      <c r="C2334" s="485"/>
      <c r="D2334" s="483"/>
      <c r="E2334" s="485"/>
      <c r="F2334" s="485"/>
    </row>
    <row r="2335" spans="1:6">
      <c r="A2335" s="482"/>
      <c r="B2335" s="485"/>
      <c r="C2335" s="485"/>
      <c r="D2335" s="483"/>
      <c r="E2335" s="485"/>
      <c r="F2335" s="485"/>
    </row>
    <row r="2336" spans="1:6">
      <c r="A2336" s="482"/>
      <c r="B2336" s="485"/>
      <c r="C2336" s="485"/>
      <c r="D2336" s="483"/>
      <c r="E2336" s="485"/>
      <c r="F2336" s="485"/>
    </row>
    <row r="2337" spans="1:6">
      <c r="A2337" s="482"/>
      <c r="B2337" s="485"/>
      <c r="C2337" s="485"/>
      <c r="D2337" s="483"/>
      <c r="E2337" s="485"/>
      <c r="F2337" s="485"/>
    </row>
    <row r="2338" spans="1:6">
      <c r="A2338" s="482"/>
      <c r="B2338" s="485"/>
      <c r="C2338" s="485"/>
      <c r="D2338" s="483"/>
      <c r="E2338" s="485"/>
      <c r="F2338" s="485"/>
    </row>
    <row r="2339" spans="1:6">
      <c r="A2339" s="482"/>
      <c r="B2339" s="485"/>
      <c r="C2339" s="485"/>
      <c r="D2339" s="483"/>
      <c r="E2339" s="485"/>
      <c r="F2339" s="485"/>
    </row>
    <row r="2340" spans="1:6">
      <c r="A2340" s="482"/>
      <c r="B2340" s="485"/>
      <c r="C2340" s="485"/>
      <c r="D2340" s="483"/>
      <c r="E2340" s="485"/>
      <c r="F2340" s="485"/>
    </row>
    <row r="2341" spans="1:6">
      <c r="A2341" s="482"/>
      <c r="B2341" s="485"/>
      <c r="C2341" s="485"/>
      <c r="D2341" s="483"/>
      <c r="E2341" s="485"/>
      <c r="F2341" s="485"/>
    </row>
    <row r="2342" spans="1:6">
      <c r="A2342" s="482"/>
      <c r="B2342" s="484"/>
      <c r="C2342" s="484"/>
      <c r="D2342" s="483"/>
      <c r="E2342" s="484"/>
      <c r="F2342" s="484"/>
    </row>
    <row r="2343" spans="1:6">
      <c r="A2343" s="482"/>
      <c r="B2343" s="485"/>
      <c r="C2343" s="485"/>
      <c r="D2343" s="483"/>
      <c r="E2343" s="485"/>
      <c r="F2343" s="485"/>
    </row>
    <row r="2344" spans="1:6">
      <c r="A2344" s="482"/>
      <c r="B2344" s="485"/>
      <c r="C2344" s="485"/>
      <c r="D2344" s="483"/>
      <c r="E2344" s="485"/>
      <c r="F2344" s="485"/>
    </row>
    <row r="2345" spans="1:6">
      <c r="A2345" s="482"/>
      <c r="B2345" s="485"/>
      <c r="C2345" s="485"/>
      <c r="D2345" s="483"/>
      <c r="E2345" s="485"/>
      <c r="F2345" s="485"/>
    </row>
    <row r="2346" spans="1:6">
      <c r="A2346" s="482"/>
      <c r="B2346" s="485"/>
      <c r="C2346" s="485"/>
      <c r="D2346" s="483"/>
      <c r="E2346" s="485"/>
      <c r="F2346" s="485"/>
    </row>
    <row r="2347" spans="1:6">
      <c r="A2347" s="482"/>
      <c r="B2347" s="485"/>
      <c r="C2347" s="485"/>
      <c r="D2347" s="483"/>
      <c r="E2347" s="485"/>
      <c r="F2347" s="485"/>
    </row>
    <row r="2348" spans="1:6">
      <c r="A2348" s="482"/>
      <c r="B2348" s="485"/>
      <c r="C2348" s="485"/>
      <c r="D2348" s="483"/>
      <c r="E2348" s="485"/>
      <c r="F2348" s="485"/>
    </row>
    <row r="2349" spans="1:6">
      <c r="A2349" s="482"/>
      <c r="B2349" s="485"/>
      <c r="C2349" s="485"/>
      <c r="D2349" s="483"/>
      <c r="E2349" s="485"/>
      <c r="F2349" s="485"/>
    </row>
    <row r="2350" spans="1:6">
      <c r="A2350" s="482"/>
      <c r="B2350" s="485"/>
      <c r="C2350" s="485"/>
      <c r="D2350" s="483"/>
      <c r="E2350" s="485"/>
      <c r="F2350" s="485"/>
    </row>
    <row r="2351" spans="1:6">
      <c r="A2351" s="482"/>
      <c r="B2351" s="485"/>
      <c r="C2351" s="485"/>
      <c r="D2351" s="483"/>
      <c r="E2351" s="485"/>
      <c r="F2351" s="485"/>
    </row>
    <row r="2352" spans="1:6">
      <c r="A2352" s="482"/>
      <c r="B2352" s="485"/>
      <c r="C2352" s="485"/>
      <c r="D2352" s="483"/>
      <c r="E2352" s="485"/>
      <c r="F2352" s="485"/>
    </row>
    <row r="2353" spans="1:6">
      <c r="A2353" s="482"/>
      <c r="B2353" s="485"/>
      <c r="C2353" s="485"/>
      <c r="D2353" s="483"/>
      <c r="E2353" s="485"/>
      <c r="F2353" s="485"/>
    </row>
    <row r="2354" spans="1:6">
      <c r="A2354" s="482"/>
      <c r="B2354" s="485"/>
      <c r="C2354" s="485"/>
      <c r="D2354" s="483"/>
      <c r="E2354" s="485"/>
      <c r="F2354" s="485"/>
    </row>
    <row r="2355" spans="1:6">
      <c r="A2355" s="482"/>
      <c r="B2355" s="485"/>
      <c r="C2355" s="485"/>
      <c r="D2355" s="483"/>
      <c r="E2355" s="485"/>
      <c r="F2355" s="485"/>
    </row>
    <row r="2356" spans="1:6">
      <c r="A2356" s="482"/>
      <c r="B2356" s="485"/>
      <c r="C2356" s="485"/>
      <c r="D2356" s="483"/>
      <c r="E2356" s="485"/>
      <c r="F2356" s="485"/>
    </row>
    <row r="2357" spans="1:6">
      <c r="A2357" s="482"/>
      <c r="B2357" s="485"/>
      <c r="C2357" s="485"/>
      <c r="D2357" s="483"/>
      <c r="E2357" s="485"/>
      <c r="F2357" s="485"/>
    </row>
    <row r="2358" spans="1:6">
      <c r="A2358" s="482"/>
      <c r="B2358" s="485"/>
      <c r="C2358" s="485"/>
      <c r="D2358" s="483"/>
      <c r="E2358" s="485"/>
      <c r="F2358" s="485"/>
    </row>
    <row r="2359" spans="1:6">
      <c r="A2359" s="482"/>
      <c r="B2359" s="485"/>
      <c r="C2359" s="485"/>
      <c r="D2359" s="483"/>
      <c r="E2359" s="485"/>
      <c r="F2359" s="485"/>
    </row>
    <row r="2360" spans="1:6">
      <c r="A2360" s="482"/>
      <c r="B2360" s="485"/>
      <c r="C2360" s="485"/>
      <c r="D2360" s="483"/>
      <c r="E2360" s="485"/>
      <c r="F2360" s="485"/>
    </row>
    <row r="2361" spans="1:6">
      <c r="A2361" s="482"/>
      <c r="B2361" s="485"/>
      <c r="C2361" s="485"/>
      <c r="D2361" s="483"/>
      <c r="E2361" s="485"/>
      <c r="F2361" s="485"/>
    </row>
    <row r="2362" spans="1:6">
      <c r="A2362" s="482"/>
      <c r="B2362" s="485"/>
      <c r="C2362" s="485"/>
      <c r="D2362" s="483"/>
      <c r="E2362" s="485"/>
      <c r="F2362" s="485"/>
    </row>
    <row r="2363" spans="1:6">
      <c r="A2363" s="482"/>
      <c r="B2363" s="485"/>
      <c r="C2363" s="485"/>
      <c r="D2363" s="483"/>
      <c r="E2363" s="485"/>
      <c r="F2363" s="485"/>
    </row>
    <row r="2364" spans="1:6">
      <c r="A2364" s="482"/>
      <c r="B2364" s="485"/>
      <c r="C2364" s="485"/>
      <c r="D2364" s="483"/>
      <c r="E2364" s="485"/>
      <c r="F2364" s="485"/>
    </row>
    <row r="2365" spans="1:6">
      <c r="A2365" s="482"/>
      <c r="B2365" s="485"/>
      <c r="C2365" s="485"/>
      <c r="D2365" s="483"/>
      <c r="E2365" s="485"/>
      <c r="F2365" s="485"/>
    </row>
    <row r="2366" spans="1:6">
      <c r="A2366" s="482"/>
      <c r="B2366" s="484"/>
      <c r="C2366" s="484"/>
      <c r="D2366" s="483"/>
      <c r="E2366" s="484"/>
      <c r="F2366" s="484"/>
    </row>
    <row r="2367" spans="1:6">
      <c r="A2367" s="482"/>
      <c r="B2367" s="485"/>
      <c r="C2367" s="485"/>
      <c r="D2367" s="483"/>
      <c r="E2367" s="485"/>
      <c r="F2367" s="485"/>
    </row>
    <row r="2368" spans="1:6">
      <c r="A2368" s="482"/>
      <c r="B2368" s="485"/>
      <c r="C2368" s="485"/>
      <c r="D2368" s="483"/>
      <c r="E2368" s="485"/>
      <c r="F2368" s="485"/>
    </row>
    <row r="2369" spans="1:6">
      <c r="A2369" s="482"/>
      <c r="B2369" s="485"/>
      <c r="C2369" s="485"/>
      <c r="D2369" s="483"/>
      <c r="E2369" s="485"/>
      <c r="F2369" s="485"/>
    </row>
    <row r="2370" spans="1:6">
      <c r="A2370" s="482"/>
      <c r="B2370" s="485"/>
      <c r="C2370" s="485"/>
      <c r="D2370" s="483"/>
      <c r="E2370" s="485"/>
      <c r="F2370" s="485"/>
    </row>
    <row r="2371" spans="1:6">
      <c r="A2371" s="482"/>
      <c r="B2371" s="485"/>
      <c r="C2371" s="485"/>
      <c r="D2371" s="483"/>
      <c r="E2371" s="485"/>
      <c r="F2371" s="485"/>
    </row>
    <row r="2372" spans="1:6">
      <c r="A2372" s="482"/>
      <c r="B2372" s="485"/>
      <c r="C2372" s="485"/>
      <c r="D2372" s="483"/>
      <c r="E2372" s="485"/>
      <c r="F2372" s="485"/>
    </row>
    <row r="2373" spans="1:6">
      <c r="A2373" s="482"/>
      <c r="B2373" s="485"/>
      <c r="C2373" s="485"/>
      <c r="D2373" s="483"/>
      <c r="E2373" s="485"/>
      <c r="F2373" s="485"/>
    </row>
    <row r="2374" spans="1:6">
      <c r="A2374" s="482"/>
      <c r="B2374" s="485"/>
      <c r="C2374" s="485"/>
      <c r="D2374" s="483"/>
      <c r="E2374" s="485"/>
      <c r="F2374" s="485"/>
    </row>
    <row r="2375" spans="1:6">
      <c r="A2375" s="482"/>
      <c r="B2375" s="485"/>
      <c r="C2375" s="485"/>
      <c r="D2375" s="483"/>
      <c r="E2375" s="485"/>
      <c r="F2375" s="485"/>
    </row>
    <row r="2376" spans="1:6">
      <c r="A2376" s="482"/>
      <c r="B2376" s="485"/>
      <c r="C2376" s="485"/>
      <c r="D2376" s="483"/>
      <c r="E2376" s="485"/>
      <c r="F2376" s="485"/>
    </row>
    <row r="2377" spans="1:6">
      <c r="A2377" s="482"/>
      <c r="B2377" s="485"/>
      <c r="C2377" s="485"/>
      <c r="D2377" s="483"/>
      <c r="E2377" s="485"/>
      <c r="F2377" s="485"/>
    </row>
    <row r="2378" spans="1:6">
      <c r="A2378" s="482"/>
      <c r="B2378" s="485"/>
      <c r="C2378" s="485"/>
      <c r="D2378" s="483"/>
      <c r="E2378" s="485"/>
      <c r="F2378" s="485"/>
    </row>
    <row r="2379" spans="1:6">
      <c r="A2379" s="482"/>
      <c r="B2379" s="485"/>
      <c r="C2379" s="485"/>
      <c r="D2379" s="483"/>
      <c r="E2379" s="485"/>
      <c r="F2379" s="485"/>
    </row>
    <row r="2380" spans="1:6">
      <c r="A2380" s="482"/>
      <c r="B2380" s="485"/>
      <c r="C2380" s="485"/>
      <c r="D2380" s="483"/>
      <c r="E2380" s="485"/>
      <c r="F2380" s="485"/>
    </row>
    <row r="2381" spans="1:6">
      <c r="A2381" s="482"/>
      <c r="B2381" s="485"/>
      <c r="C2381" s="485"/>
      <c r="D2381" s="483"/>
      <c r="E2381" s="485"/>
      <c r="F2381" s="485"/>
    </row>
    <row r="2382" spans="1:6">
      <c r="A2382" s="482"/>
      <c r="B2382" s="485"/>
      <c r="C2382" s="485"/>
      <c r="D2382" s="483"/>
      <c r="E2382" s="485"/>
      <c r="F2382" s="485"/>
    </row>
    <row r="2383" spans="1:6">
      <c r="A2383" s="482"/>
      <c r="B2383" s="485"/>
      <c r="C2383" s="485"/>
      <c r="D2383" s="483"/>
      <c r="E2383" s="485"/>
      <c r="F2383" s="485"/>
    </row>
    <row r="2384" spans="1:6">
      <c r="A2384" s="482"/>
      <c r="B2384" s="485"/>
      <c r="C2384" s="485"/>
      <c r="D2384" s="483"/>
      <c r="E2384" s="485"/>
      <c r="F2384" s="485"/>
    </row>
    <row r="2385" spans="1:6">
      <c r="A2385" s="482"/>
      <c r="B2385" s="485"/>
      <c r="C2385" s="485"/>
      <c r="D2385" s="483"/>
      <c r="E2385" s="485"/>
      <c r="F2385" s="485"/>
    </row>
    <row r="2386" spans="1:6">
      <c r="A2386" s="482"/>
      <c r="B2386" s="485"/>
      <c r="C2386" s="485"/>
      <c r="D2386" s="483"/>
      <c r="E2386" s="485"/>
      <c r="F2386" s="485"/>
    </row>
    <row r="2387" spans="1:6">
      <c r="A2387" s="482"/>
      <c r="B2387" s="485"/>
      <c r="C2387" s="485"/>
      <c r="D2387" s="483"/>
      <c r="E2387" s="485"/>
      <c r="F2387" s="485"/>
    </row>
    <row r="2388" spans="1:6">
      <c r="A2388" s="482"/>
      <c r="B2388" s="485"/>
      <c r="C2388" s="485"/>
      <c r="D2388" s="483"/>
      <c r="E2388" s="485"/>
      <c r="F2388" s="485"/>
    </row>
    <row r="2389" spans="1:6">
      <c r="A2389" s="482"/>
      <c r="B2389" s="485"/>
      <c r="C2389" s="485"/>
      <c r="D2389" s="483"/>
      <c r="E2389" s="485"/>
      <c r="F2389" s="485"/>
    </row>
    <row r="2390" spans="1:6">
      <c r="A2390" s="482"/>
      <c r="B2390" s="484"/>
      <c r="C2390" s="484"/>
      <c r="D2390" s="483"/>
      <c r="E2390" s="484"/>
      <c r="F2390" s="484"/>
    </row>
    <row r="2391" spans="1:6">
      <c r="A2391" s="482"/>
      <c r="B2391" s="485"/>
      <c r="C2391" s="485"/>
      <c r="D2391" s="483"/>
      <c r="E2391" s="485"/>
      <c r="F2391" s="485"/>
    </row>
    <row r="2392" spans="1:6">
      <c r="A2392" s="482"/>
      <c r="B2392" s="485"/>
      <c r="C2392" s="485"/>
      <c r="D2392" s="483"/>
      <c r="E2392" s="485"/>
      <c r="F2392" s="485"/>
    </row>
    <row r="2393" spans="1:6">
      <c r="A2393" s="482"/>
      <c r="B2393" s="485"/>
      <c r="C2393" s="485"/>
      <c r="D2393" s="483"/>
      <c r="E2393" s="485"/>
      <c r="F2393" s="485"/>
    </row>
    <row r="2394" spans="1:6">
      <c r="A2394" s="482"/>
      <c r="B2394" s="485"/>
      <c r="C2394" s="485"/>
      <c r="D2394" s="483"/>
      <c r="E2394" s="485"/>
      <c r="F2394" s="485"/>
    </row>
    <row r="2395" spans="1:6">
      <c r="A2395" s="482"/>
      <c r="B2395" s="485"/>
      <c r="C2395" s="485"/>
      <c r="D2395" s="483"/>
      <c r="E2395" s="485"/>
      <c r="F2395" s="485"/>
    </row>
    <row r="2396" spans="1:6">
      <c r="A2396" s="482"/>
      <c r="B2396" s="485"/>
      <c r="C2396" s="485"/>
      <c r="D2396" s="483"/>
      <c r="E2396" s="485"/>
      <c r="F2396" s="485"/>
    </row>
    <row r="2397" spans="1:6">
      <c r="A2397" s="482"/>
      <c r="B2397" s="485"/>
      <c r="C2397" s="485"/>
      <c r="D2397" s="483"/>
      <c r="E2397" s="485"/>
      <c r="F2397" s="485"/>
    </row>
    <row r="2398" spans="1:6">
      <c r="A2398" s="482"/>
      <c r="B2398" s="485"/>
      <c r="C2398" s="485"/>
      <c r="D2398" s="483"/>
      <c r="E2398" s="485"/>
      <c r="F2398" s="485"/>
    </row>
    <row r="2399" spans="1:6">
      <c r="A2399" s="482"/>
      <c r="B2399" s="485"/>
      <c r="C2399" s="485"/>
      <c r="D2399" s="483"/>
      <c r="E2399" s="485"/>
      <c r="F2399" s="485"/>
    </row>
    <row r="2400" spans="1:6">
      <c r="A2400" s="482"/>
      <c r="B2400" s="485"/>
      <c r="C2400" s="485"/>
      <c r="D2400" s="483"/>
      <c r="E2400" s="485"/>
      <c r="F2400" s="485"/>
    </row>
    <row r="2401" spans="1:6">
      <c r="A2401" s="482"/>
      <c r="B2401" s="485"/>
      <c r="C2401" s="485"/>
      <c r="D2401" s="483"/>
      <c r="E2401" s="485"/>
      <c r="F2401" s="485"/>
    </row>
    <row r="2402" spans="1:6">
      <c r="A2402" s="482"/>
      <c r="B2402" s="485"/>
      <c r="C2402" s="485"/>
      <c r="D2402" s="483"/>
      <c r="E2402" s="485"/>
      <c r="F2402" s="485"/>
    </row>
    <row r="2403" spans="1:6">
      <c r="A2403" s="482"/>
      <c r="B2403" s="485"/>
      <c r="C2403" s="485"/>
      <c r="D2403" s="483"/>
      <c r="E2403" s="485"/>
      <c r="F2403" s="485"/>
    </row>
    <row r="2404" spans="1:6">
      <c r="A2404" s="482"/>
      <c r="B2404" s="485"/>
      <c r="C2404" s="485"/>
      <c r="D2404" s="483"/>
      <c r="E2404" s="485"/>
      <c r="F2404" s="485"/>
    </row>
    <row r="2405" spans="1:6">
      <c r="A2405" s="482"/>
      <c r="B2405" s="485"/>
      <c r="C2405" s="485"/>
      <c r="D2405" s="483"/>
      <c r="E2405" s="485"/>
      <c r="F2405" s="485"/>
    </row>
    <row r="2406" spans="1:6">
      <c r="A2406" s="482"/>
      <c r="B2406" s="485"/>
      <c r="C2406" s="485"/>
      <c r="D2406" s="483"/>
      <c r="E2406" s="485"/>
      <c r="F2406" s="485"/>
    </row>
    <row r="2407" spans="1:6">
      <c r="A2407" s="482"/>
      <c r="B2407" s="485"/>
      <c r="C2407" s="485"/>
      <c r="D2407" s="483"/>
      <c r="E2407" s="485"/>
      <c r="F2407" s="485"/>
    </row>
    <row r="2408" spans="1:6">
      <c r="A2408" s="482"/>
      <c r="B2408" s="485"/>
      <c r="C2408" s="485"/>
      <c r="D2408" s="483"/>
      <c r="E2408" s="485"/>
      <c r="F2408" s="485"/>
    </row>
    <row r="2409" spans="1:6">
      <c r="A2409" s="482"/>
      <c r="B2409" s="485"/>
      <c r="C2409" s="485"/>
      <c r="D2409" s="483"/>
      <c r="E2409" s="485"/>
      <c r="F2409" s="485"/>
    </row>
    <row r="2410" spans="1:6">
      <c r="A2410" s="482"/>
      <c r="B2410" s="485"/>
      <c r="C2410" s="485"/>
      <c r="D2410" s="483"/>
      <c r="E2410" s="485"/>
      <c r="F2410" s="485"/>
    </row>
    <row r="2411" spans="1:6">
      <c r="A2411" s="482"/>
      <c r="B2411" s="485"/>
      <c r="C2411" s="485"/>
      <c r="D2411" s="483"/>
      <c r="E2411" s="485"/>
      <c r="F2411" s="485"/>
    </row>
    <row r="2412" spans="1:6">
      <c r="A2412" s="482"/>
      <c r="B2412" s="485"/>
      <c r="C2412" s="485"/>
      <c r="D2412" s="483"/>
      <c r="E2412" s="485"/>
      <c r="F2412" s="485"/>
    </row>
    <row r="2413" spans="1:6">
      <c r="A2413" s="482"/>
      <c r="B2413" s="485"/>
      <c r="C2413" s="485"/>
      <c r="D2413" s="483"/>
      <c r="E2413" s="485"/>
      <c r="F2413" s="485"/>
    </row>
    <row r="2414" spans="1:6">
      <c r="A2414" s="482"/>
      <c r="B2414" s="484"/>
      <c r="C2414" s="484"/>
      <c r="D2414" s="483"/>
      <c r="E2414" s="484"/>
      <c r="F2414" s="484"/>
    </row>
    <row r="2415" spans="1:6">
      <c r="A2415" s="482"/>
      <c r="B2415" s="485"/>
      <c r="C2415" s="485"/>
      <c r="D2415" s="483"/>
      <c r="E2415" s="485"/>
      <c r="F2415" s="485"/>
    </row>
    <row r="2416" spans="1:6">
      <c r="A2416" s="482"/>
      <c r="B2416" s="485"/>
      <c r="C2416" s="485"/>
      <c r="D2416" s="483"/>
      <c r="E2416" s="485"/>
      <c r="F2416" s="485"/>
    </row>
    <row r="2417" spans="1:6">
      <c r="A2417" s="482"/>
      <c r="B2417" s="485"/>
      <c r="C2417" s="485"/>
      <c r="D2417" s="483"/>
      <c r="E2417" s="485"/>
      <c r="F2417" s="485"/>
    </row>
    <row r="2418" spans="1:6">
      <c r="A2418" s="482"/>
      <c r="B2418" s="485"/>
      <c r="C2418" s="485"/>
      <c r="D2418" s="483"/>
      <c r="E2418" s="485"/>
      <c r="F2418" s="485"/>
    </row>
    <row r="2419" spans="1:6">
      <c r="A2419" s="482"/>
      <c r="B2419" s="485"/>
      <c r="C2419" s="485"/>
      <c r="D2419" s="483"/>
      <c r="E2419" s="485"/>
      <c r="F2419" s="485"/>
    </row>
    <row r="2420" spans="1:6">
      <c r="A2420" s="482"/>
      <c r="B2420" s="485"/>
      <c r="C2420" s="485"/>
      <c r="D2420" s="483"/>
      <c r="E2420" s="485"/>
      <c r="F2420" s="485"/>
    </row>
    <row r="2421" spans="1:6">
      <c r="A2421" s="482"/>
      <c r="B2421" s="485"/>
      <c r="C2421" s="485"/>
      <c r="D2421" s="483"/>
      <c r="E2421" s="485"/>
      <c r="F2421" s="485"/>
    </row>
    <row r="2422" spans="1:6">
      <c r="A2422" s="482"/>
      <c r="B2422" s="485"/>
      <c r="C2422" s="485"/>
      <c r="D2422" s="483"/>
      <c r="E2422" s="485"/>
      <c r="F2422" s="485"/>
    </row>
    <row r="2423" spans="1:6">
      <c r="A2423" s="482"/>
      <c r="B2423" s="485"/>
      <c r="C2423" s="485"/>
      <c r="D2423" s="483"/>
      <c r="E2423" s="485"/>
      <c r="F2423" s="485"/>
    </row>
    <row r="2424" spans="1:6">
      <c r="A2424" s="482"/>
      <c r="B2424" s="485"/>
      <c r="C2424" s="485"/>
      <c r="D2424" s="483"/>
      <c r="E2424" s="485"/>
      <c r="F2424" s="485"/>
    </row>
    <row r="2425" spans="1:6">
      <c r="A2425" s="482"/>
      <c r="B2425" s="485"/>
      <c r="C2425" s="485"/>
      <c r="D2425" s="483"/>
      <c r="E2425" s="485"/>
      <c r="F2425" s="485"/>
    </row>
    <row r="2426" spans="1:6">
      <c r="A2426" s="482"/>
      <c r="B2426" s="485"/>
      <c r="C2426" s="485"/>
      <c r="D2426" s="483"/>
      <c r="E2426" s="485"/>
      <c r="F2426" s="485"/>
    </row>
    <row r="2427" spans="1:6">
      <c r="A2427" s="482"/>
      <c r="B2427" s="485"/>
      <c r="C2427" s="485"/>
      <c r="D2427" s="483"/>
      <c r="E2427" s="485"/>
      <c r="F2427" s="485"/>
    </row>
    <row r="2428" spans="1:6">
      <c r="A2428" s="482"/>
      <c r="B2428" s="485"/>
      <c r="C2428" s="485"/>
      <c r="D2428" s="483"/>
      <c r="E2428" s="485"/>
      <c r="F2428" s="485"/>
    </row>
    <row r="2429" spans="1:6">
      <c r="A2429" s="482"/>
      <c r="B2429" s="485"/>
      <c r="C2429" s="485"/>
      <c r="D2429" s="483"/>
      <c r="E2429" s="485"/>
      <c r="F2429" s="485"/>
    </row>
    <row r="2430" spans="1:6">
      <c r="A2430" s="482"/>
      <c r="B2430" s="485"/>
      <c r="C2430" s="485"/>
      <c r="D2430" s="483"/>
      <c r="E2430" s="485"/>
      <c r="F2430" s="485"/>
    </row>
    <row r="2431" spans="1:6">
      <c r="A2431" s="482"/>
      <c r="B2431" s="485"/>
      <c r="C2431" s="485"/>
      <c r="D2431" s="483"/>
      <c r="E2431" s="485"/>
      <c r="F2431" s="485"/>
    </row>
    <row r="2432" spans="1:6">
      <c r="A2432" s="482"/>
      <c r="B2432" s="485"/>
      <c r="C2432" s="485"/>
      <c r="D2432" s="483"/>
      <c r="E2432" s="485"/>
      <c r="F2432" s="485"/>
    </row>
    <row r="2433" spans="1:6">
      <c r="A2433" s="482"/>
      <c r="B2433" s="485"/>
      <c r="C2433" s="485"/>
      <c r="D2433" s="483"/>
      <c r="E2433" s="485"/>
      <c r="F2433" s="485"/>
    </row>
    <row r="2434" spans="1:6">
      <c r="A2434" s="482"/>
      <c r="B2434" s="485"/>
      <c r="C2434" s="485"/>
      <c r="D2434" s="483"/>
      <c r="E2434" s="485"/>
      <c r="F2434" s="485"/>
    </row>
    <row r="2435" spans="1:6">
      <c r="A2435" s="482"/>
      <c r="B2435" s="485"/>
      <c r="C2435" s="485"/>
      <c r="D2435" s="483"/>
      <c r="E2435" s="485"/>
      <c r="F2435" s="485"/>
    </row>
    <row r="2436" spans="1:6">
      <c r="A2436" s="482"/>
      <c r="B2436" s="485"/>
      <c r="C2436" s="485"/>
      <c r="D2436" s="483"/>
      <c r="E2436" s="485"/>
      <c r="F2436" s="485"/>
    </row>
    <row r="2437" spans="1:6">
      <c r="A2437" s="482"/>
      <c r="B2437" s="485"/>
      <c r="C2437" s="485"/>
      <c r="D2437" s="483"/>
      <c r="E2437" s="485"/>
      <c r="F2437" s="485"/>
    </row>
    <row r="2438" spans="1:6">
      <c r="A2438" s="482"/>
      <c r="B2438" s="484"/>
      <c r="C2438" s="484"/>
      <c r="D2438" s="483"/>
      <c r="E2438" s="484"/>
      <c r="F2438" s="484"/>
    </row>
    <row r="2439" spans="1:6">
      <c r="A2439" s="482"/>
      <c r="B2439" s="485"/>
      <c r="C2439" s="485"/>
      <c r="D2439" s="483"/>
      <c r="E2439" s="485"/>
      <c r="F2439" s="485"/>
    </row>
    <row r="2440" spans="1:6">
      <c r="A2440" s="482"/>
      <c r="B2440" s="485"/>
      <c r="C2440" s="485"/>
      <c r="D2440" s="483"/>
      <c r="E2440" s="485"/>
      <c r="F2440" s="485"/>
    </row>
    <row r="2441" spans="1:6">
      <c r="A2441" s="482"/>
      <c r="B2441" s="485"/>
      <c r="C2441" s="485"/>
      <c r="D2441" s="483"/>
      <c r="E2441" s="485"/>
      <c r="F2441" s="485"/>
    </row>
    <row r="2442" spans="1:6">
      <c r="A2442" s="482"/>
      <c r="B2442" s="485"/>
      <c r="C2442" s="485"/>
      <c r="D2442" s="483"/>
      <c r="E2442" s="485"/>
      <c r="F2442" s="485"/>
    </row>
    <row r="2443" spans="1:6">
      <c r="A2443" s="482"/>
      <c r="B2443" s="485"/>
      <c r="C2443" s="485"/>
      <c r="D2443" s="483"/>
      <c r="E2443" s="485"/>
      <c r="F2443" s="485"/>
    </row>
    <row r="2444" spans="1:6">
      <c r="A2444" s="482"/>
      <c r="B2444" s="485"/>
      <c r="C2444" s="485"/>
      <c r="D2444" s="483"/>
      <c r="E2444" s="485"/>
      <c r="F2444" s="485"/>
    </row>
    <row r="2445" spans="1:6">
      <c r="A2445" s="482"/>
      <c r="B2445" s="485"/>
      <c r="C2445" s="485"/>
      <c r="D2445" s="483"/>
      <c r="E2445" s="485"/>
      <c r="F2445" s="485"/>
    </row>
    <row r="2446" spans="1:6">
      <c r="A2446" s="482"/>
      <c r="B2446" s="485"/>
      <c r="C2446" s="485"/>
      <c r="D2446" s="483"/>
      <c r="E2446" s="485"/>
      <c r="F2446" s="485"/>
    </row>
    <row r="2447" spans="1:6">
      <c r="A2447" s="482"/>
      <c r="B2447" s="485"/>
      <c r="C2447" s="485"/>
      <c r="D2447" s="483"/>
      <c r="E2447" s="485"/>
      <c r="F2447" s="485"/>
    </row>
    <row r="2448" spans="1:6">
      <c r="A2448" s="482"/>
      <c r="B2448" s="485"/>
      <c r="C2448" s="485"/>
      <c r="D2448" s="483"/>
      <c r="E2448" s="485"/>
      <c r="F2448" s="485"/>
    </row>
    <row r="2449" spans="1:6">
      <c r="A2449" s="482"/>
      <c r="B2449" s="485"/>
      <c r="C2449" s="485"/>
      <c r="D2449" s="483"/>
      <c r="E2449" s="485"/>
      <c r="F2449" s="485"/>
    </row>
    <row r="2450" spans="1:6">
      <c r="A2450" s="482"/>
      <c r="B2450" s="485"/>
      <c r="C2450" s="485"/>
      <c r="D2450" s="483"/>
      <c r="E2450" s="485"/>
      <c r="F2450" s="485"/>
    </row>
    <row r="2451" spans="1:6">
      <c r="A2451" s="482"/>
      <c r="B2451" s="485"/>
      <c r="C2451" s="485"/>
      <c r="D2451" s="483"/>
      <c r="E2451" s="485"/>
      <c r="F2451" s="485"/>
    </row>
    <row r="2452" spans="1:6">
      <c r="A2452" s="482"/>
      <c r="B2452" s="485"/>
      <c r="C2452" s="485"/>
      <c r="D2452" s="483"/>
      <c r="E2452" s="485"/>
      <c r="F2452" s="485"/>
    </row>
    <row r="2453" spans="1:6">
      <c r="A2453" s="482"/>
      <c r="B2453" s="485"/>
      <c r="C2453" s="485"/>
      <c r="D2453" s="483"/>
      <c r="E2453" s="485"/>
      <c r="F2453" s="485"/>
    </row>
    <row r="2454" spans="1:6">
      <c r="A2454" s="482"/>
      <c r="B2454" s="485"/>
      <c r="C2454" s="485"/>
      <c r="D2454" s="483"/>
      <c r="E2454" s="485"/>
      <c r="F2454" s="485"/>
    </row>
    <row r="2455" spans="1:6">
      <c r="A2455" s="482"/>
      <c r="B2455" s="485"/>
      <c r="C2455" s="485"/>
      <c r="D2455" s="483"/>
      <c r="E2455" s="485"/>
      <c r="F2455" s="485"/>
    </row>
    <row r="2456" spans="1:6">
      <c r="A2456" s="482"/>
      <c r="B2456" s="485"/>
      <c r="C2456" s="485"/>
      <c r="D2456" s="483"/>
      <c r="E2456" s="485"/>
      <c r="F2456" s="485"/>
    </row>
    <row r="2457" spans="1:6">
      <c r="A2457" s="482"/>
      <c r="B2457" s="485"/>
      <c r="C2457" s="485"/>
      <c r="D2457" s="483"/>
      <c r="E2457" s="485"/>
      <c r="F2457" s="485"/>
    </row>
    <row r="2458" spans="1:6">
      <c r="A2458" s="482"/>
      <c r="B2458" s="485"/>
      <c r="C2458" s="485"/>
      <c r="D2458" s="483"/>
      <c r="E2458" s="485"/>
      <c r="F2458" s="485"/>
    </row>
    <row r="2459" spans="1:6">
      <c r="A2459" s="482"/>
      <c r="B2459" s="485"/>
      <c r="C2459" s="485"/>
      <c r="D2459" s="483"/>
      <c r="E2459" s="485"/>
      <c r="F2459" s="485"/>
    </row>
    <row r="2460" spans="1:6">
      <c r="A2460" s="482"/>
      <c r="B2460" s="485"/>
      <c r="C2460" s="485"/>
      <c r="D2460" s="483"/>
      <c r="E2460" s="485"/>
      <c r="F2460" s="485"/>
    </row>
    <row r="2461" spans="1:6">
      <c r="A2461" s="482"/>
      <c r="B2461" s="485"/>
      <c r="C2461" s="485"/>
      <c r="D2461" s="483"/>
      <c r="E2461" s="485"/>
      <c r="F2461" s="485"/>
    </row>
    <row r="2462" spans="1:6">
      <c r="A2462" s="482"/>
      <c r="B2462" s="485"/>
      <c r="C2462" s="485"/>
      <c r="D2462" s="483"/>
      <c r="E2462" s="485"/>
      <c r="F2462" s="485"/>
    </row>
    <row r="2463" spans="1:6">
      <c r="A2463" s="482"/>
      <c r="B2463" s="485"/>
      <c r="C2463" s="485"/>
      <c r="D2463" s="483"/>
      <c r="E2463" s="485"/>
      <c r="F2463" s="485"/>
    </row>
    <row r="2464" spans="1:6">
      <c r="A2464" s="482"/>
      <c r="B2464" s="485"/>
      <c r="C2464" s="485"/>
      <c r="D2464" s="483"/>
      <c r="E2464" s="485"/>
      <c r="F2464" s="485"/>
    </row>
    <row r="2465" spans="1:6">
      <c r="A2465" s="482"/>
      <c r="B2465" s="485"/>
      <c r="C2465" s="485"/>
      <c r="D2465" s="483"/>
      <c r="E2465" s="485"/>
      <c r="F2465" s="485"/>
    </row>
    <row r="2466" spans="1:6">
      <c r="A2466" s="482"/>
      <c r="B2466" s="485"/>
      <c r="C2466" s="485"/>
      <c r="D2466" s="483"/>
      <c r="E2466" s="485"/>
      <c r="F2466" s="485"/>
    </row>
    <row r="2467" spans="1:6">
      <c r="A2467" s="482"/>
      <c r="B2467" s="485"/>
      <c r="C2467" s="485"/>
      <c r="D2467" s="483"/>
      <c r="E2467" s="485"/>
      <c r="F2467" s="485"/>
    </row>
    <row r="2468" spans="1:6">
      <c r="A2468" s="482"/>
      <c r="B2468" s="485"/>
      <c r="C2468" s="485"/>
      <c r="D2468" s="483"/>
      <c r="E2468" s="485"/>
      <c r="F2468" s="485"/>
    </row>
    <row r="2469" spans="1:6">
      <c r="A2469" s="482"/>
      <c r="B2469" s="485"/>
      <c r="C2469" s="485"/>
      <c r="D2469" s="483"/>
      <c r="E2469" s="485"/>
      <c r="F2469" s="485"/>
    </row>
    <row r="2470" spans="1:6">
      <c r="A2470" s="482"/>
      <c r="B2470" s="485"/>
      <c r="C2470" s="485"/>
      <c r="D2470" s="483"/>
      <c r="E2470" s="485"/>
      <c r="F2470" s="485"/>
    </row>
    <row r="2471" spans="1:6">
      <c r="A2471" s="482"/>
      <c r="B2471" s="485"/>
      <c r="C2471" s="485"/>
      <c r="D2471" s="483"/>
      <c r="E2471" s="485"/>
      <c r="F2471" s="485"/>
    </row>
    <row r="2472" spans="1:6">
      <c r="A2472" s="482"/>
      <c r="B2472" s="485"/>
      <c r="C2472" s="485"/>
      <c r="D2472" s="483"/>
      <c r="E2472" s="485"/>
      <c r="F2472" s="485"/>
    </row>
    <row r="2473" spans="1:6">
      <c r="A2473" s="482"/>
      <c r="B2473" s="485"/>
      <c r="C2473" s="485"/>
      <c r="D2473" s="483"/>
      <c r="E2473" s="485"/>
      <c r="F2473" s="485"/>
    </row>
    <row r="2474" spans="1:6">
      <c r="A2474" s="482"/>
      <c r="B2474" s="485"/>
      <c r="C2474" s="485"/>
      <c r="D2474" s="483"/>
      <c r="E2474" s="485"/>
      <c r="F2474" s="485"/>
    </row>
    <row r="2475" spans="1:6">
      <c r="A2475" s="482"/>
      <c r="B2475" s="485"/>
      <c r="C2475" s="485"/>
      <c r="D2475" s="483"/>
      <c r="E2475" s="485"/>
      <c r="F2475" s="485"/>
    </row>
    <row r="2476" spans="1:6">
      <c r="A2476" s="482"/>
      <c r="B2476" s="485"/>
      <c r="C2476" s="485"/>
      <c r="D2476" s="483"/>
      <c r="E2476" s="485"/>
      <c r="F2476" s="485"/>
    </row>
    <row r="2477" spans="1:6">
      <c r="A2477" s="482"/>
      <c r="B2477" s="485"/>
      <c r="C2477" s="485"/>
      <c r="D2477" s="483"/>
      <c r="E2477" s="485"/>
      <c r="F2477" s="485"/>
    </row>
    <row r="2478" spans="1:6">
      <c r="A2478" s="482"/>
      <c r="B2478" s="485"/>
      <c r="C2478" s="485"/>
      <c r="D2478" s="483"/>
      <c r="E2478" s="485"/>
      <c r="F2478" s="485"/>
    </row>
    <row r="2479" spans="1:6">
      <c r="A2479" s="482"/>
      <c r="B2479" s="485"/>
      <c r="C2479" s="485"/>
      <c r="D2479" s="483"/>
      <c r="E2479" s="485"/>
      <c r="F2479" s="485"/>
    </row>
    <row r="2480" spans="1:6">
      <c r="A2480" s="482"/>
      <c r="B2480" s="485"/>
      <c r="C2480" s="485"/>
      <c r="D2480" s="483"/>
      <c r="E2480" s="485"/>
      <c r="F2480" s="485"/>
    </row>
    <row r="2481" spans="1:6">
      <c r="A2481" s="482"/>
      <c r="B2481" s="485"/>
      <c r="C2481" s="485"/>
      <c r="D2481" s="483"/>
      <c r="E2481" s="485"/>
      <c r="F2481" s="485"/>
    </row>
    <row r="2482" spans="1:6">
      <c r="A2482" s="482"/>
      <c r="B2482" s="485"/>
      <c r="C2482" s="485"/>
      <c r="D2482" s="483"/>
      <c r="E2482" s="485"/>
      <c r="F2482" s="485"/>
    </row>
    <row r="2483" spans="1:6">
      <c r="A2483" s="482"/>
      <c r="B2483" s="485"/>
      <c r="C2483" s="485"/>
      <c r="D2483" s="483"/>
      <c r="E2483" s="485"/>
      <c r="F2483" s="485"/>
    </row>
    <row r="2484" spans="1:6">
      <c r="A2484" s="482"/>
      <c r="B2484" s="485"/>
      <c r="C2484" s="485"/>
      <c r="D2484" s="483"/>
      <c r="E2484" s="485"/>
      <c r="F2484" s="485"/>
    </row>
    <row r="2485" spans="1:6">
      <c r="A2485" s="482"/>
      <c r="B2485" s="485"/>
      <c r="C2485" s="485"/>
      <c r="D2485" s="483"/>
      <c r="E2485" s="485"/>
      <c r="F2485" s="485"/>
    </row>
    <row r="2486" spans="1:6">
      <c r="A2486" s="482"/>
      <c r="B2486" s="485"/>
      <c r="C2486" s="485"/>
      <c r="D2486" s="483"/>
      <c r="E2486" s="485"/>
      <c r="F2486" s="485"/>
    </row>
    <row r="2487" spans="1:6">
      <c r="A2487" s="482"/>
      <c r="B2487" s="485"/>
      <c r="C2487" s="485"/>
      <c r="D2487" s="483"/>
      <c r="E2487" s="485"/>
      <c r="F2487" s="485"/>
    </row>
    <row r="2488" spans="1:6">
      <c r="A2488" s="482"/>
      <c r="B2488" s="485"/>
      <c r="C2488" s="485"/>
      <c r="D2488" s="483"/>
      <c r="E2488" s="485"/>
      <c r="F2488" s="485"/>
    </row>
    <row r="2489" spans="1:6">
      <c r="A2489" s="482"/>
      <c r="B2489" s="485"/>
      <c r="C2489" s="485"/>
      <c r="D2489" s="483"/>
      <c r="E2489" s="485"/>
      <c r="F2489" s="485"/>
    </row>
    <row r="2490" spans="1:6">
      <c r="A2490" s="482"/>
      <c r="B2490" s="485"/>
      <c r="C2490" s="485"/>
      <c r="D2490" s="483"/>
      <c r="E2490" s="485"/>
      <c r="F2490" s="485"/>
    </row>
    <row r="2491" spans="1:6">
      <c r="A2491" s="482"/>
      <c r="B2491" s="485"/>
      <c r="C2491" s="485"/>
      <c r="D2491" s="483"/>
      <c r="E2491" s="485"/>
      <c r="F2491" s="485"/>
    </row>
    <row r="2492" spans="1:6">
      <c r="A2492" s="482"/>
      <c r="B2492" s="485"/>
      <c r="C2492" s="485"/>
      <c r="D2492" s="483"/>
      <c r="E2492" s="485"/>
      <c r="F2492" s="485"/>
    </row>
    <row r="2493" spans="1:6">
      <c r="A2493" s="482"/>
      <c r="B2493" s="485"/>
      <c r="C2493" s="485"/>
      <c r="D2493" s="483"/>
      <c r="E2493" s="485"/>
      <c r="F2493" s="485"/>
    </row>
    <row r="2494" spans="1:6">
      <c r="A2494" s="482"/>
      <c r="B2494" s="485"/>
      <c r="C2494" s="485"/>
      <c r="D2494" s="483"/>
      <c r="E2494" s="485"/>
      <c r="F2494" s="485"/>
    </row>
    <row r="2495" spans="1:6">
      <c r="A2495" s="482"/>
      <c r="B2495" s="485"/>
      <c r="C2495" s="485"/>
      <c r="D2495" s="483"/>
      <c r="E2495" s="485"/>
      <c r="F2495" s="485"/>
    </row>
    <row r="2496" spans="1:6">
      <c r="A2496" s="482"/>
      <c r="B2496" s="485"/>
      <c r="C2496" s="485"/>
      <c r="D2496" s="483"/>
      <c r="E2496" s="485"/>
      <c r="F2496" s="485"/>
    </row>
    <row r="2497" spans="1:6">
      <c r="A2497" s="482"/>
      <c r="B2497" s="485"/>
      <c r="C2497" s="485"/>
      <c r="D2497" s="483"/>
      <c r="E2497" s="485"/>
      <c r="F2497" s="485"/>
    </row>
    <row r="2498" spans="1:6">
      <c r="A2498" s="482"/>
      <c r="B2498" s="485"/>
      <c r="C2498" s="485"/>
      <c r="D2498" s="483"/>
      <c r="E2498" s="485"/>
      <c r="F2498" s="485"/>
    </row>
    <row r="2499" spans="1:6">
      <c r="A2499" s="482"/>
      <c r="B2499" s="485"/>
      <c r="C2499" s="485"/>
      <c r="D2499" s="483"/>
      <c r="E2499" s="485"/>
      <c r="F2499" s="485"/>
    </row>
    <row r="2500" spans="1:6">
      <c r="A2500" s="482"/>
      <c r="B2500" s="485"/>
      <c r="C2500" s="485"/>
      <c r="D2500" s="483"/>
      <c r="E2500" s="485"/>
      <c r="F2500" s="485"/>
    </row>
    <row r="2501" spans="1:6">
      <c r="A2501" s="482"/>
      <c r="B2501" s="485"/>
      <c r="C2501" s="485"/>
      <c r="D2501" s="483"/>
      <c r="E2501" s="485"/>
      <c r="F2501" s="485"/>
    </row>
    <row r="2502" spans="1:6">
      <c r="A2502" s="482"/>
      <c r="B2502" s="485"/>
      <c r="C2502" s="485"/>
      <c r="D2502" s="483"/>
      <c r="E2502" s="485"/>
      <c r="F2502" s="485"/>
    </row>
    <row r="2503" spans="1:6">
      <c r="A2503" s="482"/>
      <c r="B2503" s="485"/>
      <c r="C2503" s="485"/>
      <c r="D2503" s="483"/>
      <c r="E2503" s="485"/>
      <c r="F2503" s="485"/>
    </row>
    <row r="2504" spans="1:6">
      <c r="A2504" s="482"/>
      <c r="B2504" s="485"/>
      <c r="C2504" s="485"/>
      <c r="D2504" s="483"/>
      <c r="E2504" s="485"/>
      <c r="F2504" s="485"/>
    </row>
    <row r="2505" spans="1:6">
      <c r="A2505" s="482"/>
      <c r="B2505" s="485"/>
      <c r="C2505" s="485"/>
      <c r="D2505" s="483"/>
      <c r="E2505" s="485"/>
      <c r="F2505" s="485"/>
    </row>
    <row r="2506" spans="1:6">
      <c r="A2506" s="482"/>
      <c r="B2506" s="485"/>
      <c r="C2506" s="485"/>
      <c r="D2506" s="483"/>
      <c r="E2506" s="485"/>
      <c r="F2506" s="485"/>
    </row>
    <row r="2507" spans="1:6">
      <c r="A2507" s="482"/>
      <c r="B2507" s="485"/>
      <c r="C2507" s="485"/>
      <c r="D2507" s="483"/>
      <c r="E2507" s="485"/>
      <c r="F2507" s="485"/>
    </row>
    <row r="2508" spans="1:6">
      <c r="A2508" s="482"/>
      <c r="B2508" s="485"/>
      <c r="C2508" s="485"/>
      <c r="D2508" s="483"/>
      <c r="E2508" s="485"/>
      <c r="F2508" s="485"/>
    </row>
    <row r="2509" spans="1:6">
      <c r="A2509" s="482"/>
      <c r="B2509" s="485"/>
      <c r="C2509" s="485"/>
      <c r="D2509" s="483"/>
      <c r="E2509" s="485"/>
      <c r="F2509" s="485"/>
    </row>
    <row r="2510" spans="1:6">
      <c r="A2510" s="482"/>
      <c r="B2510" s="485"/>
      <c r="C2510" s="485"/>
      <c r="D2510" s="483"/>
      <c r="E2510" s="485"/>
      <c r="F2510" s="485"/>
    </row>
    <row r="2511" spans="1:6">
      <c r="A2511" s="482"/>
      <c r="B2511" s="485"/>
      <c r="C2511" s="485"/>
      <c r="D2511" s="483"/>
      <c r="E2511" s="485"/>
      <c r="F2511" s="485"/>
    </row>
    <row r="2512" spans="1:6">
      <c r="A2512" s="482"/>
      <c r="B2512" s="485"/>
      <c r="C2512" s="485"/>
      <c r="D2512" s="483"/>
      <c r="E2512" s="485"/>
      <c r="F2512" s="485"/>
    </row>
    <row r="2513" spans="1:6">
      <c r="A2513" s="482"/>
      <c r="B2513" s="485"/>
      <c r="C2513" s="485"/>
      <c r="D2513" s="483"/>
      <c r="E2513" s="485"/>
      <c r="F2513" s="485"/>
    </row>
    <row r="2514" spans="1:6">
      <c r="A2514" s="482"/>
      <c r="B2514" s="485"/>
      <c r="C2514" s="485"/>
      <c r="D2514" s="483"/>
      <c r="E2514" s="485"/>
      <c r="F2514" s="485"/>
    </row>
    <row r="2515" spans="1:6">
      <c r="A2515" s="482"/>
      <c r="B2515" s="485"/>
      <c r="C2515" s="485"/>
      <c r="D2515" s="483"/>
      <c r="E2515" s="485"/>
      <c r="F2515" s="485"/>
    </row>
    <row r="2516" spans="1:6">
      <c r="A2516" s="482"/>
      <c r="B2516" s="485"/>
      <c r="C2516" s="485"/>
      <c r="D2516" s="483"/>
      <c r="E2516" s="485"/>
      <c r="F2516" s="485"/>
    </row>
    <row r="2517" spans="1:6">
      <c r="A2517" s="482"/>
      <c r="B2517" s="485"/>
      <c r="C2517" s="485"/>
      <c r="D2517" s="483"/>
      <c r="E2517" s="485"/>
      <c r="F2517" s="485"/>
    </row>
    <row r="2518" spans="1:6">
      <c r="A2518" s="482"/>
      <c r="B2518" s="485"/>
      <c r="C2518" s="485"/>
      <c r="D2518" s="483"/>
      <c r="E2518" s="485"/>
      <c r="F2518" s="485"/>
    </row>
    <row r="2519" spans="1:6">
      <c r="A2519" s="482"/>
      <c r="B2519" s="485"/>
      <c r="C2519" s="485"/>
      <c r="D2519" s="483"/>
      <c r="E2519" s="485"/>
      <c r="F2519" s="485"/>
    </row>
    <row r="2520" spans="1:6">
      <c r="A2520" s="482"/>
      <c r="B2520" s="485"/>
      <c r="C2520" s="485"/>
      <c r="D2520" s="483"/>
      <c r="E2520" s="485"/>
      <c r="F2520" s="485"/>
    </row>
    <row r="2521" spans="1:6">
      <c r="A2521" s="482"/>
      <c r="B2521" s="485"/>
      <c r="C2521" s="485"/>
      <c r="D2521" s="483"/>
      <c r="E2521" s="485"/>
      <c r="F2521" s="485"/>
    </row>
    <row r="2522" spans="1:6">
      <c r="A2522" s="482"/>
      <c r="B2522" s="485"/>
      <c r="C2522" s="485"/>
      <c r="D2522" s="483"/>
      <c r="E2522" s="485"/>
      <c r="F2522" s="485"/>
    </row>
    <row r="2523" spans="1:6">
      <c r="A2523" s="482"/>
      <c r="B2523" s="485"/>
      <c r="C2523" s="485"/>
      <c r="D2523" s="483"/>
      <c r="E2523" s="485"/>
      <c r="F2523" s="485"/>
    </row>
    <row r="2524" spans="1:6">
      <c r="A2524" s="482"/>
      <c r="B2524" s="485"/>
      <c r="C2524" s="485"/>
      <c r="D2524" s="483"/>
      <c r="E2524" s="485"/>
      <c r="F2524" s="485"/>
    </row>
    <row r="2525" spans="1:6">
      <c r="A2525" s="482"/>
      <c r="B2525" s="485"/>
      <c r="C2525" s="485"/>
      <c r="D2525" s="483"/>
      <c r="E2525" s="485"/>
      <c r="F2525" s="485"/>
    </row>
    <row r="2526" spans="1:6">
      <c r="A2526" s="482"/>
      <c r="B2526" s="485"/>
      <c r="C2526" s="485"/>
      <c r="D2526" s="483"/>
      <c r="E2526" s="485"/>
      <c r="F2526" s="485"/>
    </row>
    <row r="2527" spans="1:6">
      <c r="A2527" s="482"/>
      <c r="B2527" s="485"/>
      <c r="C2527" s="485"/>
      <c r="D2527" s="483"/>
      <c r="E2527" s="485"/>
      <c r="F2527" s="485"/>
    </row>
    <row r="2528" spans="1:6">
      <c r="A2528" s="482"/>
      <c r="B2528" s="485"/>
      <c r="C2528" s="485"/>
      <c r="D2528" s="483"/>
      <c r="E2528" s="485"/>
      <c r="F2528" s="485"/>
    </row>
    <row r="2529" spans="1:6">
      <c r="A2529" s="482"/>
      <c r="B2529" s="485"/>
      <c r="C2529" s="485"/>
      <c r="D2529" s="483"/>
      <c r="E2529" s="485"/>
      <c r="F2529" s="485"/>
    </row>
    <row r="2530" spans="1:6">
      <c r="A2530" s="482"/>
      <c r="B2530" s="485"/>
      <c r="C2530" s="485"/>
      <c r="D2530" s="483"/>
      <c r="E2530" s="485"/>
      <c r="F2530" s="485"/>
    </row>
    <row r="2531" spans="1:6">
      <c r="A2531" s="482"/>
      <c r="B2531" s="485"/>
      <c r="C2531" s="485"/>
      <c r="D2531" s="483"/>
      <c r="E2531" s="485"/>
      <c r="F2531" s="485"/>
    </row>
    <row r="2532" spans="1:6">
      <c r="A2532" s="482"/>
      <c r="B2532" s="485"/>
      <c r="C2532" s="485"/>
      <c r="D2532" s="483"/>
      <c r="E2532" s="485"/>
      <c r="F2532" s="485"/>
    </row>
    <row r="2533" spans="1:6">
      <c r="A2533" s="482"/>
      <c r="B2533" s="485"/>
      <c r="C2533" s="485"/>
      <c r="D2533" s="483"/>
      <c r="E2533" s="485"/>
      <c r="F2533" s="485"/>
    </row>
    <row r="2534" spans="1:6">
      <c r="A2534" s="482"/>
      <c r="B2534" s="485"/>
      <c r="C2534" s="485"/>
      <c r="D2534" s="483"/>
      <c r="E2534" s="485"/>
      <c r="F2534" s="485"/>
    </row>
    <row r="2535" spans="1:6">
      <c r="A2535" s="482"/>
      <c r="B2535" s="485"/>
      <c r="C2535" s="485"/>
      <c r="D2535" s="483"/>
      <c r="E2535" s="485"/>
      <c r="F2535" s="485"/>
    </row>
    <row r="2536" spans="1:6">
      <c r="A2536" s="482"/>
      <c r="B2536" s="485"/>
      <c r="C2536" s="485"/>
      <c r="D2536" s="483"/>
      <c r="E2536" s="485"/>
      <c r="F2536" s="485"/>
    </row>
    <row r="2537" spans="1:6">
      <c r="A2537" s="482"/>
      <c r="B2537" s="485"/>
      <c r="C2537" s="485"/>
      <c r="D2537" s="483"/>
      <c r="E2537" s="485"/>
      <c r="F2537" s="485"/>
    </row>
    <row r="2538" spans="1:6">
      <c r="A2538" s="482"/>
      <c r="B2538" s="485"/>
      <c r="C2538" s="485"/>
      <c r="D2538" s="483"/>
      <c r="E2538" s="485"/>
      <c r="F2538" s="485"/>
    </row>
    <row r="2539" spans="1:6">
      <c r="A2539" s="482"/>
      <c r="B2539" s="485"/>
      <c r="C2539" s="485"/>
      <c r="D2539" s="483"/>
      <c r="E2539" s="485"/>
      <c r="F2539" s="485"/>
    </row>
    <row r="2540" spans="1:6">
      <c r="A2540" s="482"/>
      <c r="B2540" s="485"/>
      <c r="C2540" s="485"/>
      <c r="D2540" s="483"/>
      <c r="E2540" s="485"/>
      <c r="F2540" s="485"/>
    </row>
    <row r="2541" spans="1:6">
      <c r="A2541" s="482"/>
      <c r="B2541" s="485"/>
      <c r="C2541" s="485"/>
      <c r="D2541" s="483"/>
      <c r="E2541" s="485"/>
      <c r="F2541" s="485"/>
    </row>
    <row r="2542" spans="1:6">
      <c r="A2542" s="482"/>
      <c r="B2542" s="485"/>
      <c r="C2542" s="485"/>
      <c r="D2542" s="483"/>
      <c r="E2542" s="485"/>
      <c r="F2542" s="485"/>
    </row>
    <row r="2543" spans="1:6">
      <c r="A2543" s="482"/>
      <c r="B2543" s="485"/>
      <c r="C2543" s="485"/>
      <c r="D2543" s="483"/>
      <c r="E2543" s="485"/>
      <c r="F2543" s="485"/>
    </row>
    <row r="2544" spans="1:6">
      <c r="A2544" s="482"/>
      <c r="B2544" s="485"/>
      <c r="C2544" s="485"/>
      <c r="D2544" s="483"/>
      <c r="E2544" s="485"/>
      <c r="F2544" s="485"/>
    </row>
    <row r="2545" spans="1:6">
      <c r="A2545" s="482"/>
      <c r="B2545" s="485"/>
      <c r="C2545" s="485"/>
      <c r="D2545" s="483"/>
      <c r="E2545" s="485"/>
      <c r="F2545" s="485"/>
    </row>
    <row r="2546" spans="1:6">
      <c r="A2546" s="482"/>
      <c r="B2546" s="485"/>
      <c r="C2546" s="485"/>
      <c r="D2546" s="483"/>
      <c r="E2546" s="485"/>
      <c r="F2546" s="485"/>
    </row>
    <row r="2547" spans="1:6">
      <c r="A2547" s="482"/>
      <c r="B2547" s="485"/>
      <c r="C2547" s="485"/>
      <c r="D2547" s="483"/>
      <c r="E2547" s="485"/>
      <c r="F2547" s="485"/>
    </row>
    <row r="2548" spans="1:6">
      <c r="A2548" s="482"/>
      <c r="B2548" s="485"/>
      <c r="C2548" s="485"/>
      <c r="D2548" s="483"/>
      <c r="E2548" s="485"/>
      <c r="F2548" s="485"/>
    </row>
    <row r="2549" spans="1:6">
      <c r="A2549" s="482"/>
      <c r="B2549" s="485"/>
      <c r="C2549" s="485"/>
      <c r="D2549" s="483"/>
      <c r="E2549" s="485"/>
      <c r="F2549" s="485"/>
    </row>
    <row r="2550" spans="1:6">
      <c r="A2550" s="482"/>
      <c r="B2550" s="485"/>
      <c r="C2550" s="485"/>
      <c r="D2550" s="483"/>
      <c r="E2550" s="485"/>
      <c r="F2550" s="485"/>
    </row>
    <row r="2551" spans="1:6">
      <c r="A2551" s="482"/>
      <c r="B2551" s="485"/>
      <c r="C2551" s="485"/>
      <c r="D2551" s="483"/>
      <c r="E2551" s="485"/>
      <c r="F2551" s="485"/>
    </row>
    <row r="2552" spans="1:6">
      <c r="A2552" s="482"/>
      <c r="B2552" s="485"/>
      <c r="C2552" s="485"/>
      <c r="D2552" s="483"/>
      <c r="E2552" s="485"/>
      <c r="F2552" s="485"/>
    </row>
    <row r="2553" spans="1:6">
      <c r="A2553" s="482"/>
      <c r="B2553" s="485"/>
      <c r="C2553" s="485"/>
      <c r="D2553" s="483"/>
      <c r="E2553" s="485"/>
      <c r="F2553" s="485"/>
    </row>
    <row r="2554" spans="1:6">
      <c r="A2554" s="482"/>
      <c r="B2554" s="485"/>
      <c r="C2554" s="485"/>
      <c r="D2554" s="483"/>
      <c r="E2554" s="485"/>
      <c r="F2554" s="485"/>
    </row>
    <row r="2555" spans="1:6">
      <c r="A2555" s="482"/>
      <c r="B2555" s="485"/>
      <c r="C2555" s="485"/>
      <c r="D2555" s="483"/>
      <c r="E2555" s="485"/>
      <c r="F2555" s="485"/>
    </row>
    <row r="2556" spans="1:6">
      <c r="A2556" s="482"/>
      <c r="B2556" s="485"/>
      <c r="C2556" s="485"/>
      <c r="D2556" s="483"/>
      <c r="E2556" s="485"/>
      <c r="F2556" s="485"/>
    </row>
    <row r="2557" spans="1:6">
      <c r="A2557" s="482"/>
      <c r="B2557" s="485"/>
      <c r="C2557" s="485"/>
      <c r="D2557" s="483"/>
      <c r="E2557" s="485"/>
      <c r="F2557" s="485"/>
    </row>
    <row r="2558" spans="1:6">
      <c r="A2558" s="482"/>
      <c r="B2558" s="485"/>
      <c r="C2558" s="485"/>
      <c r="D2558" s="483"/>
      <c r="E2558" s="485"/>
      <c r="F2558" s="485"/>
    </row>
    <row r="2559" spans="1:6">
      <c r="A2559" s="482"/>
      <c r="B2559" s="485"/>
      <c r="C2559" s="485"/>
      <c r="D2559" s="483"/>
      <c r="E2559" s="485"/>
      <c r="F2559" s="485"/>
    </row>
    <row r="2560" spans="1:6">
      <c r="A2560" s="482"/>
      <c r="B2560" s="485"/>
      <c r="C2560" s="485"/>
      <c r="D2560" s="483"/>
      <c r="E2560" s="485"/>
      <c r="F2560" s="485"/>
    </row>
    <row r="2561" spans="1:6">
      <c r="A2561" s="482"/>
      <c r="B2561" s="485"/>
      <c r="C2561" s="485"/>
      <c r="D2561" s="483"/>
      <c r="E2561" s="485"/>
      <c r="F2561" s="485"/>
    </row>
    <row r="2562" spans="1:6">
      <c r="A2562" s="482"/>
      <c r="B2562" s="485"/>
      <c r="C2562" s="485"/>
      <c r="D2562" s="483"/>
      <c r="E2562" s="485"/>
      <c r="F2562" s="485"/>
    </row>
    <row r="2563" spans="1:6">
      <c r="A2563" s="482"/>
      <c r="B2563" s="485"/>
      <c r="C2563" s="485"/>
      <c r="D2563" s="483"/>
      <c r="E2563" s="485"/>
      <c r="F2563" s="485"/>
    </row>
    <row r="2564" spans="1:6">
      <c r="A2564" s="482"/>
      <c r="B2564" s="485"/>
      <c r="C2564" s="485"/>
      <c r="D2564" s="483"/>
      <c r="E2564" s="485"/>
      <c r="F2564" s="485"/>
    </row>
    <row r="2565" spans="1:6">
      <c r="A2565" s="482"/>
      <c r="B2565" s="485"/>
      <c r="C2565" s="485"/>
      <c r="D2565" s="483"/>
      <c r="E2565" s="485"/>
      <c r="F2565" s="485"/>
    </row>
    <row r="2566" spans="1:6">
      <c r="A2566" s="482"/>
      <c r="B2566" s="485"/>
      <c r="C2566" s="485"/>
      <c r="D2566" s="483"/>
      <c r="E2566" s="485"/>
      <c r="F2566" s="485"/>
    </row>
    <row r="2567" spans="1:6">
      <c r="A2567" s="482"/>
      <c r="B2567" s="485"/>
      <c r="C2567" s="485"/>
      <c r="D2567" s="483"/>
      <c r="E2567" s="485"/>
      <c r="F2567" s="485"/>
    </row>
    <row r="2568" spans="1:6">
      <c r="A2568" s="482"/>
      <c r="B2568" s="485"/>
      <c r="C2568" s="485"/>
      <c r="D2568" s="483"/>
      <c r="E2568" s="485"/>
      <c r="F2568" s="485"/>
    </row>
    <row r="2569" spans="1:6">
      <c r="A2569" s="482"/>
      <c r="B2569" s="485"/>
      <c r="C2569" s="485"/>
      <c r="D2569" s="483"/>
      <c r="E2569" s="485"/>
      <c r="F2569" s="485"/>
    </row>
    <row r="2570" spans="1:6">
      <c r="A2570" s="482"/>
      <c r="B2570" s="485"/>
      <c r="C2570" s="485"/>
      <c r="D2570" s="483"/>
      <c r="E2570" s="485"/>
      <c r="F2570" s="485"/>
    </row>
    <row r="2571" spans="1:6">
      <c r="A2571" s="482"/>
      <c r="B2571" s="485"/>
      <c r="C2571" s="485"/>
      <c r="D2571" s="483"/>
      <c r="E2571" s="485"/>
      <c r="F2571" s="485"/>
    </row>
    <row r="2572" spans="1:6">
      <c r="A2572" s="482"/>
      <c r="B2572" s="485"/>
      <c r="C2572" s="485"/>
      <c r="D2572" s="483"/>
      <c r="E2572" s="485"/>
      <c r="F2572" s="485"/>
    </row>
    <row r="2573" spans="1:6">
      <c r="A2573" s="482"/>
      <c r="B2573" s="485"/>
      <c r="C2573" s="485"/>
      <c r="D2573" s="483"/>
      <c r="E2573" s="485"/>
      <c r="F2573" s="485"/>
    </row>
    <row r="2574" spans="1:6">
      <c r="A2574" s="482"/>
      <c r="B2574" s="485"/>
      <c r="C2574" s="485"/>
      <c r="D2574" s="483"/>
      <c r="E2574" s="485"/>
      <c r="F2574" s="485"/>
    </row>
    <row r="2575" spans="1:6">
      <c r="A2575" s="482"/>
      <c r="B2575" s="485"/>
      <c r="C2575" s="485"/>
      <c r="D2575" s="483"/>
      <c r="E2575" s="485"/>
      <c r="F2575" s="485"/>
    </row>
    <row r="2576" spans="1:6">
      <c r="A2576" s="482"/>
      <c r="B2576" s="485"/>
      <c r="C2576" s="485"/>
      <c r="D2576" s="483"/>
      <c r="E2576" s="485"/>
      <c r="F2576" s="485"/>
    </row>
    <row r="2577" spans="1:6">
      <c r="A2577" s="482"/>
      <c r="B2577" s="485"/>
      <c r="C2577" s="485"/>
      <c r="D2577" s="483"/>
      <c r="E2577" s="485"/>
      <c r="F2577" s="485"/>
    </row>
    <row r="2578" spans="1:6">
      <c r="A2578" s="482"/>
      <c r="B2578" s="485"/>
      <c r="C2578" s="485"/>
      <c r="D2578" s="483"/>
      <c r="E2578" s="485"/>
      <c r="F2578" s="485"/>
    </row>
    <row r="2579" spans="1:6">
      <c r="A2579" s="482"/>
      <c r="B2579" s="485"/>
      <c r="C2579" s="485"/>
      <c r="D2579" s="483"/>
      <c r="E2579" s="485"/>
      <c r="F2579" s="485"/>
    </row>
    <row r="2580" spans="1:6">
      <c r="A2580" s="482"/>
      <c r="B2580" s="485"/>
      <c r="C2580" s="485"/>
      <c r="D2580" s="483"/>
      <c r="E2580" s="485"/>
      <c r="F2580" s="485"/>
    </row>
    <row r="2581" spans="1:6">
      <c r="A2581" s="482"/>
      <c r="B2581" s="485"/>
      <c r="C2581" s="485"/>
      <c r="D2581" s="483"/>
      <c r="E2581" s="485"/>
      <c r="F2581" s="485"/>
    </row>
    <row r="2582" spans="1:6">
      <c r="A2582" s="482"/>
      <c r="B2582" s="485"/>
      <c r="C2582" s="485"/>
      <c r="D2582" s="483"/>
      <c r="E2582" s="485"/>
      <c r="F2582" s="485"/>
    </row>
    <row r="2583" spans="1:6">
      <c r="A2583" s="482"/>
      <c r="B2583" s="485"/>
      <c r="C2583" s="485"/>
      <c r="D2583" s="483"/>
      <c r="E2583" s="485"/>
      <c r="F2583" s="485"/>
    </row>
    <row r="2584" spans="1:6">
      <c r="A2584" s="482"/>
      <c r="B2584" s="485"/>
      <c r="C2584" s="485"/>
      <c r="D2584" s="483"/>
      <c r="E2584" s="485"/>
      <c r="F2584" s="485"/>
    </row>
    <row r="2585" spans="1:6">
      <c r="A2585" s="482"/>
      <c r="B2585" s="485"/>
      <c r="C2585" s="485"/>
      <c r="D2585" s="483"/>
      <c r="E2585" s="485"/>
      <c r="F2585" s="485"/>
    </row>
    <row r="2586" spans="1:6">
      <c r="A2586" s="482"/>
      <c r="B2586" s="485"/>
      <c r="C2586" s="485"/>
      <c r="D2586" s="483"/>
      <c r="E2586" s="485"/>
      <c r="F2586" s="485"/>
    </row>
    <row r="2587" spans="1:6">
      <c r="A2587" s="482"/>
      <c r="B2587" s="485"/>
      <c r="C2587" s="485"/>
      <c r="D2587" s="483"/>
      <c r="E2587" s="485"/>
      <c r="F2587" s="485"/>
    </row>
    <row r="2588" spans="1:6">
      <c r="A2588" s="482"/>
      <c r="B2588" s="485"/>
      <c r="C2588" s="485"/>
      <c r="D2588" s="483"/>
      <c r="E2588" s="485"/>
      <c r="F2588" s="485"/>
    </row>
    <row r="2589" spans="1:6">
      <c r="A2589" s="482"/>
      <c r="B2589" s="485"/>
      <c r="C2589" s="485"/>
      <c r="D2589" s="483"/>
      <c r="E2589" s="485"/>
      <c r="F2589" s="485"/>
    </row>
    <row r="2590" spans="1:6">
      <c r="A2590" s="482"/>
      <c r="B2590" s="485"/>
      <c r="C2590" s="485"/>
      <c r="D2590" s="483"/>
      <c r="E2590" s="485"/>
      <c r="F2590" s="485"/>
    </row>
    <row r="2591" spans="1:6">
      <c r="A2591" s="482"/>
      <c r="B2591" s="485"/>
      <c r="C2591" s="485"/>
      <c r="D2591" s="483"/>
      <c r="E2591" s="485"/>
      <c r="F2591" s="485"/>
    </row>
    <row r="2592" spans="1:6">
      <c r="A2592" s="482"/>
      <c r="B2592" s="485"/>
      <c r="C2592" s="485"/>
      <c r="D2592" s="483"/>
      <c r="E2592" s="485"/>
      <c r="F2592" s="485"/>
    </row>
    <row r="2593" spans="1:6">
      <c r="A2593" s="482"/>
      <c r="B2593" s="485"/>
      <c r="C2593" s="485"/>
      <c r="D2593" s="483"/>
      <c r="E2593" s="485"/>
      <c r="F2593" s="485"/>
    </row>
    <row r="2594" spans="1:6">
      <c r="A2594" s="482"/>
      <c r="B2594" s="485"/>
      <c r="C2594" s="485"/>
      <c r="D2594" s="483"/>
      <c r="E2594" s="485"/>
      <c r="F2594" s="485"/>
    </row>
    <row r="2595" spans="1:6">
      <c r="A2595" s="482"/>
      <c r="B2595" s="485"/>
      <c r="C2595" s="485"/>
      <c r="D2595" s="483"/>
      <c r="E2595" s="485"/>
      <c r="F2595" s="485"/>
    </row>
    <row r="2596" spans="1:6">
      <c r="A2596" s="482"/>
      <c r="B2596" s="485"/>
      <c r="C2596" s="485"/>
      <c r="D2596" s="483"/>
      <c r="E2596" s="485"/>
      <c r="F2596" s="485"/>
    </row>
    <row r="2597" spans="1:6">
      <c r="A2597" s="482"/>
      <c r="B2597" s="485"/>
      <c r="C2597" s="485"/>
      <c r="D2597" s="483"/>
      <c r="E2597" s="485"/>
      <c r="F2597" s="485"/>
    </row>
    <row r="2598" spans="1:6">
      <c r="A2598" s="482"/>
      <c r="B2598" s="485"/>
      <c r="C2598" s="485"/>
      <c r="D2598" s="483"/>
      <c r="E2598" s="485"/>
      <c r="F2598" s="485"/>
    </row>
    <row r="2599" spans="1:6">
      <c r="A2599" s="482"/>
      <c r="B2599" s="485"/>
      <c r="C2599" s="485"/>
      <c r="D2599" s="483"/>
      <c r="E2599" s="485"/>
      <c r="F2599" s="485"/>
    </row>
    <row r="2600" spans="1:6">
      <c r="A2600" s="482"/>
      <c r="B2600" s="485"/>
      <c r="C2600" s="485"/>
      <c r="D2600" s="483"/>
      <c r="E2600" s="485"/>
      <c r="F2600" s="485"/>
    </row>
    <row r="2601" spans="1:6">
      <c r="A2601" s="482"/>
      <c r="B2601" s="485"/>
      <c r="C2601" s="485"/>
      <c r="D2601" s="483"/>
      <c r="E2601" s="485"/>
      <c r="F2601" s="485"/>
    </row>
    <row r="2602" spans="1:6">
      <c r="A2602" s="482"/>
      <c r="B2602" s="485"/>
      <c r="C2602" s="485"/>
      <c r="D2602" s="483"/>
      <c r="E2602" s="485"/>
      <c r="F2602" s="485"/>
    </row>
    <row r="2603" spans="1:6">
      <c r="A2603" s="482"/>
      <c r="B2603" s="485"/>
      <c r="C2603" s="485"/>
      <c r="D2603" s="483"/>
      <c r="E2603" s="485"/>
      <c r="F2603" s="485"/>
    </row>
    <row r="2604" spans="1:6">
      <c r="A2604" s="482"/>
      <c r="B2604" s="485"/>
      <c r="C2604" s="485"/>
      <c r="D2604" s="483"/>
      <c r="E2604" s="485"/>
      <c r="F2604" s="485"/>
    </row>
    <row r="2605" spans="1:6">
      <c r="A2605" s="482"/>
      <c r="B2605" s="485"/>
      <c r="C2605" s="485"/>
      <c r="D2605" s="483"/>
      <c r="E2605" s="485"/>
      <c r="F2605" s="485"/>
    </row>
    <row r="2606" spans="1:6">
      <c r="A2606" s="482"/>
      <c r="B2606" s="485"/>
      <c r="C2606" s="485"/>
      <c r="D2606" s="483"/>
      <c r="E2606" s="485"/>
      <c r="F2606" s="485"/>
    </row>
    <row r="2607" spans="1:6">
      <c r="A2607" s="482"/>
      <c r="B2607" s="485"/>
      <c r="C2607" s="485"/>
      <c r="D2607" s="483"/>
      <c r="E2607" s="485"/>
      <c r="F2607" s="485"/>
    </row>
    <row r="2608" spans="1:6">
      <c r="A2608" s="482"/>
      <c r="B2608" s="485"/>
      <c r="C2608" s="485"/>
      <c r="D2608" s="483"/>
      <c r="E2608" s="485"/>
      <c r="F2608" s="485"/>
    </row>
    <row r="2609" spans="1:6">
      <c r="A2609" s="482"/>
      <c r="B2609" s="485"/>
      <c r="C2609" s="485"/>
      <c r="D2609" s="483"/>
      <c r="E2609" s="485"/>
      <c r="F2609" s="485"/>
    </row>
    <row r="2610" spans="1:6">
      <c r="A2610" s="482"/>
      <c r="B2610" s="485"/>
      <c r="C2610" s="485"/>
      <c r="D2610" s="483"/>
      <c r="E2610" s="485"/>
      <c r="F2610" s="485"/>
    </row>
    <row r="2611" spans="1:6">
      <c r="A2611" s="482"/>
      <c r="B2611" s="485"/>
      <c r="C2611" s="485"/>
      <c r="D2611" s="483"/>
      <c r="E2611" s="485"/>
      <c r="F2611" s="485"/>
    </row>
    <row r="2612" spans="1:6">
      <c r="A2612" s="482"/>
      <c r="B2612" s="485"/>
      <c r="C2612" s="485"/>
      <c r="D2612" s="483"/>
      <c r="E2612" s="485"/>
      <c r="F2612" s="485"/>
    </row>
    <row r="2613" spans="1:6">
      <c r="A2613" s="482"/>
      <c r="B2613" s="485"/>
      <c r="C2613" s="485"/>
      <c r="D2613" s="483"/>
      <c r="E2613" s="485"/>
      <c r="F2613" s="485"/>
    </row>
    <row r="2614" spans="1:6">
      <c r="A2614" s="482"/>
      <c r="B2614" s="485"/>
      <c r="C2614" s="485"/>
      <c r="D2614" s="483"/>
      <c r="E2614" s="485"/>
      <c r="F2614" s="485"/>
    </row>
    <row r="2615" spans="1:6">
      <c r="A2615" s="482"/>
      <c r="B2615" s="485"/>
      <c r="C2615" s="485"/>
      <c r="D2615" s="483"/>
      <c r="E2615" s="485"/>
      <c r="F2615" s="485"/>
    </row>
    <row r="2616" spans="1:6">
      <c r="A2616" s="482"/>
      <c r="B2616" s="485"/>
      <c r="C2616" s="485"/>
      <c r="D2616" s="483"/>
      <c r="E2616" s="485"/>
      <c r="F2616" s="485"/>
    </row>
    <row r="2617" spans="1:6">
      <c r="A2617" s="482"/>
      <c r="B2617" s="485"/>
      <c r="C2617" s="485"/>
      <c r="D2617" s="483"/>
      <c r="E2617" s="485"/>
      <c r="F2617" s="485"/>
    </row>
    <row r="2618" spans="1:6">
      <c r="A2618" s="482"/>
      <c r="B2618" s="485"/>
      <c r="C2618" s="485"/>
      <c r="D2618" s="483"/>
      <c r="E2618" s="485"/>
      <c r="F2618" s="485"/>
    </row>
    <row r="2619" spans="1:6">
      <c r="A2619" s="482"/>
      <c r="B2619" s="485"/>
      <c r="C2619" s="485"/>
      <c r="D2619" s="483"/>
      <c r="E2619" s="485"/>
      <c r="F2619" s="485"/>
    </row>
    <row r="2620" spans="1:6">
      <c r="A2620" s="482"/>
      <c r="B2620" s="485"/>
      <c r="C2620" s="485"/>
      <c r="D2620" s="483"/>
      <c r="E2620" s="485"/>
      <c r="F2620" s="485"/>
    </row>
    <row r="2621" spans="1:6">
      <c r="A2621" s="482"/>
      <c r="B2621" s="485"/>
      <c r="C2621" s="485"/>
      <c r="D2621" s="483"/>
      <c r="E2621" s="485"/>
      <c r="F2621" s="485"/>
    </row>
    <row r="2622" spans="1:6">
      <c r="A2622" s="482"/>
      <c r="B2622" s="485"/>
      <c r="C2622" s="485"/>
      <c r="D2622" s="483"/>
      <c r="E2622" s="485"/>
      <c r="F2622" s="485"/>
    </row>
    <row r="2623" spans="1:6">
      <c r="A2623" s="482"/>
      <c r="B2623" s="485"/>
      <c r="C2623" s="485"/>
      <c r="D2623" s="483"/>
      <c r="E2623" s="485"/>
      <c r="F2623" s="485"/>
    </row>
    <row r="2624" spans="1:6">
      <c r="A2624" s="482"/>
      <c r="B2624" s="485"/>
      <c r="C2624" s="485"/>
      <c r="D2624" s="483"/>
      <c r="E2624" s="485"/>
      <c r="F2624" s="485"/>
    </row>
    <row r="2625" spans="1:6">
      <c r="A2625" s="482"/>
      <c r="B2625" s="485"/>
      <c r="C2625" s="485"/>
      <c r="D2625" s="483"/>
      <c r="E2625" s="485"/>
      <c r="F2625" s="485"/>
    </row>
    <row r="2626" spans="1:6">
      <c r="A2626" s="482"/>
      <c r="B2626" s="485"/>
      <c r="C2626" s="485"/>
      <c r="D2626" s="483"/>
      <c r="E2626" s="485"/>
      <c r="F2626" s="485"/>
    </row>
    <row r="2627" spans="1:6">
      <c r="A2627" s="482"/>
      <c r="B2627" s="485"/>
      <c r="C2627" s="485"/>
      <c r="D2627" s="483"/>
      <c r="E2627" s="485"/>
      <c r="F2627" s="485"/>
    </row>
    <row r="2628" spans="1:6">
      <c r="A2628" s="482"/>
      <c r="B2628" s="485"/>
      <c r="C2628" s="485"/>
      <c r="D2628" s="483"/>
      <c r="E2628" s="485"/>
      <c r="F2628" s="485"/>
    </row>
    <row r="2629" spans="1:6">
      <c r="A2629" s="482"/>
      <c r="B2629" s="485"/>
      <c r="C2629" s="485"/>
      <c r="D2629" s="483"/>
      <c r="E2629" s="485"/>
      <c r="F2629" s="485"/>
    </row>
    <row r="2630" spans="1:6">
      <c r="A2630" s="482"/>
      <c r="B2630" s="485"/>
      <c r="C2630" s="485"/>
      <c r="D2630" s="483"/>
      <c r="E2630" s="485"/>
      <c r="F2630" s="485"/>
    </row>
    <row r="2631" spans="1:6">
      <c r="A2631" s="482"/>
      <c r="B2631" s="485"/>
      <c r="C2631" s="485"/>
      <c r="D2631" s="483"/>
      <c r="E2631" s="485"/>
      <c r="F2631" s="485"/>
    </row>
    <row r="2632" spans="1:6">
      <c r="A2632" s="482"/>
      <c r="B2632" s="485"/>
      <c r="C2632" s="485"/>
      <c r="D2632" s="483"/>
      <c r="E2632" s="485"/>
      <c r="F2632" s="485"/>
    </row>
    <row r="2633" spans="1:6">
      <c r="A2633" s="482"/>
      <c r="B2633" s="485"/>
      <c r="C2633" s="485"/>
      <c r="D2633" s="483"/>
      <c r="E2633" s="485"/>
      <c r="F2633" s="485"/>
    </row>
    <row r="2634" spans="1:6">
      <c r="A2634" s="482"/>
      <c r="B2634" s="485"/>
      <c r="C2634" s="485"/>
      <c r="D2634" s="483"/>
      <c r="E2634" s="485"/>
      <c r="F2634" s="485"/>
    </row>
    <row r="2635" spans="1:6">
      <c r="A2635" s="482"/>
      <c r="B2635" s="485"/>
      <c r="C2635" s="485"/>
      <c r="D2635" s="483"/>
      <c r="E2635" s="485"/>
      <c r="F2635" s="485"/>
    </row>
    <row r="2636" spans="1:6">
      <c r="A2636" s="482"/>
      <c r="B2636" s="485"/>
      <c r="C2636" s="485"/>
      <c r="D2636" s="483"/>
      <c r="E2636" s="485"/>
      <c r="F2636" s="485"/>
    </row>
    <row r="2637" spans="1:6">
      <c r="A2637" s="482"/>
      <c r="B2637" s="485"/>
      <c r="C2637" s="485"/>
      <c r="D2637" s="483"/>
      <c r="E2637" s="485"/>
      <c r="F2637" s="485"/>
    </row>
    <row r="2638" spans="1:6">
      <c r="A2638" s="482"/>
      <c r="B2638" s="485"/>
      <c r="C2638" s="485"/>
      <c r="D2638" s="483"/>
      <c r="E2638" s="485"/>
      <c r="F2638" s="485"/>
    </row>
    <row r="2639" spans="1:6">
      <c r="A2639" s="482"/>
      <c r="B2639" s="485"/>
      <c r="C2639" s="485"/>
      <c r="D2639" s="483"/>
      <c r="E2639" s="485"/>
      <c r="F2639" s="485"/>
    </row>
    <row r="2640" spans="1:6">
      <c r="A2640" s="482"/>
      <c r="B2640" s="485"/>
      <c r="C2640" s="485"/>
      <c r="D2640" s="483"/>
      <c r="E2640" s="485"/>
      <c r="F2640" s="485"/>
    </row>
    <row r="2641" spans="1:6">
      <c r="A2641" s="482"/>
      <c r="B2641" s="485"/>
      <c r="C2641" s="485"/>
      <c r="D2641" s="483"/>
      <c r="E2641" s="485"/>
      <c r="F2641" s="485"/>
    </row>
    <row r="2642" spans="1:6">
      <c r="A2642" s="482"/>
      <c r="B2642" s="485"/>
      <c r="C2642" s="485"/>
      <c r="D2642" s="483"/>
      <c r="E2642" s="485"/>
      <c r="F2642" s="485"/>
    </row>
    <row r="2643" spans="1:6">
      <c r="A2643" s="482"/>
      <c r="B2643" s="485"/>
      <c r="C2643" s="485"/>
      <c r="D2643" s="483"/>
      <c r="E2643" s="485"/>
      <c r="F2643" s="485"/>
    </row>
    <row r="2644" spans="1:6">
      <c r="A2644" s="482"/>
      <c r="B2644" s="485"/>
      <c r="C2644" s="485"/>
      <c r="D2644" s="483"/>
      <c r="E2644" s="485"/>
      <c r="F2644" s="485"/>
    </row>
    <row r="2645" spans="1:6">
      <c r="A2645" s="482"/>
      <c r="B2645" s="485"/>
      <c r="C2645" s="485"/>
      <c r="D2645" s="483"/>
      <c r="E2645" s="485"/>
      <c r="F2645" s="485"/>
    </row>
    <row r="2646" spans="1:6">
      <c r="A2646" s="482"/>
      <c r="B2646" s="485"/>
      <c r="C2646" s="485"/>
      <c r="D2646" s="483"/>
      <c r="E2646" s="485"/>
      <c r="F2646" s="485"/>
    </row>
    <row r="2647" spans="1:6">
      <c r="A2647" s="482"/>
      <c r="B2647" s="485"/>
      <c r="C2647" s="485"/>
      <c r="D2647" s="483"/>
      <c r="E2647" s="485"/>
      <c r="F2647" s="485"/>
    </row>
    <row r="2648" spans="1:6">
      <c r="A2648" s="482"/>
      <c r="B2648" s="485"/>
      <c r="C2648" s="485"/>
      <c r="D2648" s="483"/>
      <c r="E2648" s="485"/>
      <c r="F2648" s="485"/>
    </row>
    <row r="2649" spans="1:6">
      <c r="A2649" s="482"/>
      <c r="B2649" s="485"/>
      <c r="C2649" s="485"/>
      <c r="D2649" s="483"/>
      <c r="E2649" s="485"/>
      <c r="F2649" s="485"/>
    </row>
    <row r="2650" spans="1:6">
      <c r="A2650" s="482"/>
      <c r="B2650" s="485"/>
      <c r="C2650" s="485"/>
      <c r="D2650" s="483"/>
      <c r="E2650" s="485"/>
      <c r="F2650" s="485"/>
    </row>
    <row r="2651" spans="1:6">
      <c r="A2651" s="482"/>
      <c r="B2651" s="485"/>
      <c r="C2651" s="485"/>
      <c r="D2651" s="483"/>
      <c r="E2651" s="485"/>
      <c r="F2651" s="485"/>
    </row>
    <row r="2652" spans="1:6">
      <c r="A2652" s="482"/>
      <c r="B2652" s="485"/>
      <c r="C2652" s="485"/>
      <c r="D2652" s="483"/>
      <c r="E2652" s="485"/>
      <c r="F2652" s="485"/>
    </row>
    <row r="2653" spans="1:6">
      <c r="A2653" s="482"/>
      <c r="B2653" s="485"/>
      <c r="C2653" s="485"/>
      <c r="D2653" s="483"/>
      <c r="E2653" s="485"/>
      <c r="F2653" s="485"/>
    </row>
    <row r="2654" spans="1:6">
      <c r="A2654" s="482"/>
      <c r="B2654" s="485"/>
      <c r="C2654" s="485"/>
      <c r="D2654" s="483"/>
      <c r="E2654" s="485"/>
      <c r="F2654" s="485"/>
    </row>
    <row r="2655" spans="1:6">
      <c r="A2655" s="482"/>
      <c r="B2655" s="485"/>
      <c r="C2655" s="485"/>
      <c r="D2655" s="483"/>
      <c r="E2655" s="485"/>
      <c r="F2655" s="485"/>
    </row>
    <row r="2656" spans="1:6">
      <c r="A2656" s="482"/>
      <c r="B2656" s="485"/>
      <c r="C2656" s="485"/>
      <c r="D2656" s="483"/>
      <c r="E2656" s="485"/>
      <c r="F2656" s="485"/>
    </row>
    <row r="2657" spans="1:6">
      <c r="A2657" s="482"/>
      <c r="B2657" s="485"/>
      <c r="C2657" s="485"/>
      <c r="D2657" s="483"/>
      <c r="E2657" s="485"/>
      <c r="F2657" s="485"/>
    </row>
    <row r="2658" spans="1:6">
      <c r="A2658" s="482"/>
      <c r="B2658" s="485"/>
      <c r="C2658" s="485"/>
      <c r="D2658" s="483"/>
      <c r="E2658" s="485"/>
      <c r="F2658" s="485"/>
    </row>
    <row r="2659" spans="1:6">
      <c r="A2659" s="482"/>
      <c r="B2659" s="485"/>
      <c r="C2659" s="485"/>
      <c r="D2659" s="483"/>
      <c r="E2659" s="485"/>
      <c r="F2659" s="485"/>
    </row>
    <row r="2660" spans="1:6">
      <c r="A2660" s="482"/>
      <c r="B2660" s="485"/>
      <c r="C2660" s="485"/>
      <c r="D2660" s="483"/>
      <c r="E2660" s="485"/>
      <c r="F2660" s="485"/>
    </row>
    <row r="2661" spans="1:6">
      <c r="A2661" s="482"/>
      <c r="B2661" s="485"/>
      <c r="C2661" s="485"/>
      <c r="D2661" s="483"/>
      <c r="E2661" s="485"/>
      <c r="F2661" s="485"/>
    </row>
    <row r="2662" spans="1:6">
      <c r="A2662" s="482"/>
      <c r="B2662" s="485"/>
      <c r="C2662" s="485"/>
      <c r="D2662" s="483"/>
      <c r="E2662" s="485"/>
      <c r="F2662" s="485"/>
    </row>
    <row r="2663" spans="1:6">
      <c r="A2663" s="482"/>
      <c r="B2663" s="485"/>
      <c r="C2663" s="485"/>
      <c r="D2663" s="483"/>
      <c r="E2663" s="485"/>
      <c r="F2663" s="485"/>
    </row>
    <row r="2664" spans="1:6">
      <c r="A2664" s="482"/>
      <c r="B2664" s="485"/>
      <c r="C2664" s="485"/>
      <c r="D2664" s="483"/>
      <c r="E2664" s="485"/>
      <c r="F2664" s="485"/>
    </row>
    <row r="2665" spans="1:6">
      <c r="A2665" s="482"/>
      <c r="B2665" s="485"/>
      <c r="C2665" s="485"/>
      <c r="D2665" s="483"/>
      <c r="E2665" s="485"/>
      <c r="F2665" s="485"/>
    </row>
    <row r="2666" spans="1:6">
      <c r="A2666" s="482"/>
      <c r="B2666" s="485"/>
      <c r="C2666" s="485"/>
      <c r="D2666" s="483"/>
      <c r="E2666" s="485"/>
      <c r="F2666" s="485"/>
    </row>
    <row r="2667" spans="1:6">
      <c r="A2667" s="482"/>
      <c r="B2667" s="485"/>
      <c r="C2667" s="485"/>
      <c r="D2667" s="483"/>
      <c r="E2667" s="485"/>
      <c r="F2667" s="485"/>
    </row>
    <row r="2668" spans="1:6">
      <c r="A2668" s="482"/>
      <c r="B2668" s="485"/>
      <c r="C2668" s="485"/>
      <c r="D2668" s="483"/>
      <c r="E2668" s="485"/>
      <c r="F2668" s="485"/>
    </row>
    <row r="2669" spans="1:6">
      <c r="A2669" s="482"/>
      <c r="B2669" s="485"/>
      <c r="C2669" s="485"/>
      <c r="D2669" s="483"/>
      <c r="E2669" s="485"/>
      <c r="F2669" s="485"/>
    </row>
    <row r="2670" spans="1:6">
      <c r="A2670" s="482"/>
      <c r="B2670" s="485"/>
      <c r="C2670" s="485"/>
      <c r="D2670" s="483"/>
      <c r="E2670" s="485"/>
      <c r="F2670" s="485"/>
    </row>
    <row r="2671" spans="1:6">
      <c r="A2671" s="482"/>
      <c r="B2671" s="485"/>
      <c r="C2671" s="485"/>
      <c r="D2671" s="483"/>
      <c r="E2671" s="485"/>
      <c r="F2671" s="485"/>
    </row>
    <row r="2672" spans="1:6">
      <c r="A2672" s="482"/>
      <c r="B2672" s="485"/>
      <c r="C2672" s="485"/>
      <c r="D2672" s="483"/>
      <c r="E2672" s="485"/>
      <c r="F2672" s="485"/>
    </row>
    <row r="2673" spans="1:6">
      <c r="A2673" s="482"/>
      <c r="B2673" s="485"/>
      <c r="C2673" s="485"/>
      <c r="D2673" s="483"/>
      <c r="E2673" s="485"/>
      <c r="F2673" s="485"/>
    </row>
    <row r="2674" spans="1:6">
      <c r="A2674" s="482"/>
      <c r="B2674" s="485"/>
      <c r="C2674" s="485"/>
      <c r="D2674" s="483"/>
      <c r="E2674" s="485"/>
      <c r="F2674" s="485"/>
    </row>
    <row r="2675" spans="1:6">
      <c r="A2675" s="482"/>
      <c r="B2675" s="485"/>
      <c r="C2675" s="485"/>
      <c r="D2675" s="483"/>
      <c r="E2675" s="485"/>
      <c r="F2675" s="485"/>
    </row>
    <row r="2676" spans="1:6">
      <c r="A2676" s="482"/>
      <c r="B2676" s="485"/>
      <c r="C2676" s="485"/>
      <c r="D2676" s="483"/>
      <c r="E2676" s="485"/>
      <c r="F2676" s="485"/>
    </row>
    <row r="2677" spans="1:6">
      <c r="A2677" s="482"/>
      <c r="B2677" s="485"/>
      <c r="C2677" s="485"/>
      <c r="D2677" s="483"/>
      <c r="E2677" s="485"/>
      <c r="F2677" s="485"/>
    </row>
    <row r="2678" spans="1:6">
      <c r="A2678" s="482"/>
      <c r="B2678" s="485"/>
      <c r="C2678" s="485"/>
      <c r="D2678" s="483"/>
      <c r="E2678" s="485"/>
      <c r="F2678" s="485"/>
    </row>
    <row r="2679" spans="1:6">
      <c r="A2679" s="482"/>
      <c r="B2679" s="485"/>
      <c r="C2679" s="485"/>
      <c r="D2679" s="483"/>
      <c r="E2679" s="485"/>
      <c r="F2679" s="485"/>
    </row>
    <row r="2680" spans="1:6">
      <c r="A2680" s="482"/>
      <c r="B2680" s="485"/>
      <c r="C2680" s="485"/>
      <c r="D2680" s="483"/>
      <c r="E2680" s="485"/>
      <c r="F2680" s="485"/>
    </row>
    <row r="2681" spans="1:6">
      <c r="A2681" s="482"/>
      <c r="B2681" s="485"/>
      <c r="C2681" s="485"/>
      <c r="D2681" s="483"/>
      <c r="E2681" s="485"/>
      <c r="F2681" s="485"/>
    </row>
    <row r="2682" spans="1:6">
      <c r="A2682" s="482"/>
      <c r="B2682" s="485"/>
      <c r="C2682" s="485"/>
      <c r="D2682" s="483"/>
      <c r="E2682" s="485"/>
      <c r="F2682" s="485"/>
    </row>
    <row r="2683" spans="1:6">
      <c r="A2683" s="482"/>
      <c r="B2683" s="485"/>
      <c r="C2683" s="485"/>
      <c r="D2683" s="483"/>
      <c r="E2683" s="485"/>
      <c r="F2683" s="485"/>
    </row>
    <row r="2684" spans="1:6">
      <c r="A2684" s="482"/>
      <c r="B2684" s="485"/>
      <c r="C2684" s="485"/>
      <c r="D2684" s="483"/>
      <c r="E2684" s="485"/>
      <c r="F2684" s="485"/>
    </row>
    <row r="2685" spans="1:6">
      <c r="A2685" s="482"/>
      <c r="B2685" s="485"/>
      <c r="C2685" s="485"/>
      <c r="D2685" s="483"/>
      <c r="E2685" s="485"/>
      <c r="F2685" s="485"/>
    </row>
    <row r="2686" spans="1:6">
      <c r="A2686" s="482"/>
      <c r="B2686" s="485"/>
      <c r="C2686" s="485"/>
      <c r="D2686" s="483"/>
      <c r="E2686" s="485"/>
      <c r="F2686" s="485"/>
    </row>
    <row r="2687" spans="1:6">
      <c r="A2687" s="482"/>
      <c r="B2687" s="485"/>
      <c r="C2687" s="485"/>
      <c r="D2687" s="483"/>
      <c r="E2687" s="485"/>
      <c r="F2687" s="485"/>
    </row>
    <row r="2688" spans="1:6">
      <c r="A2688" s="482"/>
      <c r="B2688" s="485"/>
      <c r="C2688" s="485"/>
      <c r="D2688" s="483"/>
      <c r="E2688" s="485"/>
      <c r="F2688" s="485"/>
    </row>
    <row r="2689" spans="1:6">
      <c r="A2689" s="482"/>
      <c r="B2689" s="485"/>
      <c r="C2689" s="485"/>
      <c r="D2689" s="483"/>
      <c r="E2689" s="485"/>
      <c r="F2689" s="485"/>
    </row>
    <row r="2690" spans="1:6">
      <c r="A2690" s="482"/>
      <c r="B2690" s="485"/>
      <c r="C2690" s="485"/>
      <c r="D2690" s="483"/>
      <c r="E2690" s="485"/>
      <c r="F2690" s="485"/>
    </row>
    <row r="2691" spans="1:6">
      <c r="A2691" s="482"/>
      <c r="B2691" s="485"/>
      <c r="C2691" s="485"/>
      <c r="D2691" s="483"/>
      <c r="E2691" s="485"/>
      <c r="F2691" s="485"/>
    </row>
    <row r="2692" spans="1:6">
      <c r="A2692" s="482"/>
      <c r="B2692" s="485"/>
      <c r="C2692" s="485"/>
      <c r="D2692" s="483"/>
      <c r="E2692" s="485"/>
      <c r="F2692" s="485"/>
    </row>
    <row r="2693" spans="1:6">
      <c r="A2693" s="482"/>
      <c r="B2693" s="485"/>
      <c r="C2693" s="485"/>
      <c r="D2693" s="483"/>
      <c r="E2693" s="485"/>
      <c r="F2693" s="485"/>
    </row>
    <row r="2694" spans="1:6">
      <c r="A2694" s="482"/>
      <c r="B2694" s="485"/>
      <c r="C2694" s="485"/>
      <c r="D2694" s="483"/>
      <c r="E2694" s="485"/>
      <c r="F2694" s="485"/>
    </row>
    <row r="2695" spans="1:6">
      <c r="A2695" s="482"/>
      <c r="B2695" s="485"/>
      <c r="C2695" s="485"/>
      <c r="D2695" s="483"/>
      <c r="E2695" s="485"/>
      <c r="F2695" s="485"/>
    </row>
    <row r="2696" spans="1:6">
      <c r="A2696" s="482"/>
      <c r="B2696" s="485"/>
      <c r="C2696" s="485"/>
      <c r="D2696" s="483"/>
      <c r="E2696" s="485"/>
      <c r="F2696" s="485"/>
    </row>
    <row r="2697" spans="1:6">
      <c r="A2697" s="482"/>
      <c r="B2697" s="485"/>
      <c r="C2697" s="485"/>
      <c r="D2697" s="483"/>
      <c r="E2697" s="485"/>
      <c r="F2697" s="485"/>
    </row>
    <row r="2698" spans="1:6">
      <c r="A2698" s="482"/>
      <c r="B2698" s="485"/>
      <c r="C2698" s="485"/>
      <c r="D2698" s="483"/>
      <c r="E2698" s="485"/>
      <c r="F2698" s="485"/>
    </row>
    <row r="2699" spans="1:6">
      <c r="A2699" s="482"/>
      <c r="B2699" s="485"/>
      <c r="C2699" s="485"/>
      <c r="D2699" s="483"/>
      <c r="E2699" s="485"/>
      <c r="F2699" s="485"/>
    </row>
    <row r="2700" spans="1:6">
      <c r="A2700" s="482"/>
      <c r="B2700" s="485"/>
      <c r="C2700" s="485"/>
      <c r="D2700" s="483"/>
      <c r="E2700" s="485"/>
      <c r="F2700" s="485"/>
    </row>
    <row r="2701" spans="1:6">
      <c r="A2701" s="482"/>
      <c r="B2701" s="485"/>
      <c r="C2701" s="485"/>
      <c r="D2701" s="483"/>
      <c r="E2701" s="485"/>
      <c r="F2701" s="485"/>
    </row>
    <row r="2702" spans="1:6">
      <c r="A2702" s="482"/>
      <c r="B2702" s="485"/>
      <c r="C2702" s="485"/>
      <c r="D2702" s="483"/>
      <c r="E2702" s="485"/>
      <c r="F2702" s="485"/>
    </row>
    <row r="2703" spans="1:6">
      <c r="A2703" s="482"/>
      <c r="B2703" s="485"/>
      <c r="C2703" s="485"/>
      <c r="D2703" s="483"/>
      <c r="E2703" s="485"/>
      <c r="F2703" s="485"/>
    </row>
    <row r="2704" spans="1:6">
      <c r="A2704" s="482"/>
      <c r="B2704" s="485"/>
      <c r="C2704" s="485"/>
      <c r="D2704" s="483"/>
      <c r="E2704" s="485"/>
      <c r="F2704" s="485"/>
    </row>
    <row r="2705" spans="1:6">
      <c r="A2705" s="482"/>
      <c r="B2705" s="485"/>
      <c r="C2705" s="485"/>
      <c r="D2705" s="483"/>
      <c r="E2705" s="485"/>
      <c r="F2705" s="485"/>
    </row>
    <row r="2706" spans="1:6">
      <c r="A2706" s="482"/>
      <c r="B2706" s="485"/>
      <c r="C2706" s="485"/>
      <c r="D2706" s="483"/>
      <c r="E2706" s="485"/>
      <c r="F2706" s="485"/>
    </row>
    <row r="2707" spans="1:6">
      <c r="A2707" s="482"/>
      <c r="B2707" s="485"/>
      <c r="C2707" s="485"/>
      <c r="D2707" s="483"/>
      <c r="E2707" s="485"/>
      <c r="F2707" s="485"/>
    </row>
    <row r="2708" spans="1:6">
      <c r="A2708" s="482"/>
      <c r="B2708" s="485"/>
      <c r="C2708" s="485"/>
      <c r="D2708" s="483"/>
      <c r="E2708" s="485"/>
      <c r="F2708" s="485"/>
    </row>
    <row r="2709" spans="1:6">
      <c r="A2709" s="482"/>
      <c r="B2709" s="485"/>
      <c r="C2709" s="485"/>
      <c r="D2709" s="483"/>
      <c r="E2709" s="485"/>
      <c r="F2709" s="485"/>
    </row>
    <row r="2710" spans="1:6">
      <c r="A2710" s="482"/>
      <c r="B2710" s="485"/>
      <c r="C2710" s="485"/>
      <c r="D2710" s="483"/>
      <c r="E2710" s="485"/>
      <c r="F2710" s="485"/>
    </row>
    <row r="2711" spans="1:6">
      <c r="A2711" s="482"/>
      <c r="B2711" s="485"/>
      <c r="C2711" s="485"/>
      <c r="D2711" s="483"/>
      <c r="E2711" s="485"/>
      <c r="F2711" s="485"/>
    </row>
    <row r="2712" spans="1:6">
      <c r="A2712" s="482"/>
      <c r="B2712" s="485"/>
      <c r="C2712" s="485"/>
      <c r="D2712" s="483"/>
      <c r="E2712" s="485"/>
      <c r="F2712" s="485"/>
    </row>
    <row r="2713" spans="1:6">
      <c r="A2713" s="482"/>
      <c r="B2713" s="485"/>
      <c r="C2713" s="485"/>
      <c r="D2713" s="483"/>
      <c r="E2713" s="485"/>
      <c r="F2713" s="485"/>
    </row>
    <row r="2714" spans="1:6">
      <c r="A2714" s="482"/>
      <c r="B2714" s="485"/>
      <c r="C2714" s="485"/>
      <c r="D2714" s="483"/>
      <c r="E2714" s="485"/>
      <c r="F2714" s="485"/>
    </row>
    <row r="2715" spans="1:6">
      <c r="A2715" s="482"/>
      <c r="B2715" s="485"/>
      <c r="C2715" s="485"/>
      <c r="D2715" s="483"/>
      <c r="E2715" s="485"/>
      <c r="F2715" s="485"/>
    </row>
    <row r="2716" spans="1:6">
      <c r="A2716" s="482"/>
      <c r="B2716" s="485"/>
      <c r="C2716" s="485"/>
      <c r="D2716" s="483"/>
      <c r="E2716" s="485"/>
      <c r="F2716" s="485"/>
    </row>
    <row r="2717" spans="1:6">
      <c r="A2717" s="482"/>
      <c r="B2717" s="485"/>
      <c r="C2717" s="485"/>
      <c r="D2717" s="483"/>
      <c r="E2717" s="485"/>
      <c r="F2717" s="485"/>
    </row>
    <row r="2718" spans="1:6">
      <c r="A2718" s="482"/>
      <c r="B2718" s="485"/>
      <c r="C2718" s="485"/>
      <c r="D2718" s="483"/>
      <c r="E2718" s="485"/>
      <c r="F2718" s="485"/>
    </row>
    <row r="2719" spans="1:6">
      <c r="A2719" s="482"/>
      <c r="B2719" s="485"/>
      <c r="C2719" s="485"/>
      <c r="D2719" s="483"/>
      <c r="E2719" s="485"/>
      <c r="F2719" s="485"/>
    </row>
    <row r="2720" spans="1:6">
      <c r="A2720" s="482"/>
      <c r="B2720" s="485"/>
      <c r="C2720" s="485"/>
      <c r="D2720" s="483"/>
      <c r="E2720" s="485"/>
      <c r="F2720" s="485"/>
    </row>
    <row r="2721" spans="1:6">
      <c r="A2721" s="482"/>
      <c r="B2721" s="485"/>
      <c r="C2721" s="485"/>
      <c r="D2721" s="483"/>
      <c r="E2721" s="485"/>
      <c r="F2721" s="485"/>
    </row>
    <row r="2722" spans="1:6">
      <c r="A2722" s="482"/>
      <c r="B2722" s="485"/>
      <c r="C2722" s="485"/>
      <c r="D2722" s="483"/>
      <c r="E2722" s="485"/>
      <c r="F2722" s="485"/>
    </row>
    <row r="2723" spans="1:6">
      <c r="A2723" s="482"/>
      <c r="B2723" s="485"/>
      <c r="C2723" s="485"/>
      <c r="D2723" s="483"/>
      <c r="E2723" s="485"/>
      <c r="F2723" s="485"/>
    </row>
    <row r="2724" spans="1:6">
      <c r="A2724" s="482"/>
      <c r="B2724" s="485"/>
      <c r="C2724" s="485"/>
      <c r="D2724" s="483"/>
      <c r="E2724" s="485"/>
      <c r="F2724" s="485"/>
    </row>
    <row r="2725" spans="1:6">
      <c r="A2725" s="482"/>
      <c r="B2725" s="485"/>
      <c r="C2725" s="485"/>
      <c r="D2725" s="483"/>
      <c r="E2725" s="485"/>
      <c r="F2725" s="485"/>
    </row>
    <row r="2726" spans="1:6">
      <c r="A2726" s="482"/>
      <c r="B2726" s="484"/>
      <c r="C2726" s="484"/>
      <c r="D2726" s="483"/>
      <c r="E2726" s="484"/>
      <c r="F2726" s="484"/>
    </row>
    <row r="2727" spans="1:6">
      <c r="A2727" s="482"/>
      <c r="B2727" s="485"/>
      <c r="C2727" s="485"/>
      <c r="D2727" s="483"/>
      <c r="E2727" s="485"/>
      <c r="F2727" s="485"/>
    </row>
    <row r="2728" spans="1:6">
      <c r="A2728" s="482"/>
      <c r="B2728" s="485"/>
      <c r="C2728" s="485"/>
      <c r="D2728" s="483"/>
      <c r="E2728" s="485"/>
      <c r="F2728" s="485"/>
    </row>
    <row r="2729" spans="1:6">
      <c r="A2729" s="482"/>
      <c r="B2729" s="485"/>
      <c r="C2729" s="485"/>
      <c r="D2729" s="483"/>
      <c r="E2729" s="485"/>
      <c r="F2729" s="485"/>
    </row>
    <row r="2730" spans="1:6">
      <c r="A2730" s="482"/>
      <c r="B2730" s="485"/>
      <c r="C2730" s="485"/>
      <c r="D2730" s="483"/>
      <c r="E2730" s="485"/>
      <c r="F2730" s="485"/>
    </row>
    <row r="2731" spans="1:6">
      <c r="A2731" s="482"/>
      <c r="B2731" s="485"/>
      <c r="C2731" s="485"/>
      <c r="D2731" s="485"/>
      <c r="E2731" s="485"/>
      <c r="F2731" s="485"/>
    </row>
    <row r="2732" spans="1:6">
      <c r="A2732" s="482"/>
      <c r="B2732" s="485"/>
      <c r="C2732" s="485"/>
      <c r="D2732" s="485"/>
      <c r="E2732" s="485"/>
      <c r="F2732" s="485"/>
    </row>
    <row r="2733" spans="1:6">
      <c r="A2733" s="482"/>
      <c r="B2733" s="485"/>
      <c r="C2733" s="193"/>
      <c r="D2733" s="485"/>
      <c r="E2733" s="485"/>
      <c r="F2733" s="485"/>
    </row>
    <row r="2734" spans="1:6">
      <c r="A2734" s="482"/>
      <c r="B2734" s="485"/>
      <c r="C2734" s="485"/>
      <c r="D2734" s="485"/>
      <c r="E2734" s="485"/>
      <c r="F2734" s="485"/>
    </row>
    <row r="2735" spans="1:6">
      <c r="A2735" s="482"/>
      <c r="B2735" s="485"/>
      <c r="C2735" s="485"/>
      <c r="D2735" s="485"/>
      <c r="E2735" s="485"/>
      <c r="F2735" s="485"/>
    </row>
    <row r="2736" spans="1:6">
      <c r="A2736" s="482"/>
      <c r="B2736" s="485"/>
      <c r="C2736" s="485"/>
      <c r="D2736" s="485"/>
      <c r="E2736" s="485"/>
      <c r="F2736" s="485"/>
    </row>
    <row r="2737" spans="1:6">
      <c r="A2737" s="482"/>
      <c r="B2737" s="485"/>
      <c r="C2737" s="485"/>
      <c r="D2737" s="485"/>
      <c r="E2737" s="485"/>
      <c r="F2737" s="485"/>
    </row>
    <row r="2738" spans="1:6">
      <c r="A2738" s="482"/>
      <c r="B2738" s="485"/>
      <c r="C2738" s="485"/>
      <c r="D2738" s="483"/>
      <c r="E2738" s="485"/>
      <c r="F2738" s="485"/>
    </row>
    <row r="2739" spans="1:6">
      <c r="A2739" s="482"/>
      <c r="B2739" s="485"/>
      <c r="C2739" s="485"/>
      <c r="D2739" s="483"/>
      <c r="E2739" s="485"/>
      <c r="F2739" s="485"/>
    </row>
    <row r="2740" spans="1:6">
      <c r="A2740" s="482"/>
      <c r="B2740" s="485"/>
      <c r="C2740" s="485"/>
      <c r="D2740" s="483"/>
      <c r="E2740" s="485"/>
      <c r="F2740" s="485"/>
    </row>
    <row r="2741" spans="1:6">
      <c r="A2741" s="482"/>
      <c r="B2741" s="485"/>
      <c r="C2741" s="485"/>
      <c r="D2741" s="483"/>
      <c r="E2741" s="485"/>
      <c r="F2741" s="485"/>
    </row>
    <row r="2742" spans="1:6">
      <c r="A2742" s="482"/>
      <c r="B2742" s="485"/>
      <c r="C2742" s="485"/>
      <c r="D2742" s="483"/>
      <c r="E2742" s="485"/>
      <c r="F2742" s="485"/>
    </row>
    <row r="2743" spans="1:6">
      <c r="A2743" s="482"/>
      <c r="B2743" s="485"/>
      <c r="C2743" s="485"/>
      <c r="D2743" s="485"/>
      <c r="E2743" s="485"/>
      <c r="F2743" s="485"/>
    </row>
    <row r="2744" spans="1:6">
      <c r="A2744" s="482"/>
      <c r="B2744" s="485"/>
      <c r="C2744" s="485"/>
      <c r="D2744" s="485"/>
      <c r="E2744" s="485"/>
      <c r="F2744" s="485"/>
    </row>
    <row r="2745" spans="1:6">
      <c r="A2745" s="482"/>
      <c r="B2745" s="485"/>
      <c r="C2745" s="485"/>
      <c r="D2745" s="485"/>
      <c r="E2745" s="485"/>
      <c r="F2745" s="485"/>
    </row>
    <row r="2746" spans="1:6">
      <c r="A2746" s="482"/>
      <c r="B2746" s="485"/>
      <c r="C2746" s="485"/>
      <c r="D2746" s="485"/>
      <c r="E2746" s="485"/>
      <c r="F2746" s="485"/>
    </row>
    <row r="2747" spans="1:6">
      <c r="A2747" s="482"/>
      <c r="B2747" s="485"/>
      <c r="C2747" s="485"/>
      <c r="D2747" s="485"/>
      <c r="E2747" s="485"/>
      <c r="F2747" s="485"/>
    </row>
    <row r="2748" spans="1:6">
      <c r="A2748" s="482"/>
      <c r="B2748" s="485"/>
      <c r="C2748" s="485"/>
      <c r="D2748" s="485"/>
      <c r="E2748" s="485"/>
      <c r="F2748" s="485"/>
    </row>
    <row r="2749" spans="1:6">
      <c r="A2749" s="482"/>
      <c r="B2749" s="485"/>
      <c r="C2749" s="485"/>
      <c r="D2749" s="485"/>
      <c r="E2749" s="485"/>
      <c r="F2749" s="485"/>
    </row>
    <row r="2750" spans="1:6">
      <c r="A2750" s="482"/>
      <c r="B2750" s="485"/>
      <c r="C2750" s="485"/>
      <c r="D2750" s="483"/>
      <c r="E2750" s="485"/>
      <c r="F2750" s="485"/>
    </row>
    <row r="2751" spans="1:6">
      <c r="A2751" s="482"/>
      <c r="B2751" s="485"/>
      <c r="C2751" s="485"/>
      <c r="D2751" s="483"/>
      <c r="E2751" s="485"/>
      <c r="F2751" s="485"/>
    </row>
    <row r="2752" spans="1:6">
      <c r="A2752" s="482"/>
      <c r="B2752" s="485"/>
      <c r="C2752" s="485"/>
      <c r="D2752" s="483"/>
      <c r="E2752" s="485"/>
      <c r="F2752" s="485"/>
    </row>
    <row r="2753" spans="1:6">
      <c r="A2753" s="482"/>
      <c r="B2753" s="485"/>
      <c r="C2753" s="485"/>
      <c r="D2753" s="483"/>
      <c r="E2753" s="485"/>
      <c r="F2753" s="485"/>
    </row>
    <row r="2754" spans="1:6">
      <c r="A2754" s="482"/>
      <c r="B2754" s="485"/>
      <c r="C2754" s="485"/>
      <c r="D2754" s="483"/>
      <c r="E2754" s="485"/>
      <c r="F2754" s="485"/>
    </row>
    <row r="2755" spans="1:6">
      <c r="A2755" s="482"/>
      <c r="B2755" s="485"/>
      <c r="C2755" s="485"/>
      <c r="D2755" s="485"/>
      <c r="E2755" s="485"/>
      <c r="F2755" s="485"/>
    </row>
    <row r="2756" spans="1:6">
      <c r="A2756" s="482"/>
      <c r="B2756" s="485"/>
      <c r="C2756" s="485"/>
      <c r="D2756" s="485"/>
      <c r="E2756" s="485"/>
      <c r="F2756" s="485"/>
    </row>
    <row r="2757" spans="1:6">
      <c r="A2757" s="482"/>
      <c r="B2757" s="485"/>
      <c r="C2757" s="485"/>
      <c r="D2757" s="485"/>
      <c r="E2757" s="485"/>
      <c r="F2757" s="485"/>
    </row>
    <row r="2758" spans="1:6">
      <c r="A2758" s="482"/>
      <c r="B2758" s="485"/>
      <c r="C2758" s="485"/>
      <c r="D2758" s="485"/>
      <c r="E2758" s="485"/>
      <c r="F2758" s="485"/>
    </row>
    <row r="2759" spans="1:6">
      <c r="A2759" s="482"/>
      <c r="B2759" s="485"/>
      <c r="C2759" s="485"/>
      <c r="D2759" s="485"/>
      <c r="E2759" s="485"/>
      <c r="F2759" s="485"/>
    </row>
    <row r="2760" spans="1:6">
      <c r="A2760" s="482"/>
      <c r="B2760" s="485"/>
      <c r="C2760" s="485"/>
      <c r="D2760" s="485"/>
      <c r="E2760" s="485"/>
      <c r="F2760" s="485"/>
    </row>
    <row r="2761" spans="1:6">
      <c r="A2761" s="482"/>
      <c r="B2761" s="485"/>
      <c r="C2761" s="485"/>
      <c r="D2761" s="485"/>
      <c r="E2761" s="485"/>
      <c r="F2761" s="485"/>
    </row>
    <row r="2762" spans="1:6">
      <c r="A2762" s="482"/>
      <c r="B2762" s="485"/>
      <c r="C2762" s="485"/>
      <c r="D2762" s="483"/>
      <c r="E2762" s="485"/>
      <c r="F2762" s="485"/>
    </row>
    <row r="2763" spans="1:6">
      <c r="A2763" s="482"/>
      <c r="B2763" s="485"/>
      <c r="C2763" s="485"/>
      <c r="D2763" s="483"/>
      <c r="E2763" s="485"/>
      <c r="F2763" s="485"/>
    </row>
    <row r="2764" spans="1:6">
      <c r="A2764" s="482"/>
      <c r="B2764" s="485"/>
      <c r="C2764" s="485"/>
      <c r="D2764" s="483"/>
      <c r="E2764" s="485"/>
      <c r="F2764" s="485"/>
    </row>
    <row r="2765" spans="1:6">
      <c r="A2765" s="482"/>
      <c r="B2765" s="485"/>
      <c r="C2765" s="485"/>
      <c r="D2765" s="483"/>
      <c r="E2765" s="485"/>
      <c r="F2765" s="485"/>
    </row>
    <row r="2766" spans="1:6">
      <c r="A2766" s="482"/>
      <c r="B2766" s="485"/>
      <c r="C2766" s="485"/>
      <c r="D2766" s="483"/>
      <c r="E2766" s="485"/>
      <c r="F2766" s="485"/>
    </row>
    <row r="2767" spans="1:6">
      <c r="A2767" s="482"/>
      <c r="B2767" s="485"/>
      <c r="C2767" s="485"/>
      <c r="D2767" s="485"/>
      <c r="E2767" s="485"/>
      <c r="F2767" s="485"/>
    </row>
    <row r="2768" spans="1:6">
      <c r="A2768" s="482"/>
      <c r="B2768" s="485"/>
      <c r="C2768" s="485"/>
      <c r="D2768" s="485"/>
      <c r="E2768" s="485"/>
      <c r="F2768" s="485"/>
    </row>
    <row r="2769" spans="1:6">
      <c r="A2769" s="482"/>
      <c r="B2769" s="485"/>
      <c r="C2769" s="485"/>
      <c r="D2769" s="485"/>
      <c r="E2769" s="485"/>
      <c r="F2769" s="485"/>
    </row>
    <row r="2770" spans="1:6">
      <c r="A2770" s="482"/>
      <c r="B2770" s="485"/>
      <c r="C2770" s="485"/>
      <c r="D2770" s="485"/>
      <c r="E2770" s="485"/>
      <c r="F2770" s="485"/>
    </row>
    <row r="2771" spans="1:6">
      <c r="A2771" s="482"/>
      <c r="B2771" s="485"/>
      <c r="C2771" s="485"/>
      <c r="D2771" s="485"/>
      <c r="E2771" s="485"/>
      <c r="F2771" s="485"/>
    </row>
    <row r="2772" spans="1:6">
      <c r="A2772" s="482"/>
      <c r="B2772" s="485"/>
      <c r="C2772" s="485"/>
      <c r="D2772" s="485"/>
      <c r="E2772" s="485"/>
      <c r="F2772" s="485"/>
    </row>
    <row r="2773" spans="1:6">
      <c r="A2773" s="482"/>
      <c r="B2773" s="485"/>
      <c r="C2773" s="485"/>
      <c r="D2773" s="485"/>
      <c r="E2773" s="485"/>
      <c r="F2773" s="485"/>
    </row>
    <row r="2774" spans="1:6">
      <c r="A2774" s="482"/>
      <c r="B2774" s="485"/>
      <c r="C2774" s="485"/>
      <c r="D2774" s="483"/>
      <c r="E2774" s="485"/>
      <c r="F2774" s="485"/>
    </row>
    <row r="2775" spans="1:6">
      <c r="A2775" s="482"/>
      <c r="B2775" s="485"/>
      <c r="C2775" s="485"/>
      <c r="D2775" s="483"/>
      <c r="E2775" s="485"/>
      <c r="F2775" s="485"/>
    </row>
    <row r="2776" spans="1:6">
      <c r="A2776" s="482"/>
      <c r="B2776" s="485"/>
      <c r="C2776" s="485"/>
      <c r="D2776" s="483"/>
      <c r="E2776" s="485"/>
      <c r="F2776" s="485"/>
    </row>
    <row r="2777" spans="1:6">
      <c r="A2777" s="482"/>
      <c r="B2777" s="485"/>
      <c r="C2777" s="485"/>
      <c r="D2777" s="483"/>
      <c r="E2777" s="485"/>
      <c r="F2777" s="485"/>
    </row>
    <row r="2778" spans="1:6">
      <c r="A2778" s="482"/>
      <c r="B2778" s="485"/>
      <c r="C2778" s="485"/>
      <c r="D2778" s="483"/>
      <c r="E2778" s="485"/>
      <c r="F2778" s="485"/>
    </row>
    <row r="2779" spans="1:6">
      <c r="A2779" s="482"/>
      <c r="B2779" s="485"/>
      <c r="C2779" s="485"/>
      <c r="D2779" s="485"/>
      <c r="E2779" s="485"/>
      <c r="F2779" s="485"/>
    </row>
    <row r="2780" spans="1:6">
      <c r="A2780" s="482"/>
      <c r="B2780" s="485"/>
      <c r="C2780" s="485"/>
      <c r="D2780" s="485"/>
      <c r="E2780" s="485"/>
      <c r="F2780" s="485"/>
    </row>
    <row r="2781" spans="1:6">
      <c r="A2781" s="482"/>
      <c r="B2781" s="485"/>
      <c r="C2781" s="485"/>
      <c r="D2781" s="485"/>
      <c r="E2781" s="485"/>
      <c r="F2781" s="485"/>
    </row>
    <row r="2782" spans="1:6">
      <c r="A2782" s="482"/>
      <c r="B2782" s="485"/>
      <c r="C2782" s="485"/>
      <c r="D2782" s="485"/>
      <c r="E2782" s="485"/>
      <c r="F2782" s="485"/>
    </row>
    <row r="2783" spans="1:6">
      <c r="A2783" s="482"/>
      <c r="B2783" s="485"/>
      <c r="C2783" s="485"/>
      <c r="D2783" s="485"/>
      <c r="E2783" s="485"/>
      <c r="F2783" s="485"/>
    </row>
    <row r="2784" spans="1:6">
      <c r="A2784" s="482"/>
      <c r="B2784" s="485"/>
      <c r="C2784" s="485"/>
      <c r="D2784" s="485"/>
      <c r="E2784" s="485"/>
      <c r="F2784" s="485"/>
    </row>
    <row r="2785" spans="1:6">
      <c r="A2785" s="482"/>
      <c r="B2785" s="485"/>
      <c r="C2785" s="485"/>
      <c r="D2785" s="485"/>
      <c r="E2785" s="485"/>
      <c r="F2785" s="485"/>
    </row>
    <row r="2786" spans="1:6">
      <c r="A2786" s="482"/>
      <c r="B2786" s="485"/>
      <c r="C2786" s="485"/>
      <c r="D2786" s="483"/>
      <c r="E2786" s="485"/>
      <c r="F2786" s="485"/>
    </row>
    <row r="2787" spans="1:6">
      <c r="A2787" s="482"/>
      <c r="B2787" s="485"/>
      <c r="C2787" s="485"/>
      <c r="D2787" s="483"/>
      <c r="E2787" s="485"/>
      <c r="F2787" s="485"/>
    </row>
    <row r="2788" spans="1:6">
      <c r="A2788" s="482"/>
      <c r="B2788" s="485"/>
      <c r="C2788" s="485"/>
      <c r="D2788" s="483"/>
      <c r="E2788" s="485"/>
      <c r="F2788" s="485"/>
    </row>
    <row r="2789" spans="1:6">
      <c r="A2789" s="482"/>
      <c r="B2789" s="485"/>
      <c r="C2789" s="485"/>
      <c r="D2789" s="483"/>
      <c r="E2789" s="485"/>
      <c r="F2789" s="485"/>
    </row>
    <row r="2790" spans="1:6">
      <c r="A2790" s="482"/>
      <c r="B2790" s="485"/>
      <c r="C2790" s="485"/>
      <c r="D2790" s="483"/>
      <c r="E2790" s="485"/>
      <c r="F2790" s="485"/>
    </row>
    <row r="2791" spans="1:6">
      <c r="A2791" s="482"/>
      <c r="B2791" s="485"/>
      <c r="C2791" s="485"/>
      <c r="D2791" s="485"/>
      <c r="E2791" s="485"/>
      <c r="F2791" s="485"/>
    </row>
    <row r="2792" spans="1:6">
      <c r="A2792" s="482"/>
      <c r="B2792" s="485"/>
      <c r="C2792" s="485"/>
      <c r="D2792" s="485"/>
      <c r="E2792" s="485"/>
      <c r="F2792" s="485"/>
    </row>
    <row r="2793" spans="1:6">
      <c r="A2793" s="482"/>
      <c r="B2793" s="485"/>
      <c r="C2793" s="485"/>
      <c r="D2793" s="485"/>
      <c r="E2793" s="485"/>
      <c r="F2793" s="485"/>
    </row>
    <row r="2794" spans="1:6">
      <c r="A2794" s="482"/>
      <c r="B2794" s="485"/>
      <c r="C2794" s="485"/>
      <c r="D2794" s="485"/>
      <c r="E2794" s="485"/>
      <c r="F2794" s="485"/>
    </row>
    <row r="2795" spans="1:6">
      <c r="A2795" s="482"/>
      <c r="B2795" s="485"/>
      <c r="C2795" s="485"/>
      <c r="D2795" s="485"/>
      <c r="E2795" s="485"/>
      <c r="F2795" s="485"/>
    </row>
    <row r="2796" spans="1:6">
      <c r="A2796" s="482"/>
      <c r="B2796" s="485"/>
      <c r="C2796" s="485"/>
      <c r="D2796" s="485"/>
      <c r="E2796" s="485"/>
      <c r="F2796" s="485"/>
    </row>
    <row r="2797" spans="1:6">
      <c r="A2797" s="482"/>
      <c r="B2797" s="485"/>
      <c r="C2797" s="485"/>
      <c r="D2797" s="485"/>
      <c r="E2797" s="485"/>
      <c r="F2797" s="485"/>
    </row>
    <row r="2798" spans="1:6">
      <c r="A2798" s="482"/>
      <c r="B2798" s="485"/>
      <c r="C2798" s="485"/>
      <c r="D2798" s="483"/>
      <c r="E2798" s="485"/>
      <c r="F2798" s="485"/>
    </row>
    <row r="2799" spans="1:6">
      <c r="A2799" s="482"/>
      <c r="B2799" s="485"/>
      <c r="C2799" s="485"/>
      <c r="D2799" s="483"/>
      <c r="E2799" s="485"/>
      <c r="F2799" s="485"/>
    </row>
    <row r="2800" spans="1:6">
      <c r="A2800" s="482"/>
      <c r="B2800" s="485"/>
      <c r="C2800" s="485"/>
      <c r="D2800" s="483"/>
      <c r="E2800" s="485"/>
      <c r="F2800" s="485"/>
    </row>
    <row r="2801" spans="1:6">
      <c r="A2801" s="482"/>
      <c r="B2801" s="485"/>
      <c r="C2801" s="485"/>
      <c r="D2801" s="483"/>
      <c r="E2801" s="485"/>
      <c r="F2801" s="485"/>
    </row>
    <row r="2802" spans="1:6">
      <c r="A2802" s="482"/>
      <c r="B2802" s="485"/>
      <c r="C2802" s="485"/>
      <c r="D2802" s="483"/>
      <c r="E2802" s="485"/>
      <c r="F2802" s="485"/>
    </row>
    <row r="2803" spans="1:6">
      <c r="A2803" s="482"/>
      <c r="B2803" s="485"/>
      <c r="C2803" s="485"/>
      <c r="D2803" s="485"/>
      <c r="E2803" s="485"/>
      <c r="F2803" s="485"/>
    </row>
    <row r="2804" spans="1:6">
      <c r="A2804" s="482"/>
      <c r="B2804" s="485"/>
      <c r="C2804" s="485"/>
      <c r="D2804" s="485"/>
      <c r="E2804" s="485"/>
      <c r="F2804" s="485"/>
    </row>
    <row r="2805" spans="1:6">
      <c r="A2805" s="482"/>
      <c r="B2805" s="485"/>
      <c r="C2805" s="485"/>
      <c r="D2805" s="485"/>
      <c r="E2805" s="485"/>
      <c r="F2805" s="485"/>
    </row>
    <row r="2806" spans="1:6">
      <c r="A2806" s="482"/>
      <c r="B2806" s="485"/>
      <c r="C2806" s="485"/>
      <c r="D2806" s="485"/>
      <c r="E2806" s="485"/>
      <c r="F2806" s="485"/>
    </row>
    <row r="2807" spans="1:6">
      <c r="A2807" s="482"/>
      <c r="B2807" s="485"/>
      <c r="C2807" s="485"/>
      <c r="D2807" s="485"/>
      <c r="E2807" s="485"/>
      <c r="F2807" s="485"/>
    </row>
    <row r="2808" spans="1:6">
      <c r="A2808" s="482"/>
      <c r="B2808" s="485"/>
      <c r="C2808" s="485"/>
      <c r="D2808" s="485"/>
      <c r="E2808" s="485"/>
      <c r="F2808" s="485"/>
    </row>
    <row r="2809" spans="1:6">
      <c r="A2809" s="482"/>
      <c r="B2809" s="485"/>
      <c r="C2809" s="485"/>
      <c r="D2809" s="485"/>
      <c r="E2809" s="485"/>
      <c r="F2809" s="485"/>
    </row>
    <row r="2810" spans="1:6">
      <c r="A2810" s="482"/>
      <c r="B2810" s="485"/>
      <c r="C2810" s="485"/>
      <c r="D2810" s="483"/>
      <c r="E2810" s="485"/>
      <c r="F2810" s="485"/>
    </row>
    <row r="2811" spans="1:6">
      <c r="A2811" s="482"/>
      <c r="B2811" s="485"/>
      <c r="C2811" s="485"/>
      <c r="D2811" s="483"/>
      <c r="E2811" s="485"/>
      <c r="F2811" s="485"/>
    </row>
    <row r="2812" spans="1:6">
      <c r="A2812" s="482"/>
      <c r="B2812" s="485"/>
      <c r="C2812" s="485"/>
      <c r="D2812" s="483"/>
      <c r="E2812" s="485"/>
      <c r="F2812" s="485"/>
    </row>
    <row r="2813" spans="1:6">
      <c r="A2813" s="482"/>
      <c r="B2813" s="485"/>
      <c r="C2813" s="485"/>
      <c r="D2813" s="483"/>
      <c r="E2813" s="485"/>
      <c r="F2813" s="485"/>
    </row>
    <row r="2814" spans="1:6">
      <c r="A2814" s="482"/>
      <c r="B2814" s="485"/>
      <c r="C2814" s="485"/>
      <c r="D2814" s="483"/>
      <c r="E2814" s="485"/>
      <c r="F2814" s="485"/>
    </row>
    <row r="2815" spans="1:6">
      <c r="A2815" s="482"/>
      <c r="B2815" s="485"/>
      <c r="C2815" s="485"/>
      <c r="D2815" s="485"/>
      <c r="E2815" s="485"/>
      <c r="F2815" s="485"/>
    </row>
    <row r="2816" spans="1:6">
      <c r="A2816" s="482"/>
      <c r="B2816" s="485"/>
      <c r="C2816" s="485"/>
      <c r="D2816" s="485"/>
      <c r="E2816" s="485"/>
      <c r="F2816" s="485"/>
    </row>
    <row r="2817" spans="1:6">
      <c r="A2817" s="482"/>
      <c r="B2817" s="485"/>
      <c r="C2817" s="485"/>
      <c r="D2817" s="485"/>
      <c r="E2817" s="485"/>
      <c r="F2817" s="485"/>
    </row>
    <row r="2818" spans="1:6">
      <c r="A2818" s="482"/>
      <c r="B2818" s="485"/>
      <c r="C2818" s="485"/>
      <c r="D2818" s="485"/>
      <c r="E2818" s="485"/>
      <c r="F2818" s="485"/>
    </row>
    <row r="2819" spans="1:6">
      <c r="A2819" s="482"/>
      <c r="B2819" s="485"/>
      <c r="C2819" s="485"/>
      <c r="D2819" s="485"/>
      <c r="E2819" s="485"/>
      <c r="F2819" s="485"/>
    </row>
    <row r="2820" spans="1:6">
      <c r="A2820" s="482"/>
      <c r="B2820" s="485"/>
      <c r="C2820" s="485"/>
      <c r="D2820" s="485"/>
      <c r="E2820" s="485"/>
      <c r="F2820" s="485"/>
    </row>
    <row r="2821" spans="1:6">
      <c r="A2821" s="482"/>
      <c r="B2821" s="485"/>
      <c r="C2821" s="485"/>
      <c r="D2821" s="485"/>
      <c r="E2821" s="485"/>
      <c r="F2821" s="485"/>
    </row>
    <row r="2822" spans="1:6">
      <c r="A2822" s="482"/>
      <c r="B2822" s="485"/>
      <c r="C2822" s="485"/>
      <c r="D2822" s="483"/>
      <c r="E2822" s="485"/>
      <c r="F2822" s="485"/>
    </row>
    <row r="2823" spans="1:6">
      <c r="A2823" s="482"/>
      <c r="B2823" s="485"/>
      <c r="C2823" s="485"/>
      <c r="D2823" s="483"/>
      <c r="E2823" s="485"/>
      <c r="F2823" s="485"/>
    </row>
    <row r="2824" spans="1:6">
      <c r="A2824" s="482"/>
      <c r="B2824" s="485"/>
      <c r="C2824" s="485"/>
      <c r="D2824" s="483"/>
      <c r="E2824" s="485"/>
      <c r="F2824" s="485"/>
    </row>
    <row r="2825" spans="1:6">
      <c r="A2825" s="482"/>
      <c r="B2825" s="485"/>
      <c r="C2825" s="485"/>
      <c r="D2825" s="483"/>
      <c r="E2825" s="485"/>
      <c r="F2825" s="485"/>
    </row>
    <row r="2826" spans="1:6">
      <c r="A2826" s="482"/>
      <c r="B2826" s="485"/>
      <c r="C2826" s="485"/>
      <c r="D2826" s="483"/>
      <c r="E2826" s="485"/>
      <c r="F2826" s="485"/>
    </row>
    <row r="2827" spans="1:6">
      <c r="A2827" s="482"/>
      <c r="B2827" s="485"/>
      <c r="C2827" s="485"/>
      <c r="D2827" s="485"/>
      <c r="E2827" s="485"/>
      <c r="F2827" s="485"/>
    </row>
    <row r="2828" spans="1:6">
      <c r="A2828" s="482"/>
      <c r="B2828" s="485"/>
      <c r="C2828" s="485"/>
      <c r="D2828" s="485"/>
      <c r="E2828" s="485"/>
      <c r="F2828" s="485"/>
    </row>
    <row r="2829" spans="1:6">
      <c r="A2829" s="482"/>
      <c r="B2829" s="485"/>
      <c r="C2829" s="485"/>
      <c r="D2829" s="485"/>
      <c r="E2829" s="485"/>
      <c r="F2829" s="485"/>
    </row>
    <row r="2830" spans="1:6">
      <c r="A2830" s="482"/>
      <c r="B2830" s="485"/>
      <c r="C2830" s="485"/>
      <c r="D2830" s="485"/>
      <c r="E2830" s="485"/>
      <c r="F2830" s="485"/>
    </row>
    <row r="2831" spans="1:6">
      <c r="A2831" s="482"/>
      <c r="B2831" s="485"/>
      <c r="C2831" s="485"/>
      <c r="D2831" s="485"/>
      <c r="E2831" s="485"/>
      <c r="F2831" s="485"/>
    </row>
    <row r="2832" spans="1:6">
      <c r="A2832" s="482"/>
      <c r="B2832" s="485"/>
      <c r="C2832" s="485"/>
      <c r="D2832" s="485"/>
      <c r="E2832" s="485"/>
      <c r="F2832" s="485"/>
    </row>
    <row r="2833" spans="1:6">
      <c r="A2833" s="482"/>
      <c r="B2833" s="485"/>
      <c r="C2833" s="485"/>
      <c r="D2833" s="485"/>
      <c r="E2833" s="485"/>
      <c r="F2833" s="485"/>
    </row>
    <row r="2834" spans="1:6">
      <c r="A2834" s="482"/>
      <c r="B2834" s="485"/>
      <c r="C2834" s="485"/>
      <c r="D2834" s="483"/>
      <c r="E2834" s="485"/>
      <c r="F2834" s="485"/>
    </row>
    <row r="2835" spans="1:6">
      <c r="A2835" s="482"/>
      <c r="B2835" s="485"/>
      <c r="C2835" s="485"/>
      <c r="D2835" s="483"/>
      <c r="E2835" s="485"/>
      <c r="F2835" s="485"/>
    </row>
    <row r="2836" spans="1:6">
      <c r="A2836" s="482"/>
      <c r="B2836" s="485"/>
      <c r="C2836" s="485"/>
      <c r="D2836" s="483"/>
      <c r="E2836" s="485"/>
      <c r="F2836" s="485"/>
    </row>
    <row r="2837" spans="1:6">
      <c r="A2837" s="482"/>
      <c r="B2837" s="485"/>
      <c r="C2837" s="485"/>
      <c r="D2837" s="483"/>
      <c r="E2837" s="485"/>
      <c r="F2837" s="485"/>
    </row>
    <row r="2838" spans="1:6">
      <c r="A2838" s="482"/>
      <c r="B2838" s="485"/>
      <c r="C2838" s="485"/>
      <c r="D2838" s="483"/>
      <c r="E2838" s="485"/>
      <c r="F2838" s="485"/>
    </row>
    <row r="2839" spans="1:6">
      <c r="A2839" s="482"/>
      <c r="B2839" s="485"/>
      <c r="C2839" s="485"/>
      <c r="D2839" s="485"/>
      <c r="E2839" s="485"/>
      <c r="F2839" s="485"/>
    </row>
    <row r="2840" spans="1:6">
      <c r="A2840" s="482"/>
      <c r="B2840" s="485"/>
      <c r="C2840" s="485"/>
      <c r="D2840" s="485"/>
      <c r="E2840" s="485"/>
      <c r="F2840" s="485"/>
    </row>
    <row r="2841" spans="1:6">
      <c r="A2841" s="482"/>
      <c r="B2841" s="485"/>
      <c r="C2841" s="485"/>
      <c r="D2841" s="485"/>
      <c r="E2841" s="485"/>
      <c r="F2841" s="485"/>
    </row>
    <row r="2842" spans="1:6">
      <c r="A2842" s="482"/>
      <c r="B2842" s="485"/>
      <c r="C2842" s="485"/>
      <c r="D2842" s="485"/>
      <c r="E2842" s="485"/>
      <c r="F2842" s="485"/>
    </row>
    <row r="2843" spans="1:6">
      <c r="A2843" s="482"/>
      <c r="B2843" s="485"/>
      <c r="C2843" s="485"/>
      <c r="D2843" s="485"/>
      <c r="E2843" s="485"/>
      <c r="F2843" s="485"/>
    </row>
    <row r="2844" spans="1:6">
      <c r="A2844" s="482"/>
      <c r="B2844" s="485"/>
      <c r="C2844" s="485"/>
      <c r="D2844" s="485"/>
      <c r="E2844" s="485"/>
      <c r="F2844" s="485"/>
    </row>
    <row r="2845" spans="1:6">
      <c r="A2845" s="482"/>
      <c r="B2845" s="485"/>
      <c r="C2845" s="485"/>
      <c r="D2845" s="485"/>
      <c r="E2845" s="485"/>
      <c r="F2845" s="485"/>
    </row>
    <row r="2846" spans="1:6">
      <c r="A2846" s="482"/>
      <c r="B2846" s="485"/>
      <c r="C2846" s="485"/>
      <c r="D2846" s="483"/>
      <c r="E2846" s="485"/>
      <c r="F2846" s="485"/>
    </row>
    <row r="2847" spans="1:6">
      <c r="A2847" s="482"/>
      <c r="B2847" s="485"/>
      <c r="C2847" s="485"/>
      <c r="D2847" s="483"/>
      <c r="E2847" s="485"/>
      <c r="F2847" s="485"/>
    </row>
    <row r="2848" spans="1:6">
      <c r="A2848" s="482"/>
      <c r="B2848" s="485"/>
      <c r="C2848" s="485"/>
      <c r="D2848" s="483"/>
      <c r="E2848" s="485"/>
      <c r="F2848" s="485"/>
    </row>
    <row r="2849" spans="1:6">
      <c r="A2849" s="482"/>
      <c r="B2849" s="485"/>
      <c r="C2849" s="485"/>
      <c r="D2849" s="483"/>
      <c r="E2849" s="485"/>
      <c r="F2849" s="485"/>
    </row>
    <row r="2850" spans="1:6">
      <c r="A2850" s="482"/>
      <c r="B2850" s="485"/>
      <c r="C2850" s="485"/>
      <c r="D2850" s="483"/>
      <c r="E2850" s="485"/>
      <c r="F2850" s="485"/>
    </row>
    <row r="2851" spans="1:6">
      <c r="A2851" s="482"/>
      <c r="B2851" s="485"/>
      <c r="C2851" s="485"/>
      <c r="D2851" s="485"/>
      <c r="E2851" s="485"/>
      <c r="F2851" s="485"/>
    </row>
    <row r="2852" spans="1:6">
      <c r="A2852" s="482"/>
      <c r="B2852" s="485"/>
      <c r="C2852" s="485"/>
      <c r="D2852" s="485"/>
      <c r="E2852" s="485"/>
      <c r="F2852" s="485"/>
    </row>
    <row r="2853" spans="1:6">
      <c r="A2853" s="482"/>
      <c r="B2853" s="485"/>
      <c r="C2853" s="485"/>
      <c r="D2853" s="485"/>
      <c r="E2853" s="485"/>
      <c r="F2853" s="485"/>
    </row>
    <row r="2854" spans="1:6">
      <c r="A2854" s="482"/>
      <c r="B2854" s="485"/>
      <c r="C2854" s="485"/>
      <c r="D2854" s="485"/>
      <c r="E2854" s="485"/>
      <c r="F2854" s="485"/>
    </row>
    <row r="2855" spans="1:6">
      <c r="A2855" s="482"/>
      <c r="B2855" s="485"/>
      <c r="C2855" s="485"/>
      <c r="D2855" s="485"/>
      <c r="E2855" s="485"/>
      <c r="F2855" s="485"/>
    </row>
    <row r="2856" spans="1:6">
      <c r="A2856" s="482"/>
      <c r="B2856" s="485"/>
      <c r="C2856" s="485"/>
      <c r="D2856" s="485"/>
      <c r="E2856" s="485"/>
      <c r="F2856" s="485"/>
    </row>
    <row r="2857" spans="1:6">
      <c r="A2857" s="482"/>
      <c r="B2857" s="485"/>
      <c r="C2857" s="485"/>
      <c r="D2857" s="485"/>
      <c r="E2857" s="485"/>
      <c r="F2857" s="485"/>
    </row>
    <row r="2858" spans="1:6">
      <c r="A2858" s="482"/>
      <c r="B2858" s="485"/>
      <c r="C2858" s="485"/>
      <c r="D2858" s="483"/>
      <c r="E2858" s="485"/>
      <c r="F2858" s="485"/>
    </row>
    <row r="2859" spans="1:6">
      <c r="A2859" s="482"/>
      <c r="B2859" s="485"/>
      <c r="C2859" s="485"/>
      <c r="D2859" s="483"/>
      <c r="E2859" s="485"/>
      <c r="F2859" s="485"/>
    </row>
    <row r="2860" spans="1:6">
      <c r="A2860" s="482"/>
      <c r="B2860" s="485"/>
      <c r="C2860" s="485"/>
      <c r="D2860" s="483"/>
      <c r="E2860" s="485"/>
      <c r="F2860" s="485"/>
    </row>
    <row r="2861" spans="1:6">
      <c r="A2861" s="482"/>
      <c r="B2861" s="485"/>
      <c r="C2861" s="485"/>
      <c r="D2861" s="483"/>
      <c r="E2861" s="485"/>
      <c r="F2861" s="485"/>
    </row>
    <row r="2862" spans="1:6">
      <c r="A2862" s="482"/>
      <c r="B2862" s="485"/>
      <c r="C2862" s="485"/>
      <c r="D2862" s="483"/>
      <c r="E2862" s="485"/>
      <c r="F2862" s="485"/>
    </row>
    <row r="2863" spans="1:6">
      <c r="A2863" s="482"/>
      <c r="B2863" s="485"/>
      <c r="C2863" s="485"/>
      <c r="D2863" s="485"/>
      <c r="E2863" s="485"/>
      <c r="F2863" s="485"/>
    </row>
    <row r="2864" spans="1:6">
      <c r="A2864" s="482"/>
      <c r="B2864" s="485"/>
      <c r="C2864" s="485"/>
      <c r="D2864" s="485"/>
      <c r="E2864" s="485"/>
      <c r="F2864" s="485"/>
    </row>
    <row r="2865" spans="1:6">
      <c r="A2865" s="482"/>
      <c r="B2865" s="485"/>
      <c r="C2865" s="485"/>
      <c r="D2865" s="485"/>
      <c r="E2865" s="485"/>
      <c r="F2865" s="485"/>
    </row>
    <row r="2866" spans="1:6">
      <c r="A2866" s="482"/>
      <c r="B2866" s="485"/>
      <c r="C2866" s="485"/>
      <c r="D2866" s="485"/>
      <c r="E2866" s="485"/>
      <c r="F2866" s="485"/>
    </row>
    <row r="2867" spans="1:6">
      <c r="A2867" s="482"/>
      <c r="B2867" s="485"/>
      <c r="C2867" s="485"/>
      <c r="D2867" s="485"/>
      <c r="E2867" s="485"/>
      <c r="F2867" s="485"/>
    </row>
    <row r="2868" spans="1:6">
      <c r="A2868" s="482"/>
      <c r="B2868" s="485"/>
      <c r="C2868" s="485"/>
      <c r="D2868" s="485"/>
      <c r="E2868" s="485"/>
      <c r="F2868" s="485"/>
    </row>
    <row r="2869" spans="1:6">
      <c r="A2869" s="482"/>
      <c r="B2869" s="485"/>
      <c r="C2869" s="485"/>
      <c r="D2869" s="485"/>
      <c r="E2869" s="485"/>
      <c r="F2869" s="485"/>
    </row>
    <row r="2870" spans="1:6">
      <c r="A2870" s="482"/>
      <c r="B2870" s="485"/>
      <c r="C2870" s="485"/>
      <c r="D2870" s="483"/>
      <c r="E2870" s="485"/>
      <c r="F2870" s="485"/>
    </row>
    <row r="2871" spans="1:6">
      <c r="A2871" s="482"/>
      <c r="B2871" s="485"/>
      <c r="C2871" s="485"/>
      <c r="D2871" s="483"/>
      <c r="E2871" s="485"/>
      <c r="F2871" s="485"/>
    </row>
    <row r="2872" spans="1:6">
      <c r="A2872" s="482"/>
      <c r="B2872" s="485"/>
      <c r="C2872" s="485"/>
      <c r="D2872" s="483"/>
      <c r="E2872" s="485"/>
      <c r="F2872" s="485"/>
    </row>
    <row r="2873" spans="1:6">
      <c r="A2873" s="482"/>
      <c r="B2873" s="485"/>
      <c r="C2873" s="485"/>
      <c r="D2873" s="483"/>
      <c r="E2873" s="485"/>
      <c r="F2873" s="485"/>
    </row>
    <row r="2874" spans="1:6">
      <c r="A2874" s="482"/>
      <c r="B2874" s="485"/>
      <c r="C2874" s="485"/>
      <c r="D2874" s="483"/>
      <c r="E2874" s="485"/>
      <c r="F2874" s="485"/>
    </row>
    <row r="2875" spans="1:6">
      <c r="A2875" s="482"/>
      <c r="B2875" s="485"/>
      <c r="C2875" s="485"/>
      <c r="D2875" s="485"/>
      <c r="E2875" s="485"/>
      <c r="F2875" s="485"/>
    </row>
    <row r="2876" spans="1:6">
      <c r="A2876" s="482"/>
      <c r="B2876" s="485"/>
      <c r="C2876" s="485"/>
      <c r="D2876" s="485"/>
      <c r="E2876" s="485"/>
      <c r="F2876" s="485"/>
    </row>
    <row r="2877" spans="1:6">
      <c r="A2877" s="482"/>
      <c r="B2877" s="485"/>
      <c r="C2877" s="485"/>
      <c r="D2877" s="485"/>
      <c r="E2877" s="485"/>
      <c r="F2877" s="485"/>
    </row>
    <row r="2878" spans="1:6">
      <c r="A2878" s="482"/>
      <c r="B2878" s="485"/>
      <c r="C2878" s="485"/>
      <c r="D2878" s="485"/>
      <c r="E2878" s="485"/>
      <c r="F2878" s="485"/>
    </row>
    <row r="2879" spans="1:6">
      <c r="A2879" s="482"/>
      <c r="B2879" s="485"/>
      <c r="C2879" s="485"/>
      <c r="D2879" s="485"/>
      <c r="E2879" s="485"/>
      <c r="F2879" s="485"/>
    </row>
    <row r="2880" spans="1:6">
      <c r="A2880" s="482"/>
      <c r="B2880" s="485"/>
      <c r="C2880" s="485"/>
      <c r="D2880" s="485"/>
      <c r="E2880" s="485"/>
      <c r="F2880" s="485"/>
    </row>
    <row r="2881" spans="1:6">
      <c r="A2881" s="482"/>
      <c r="B2881" s="485"/>
      <c r="C2881" s="485"/>
      <c r="D2881" s="485"/>
      <c r="E2881" s="485"/>
      <c r="F2881" s="485"/>
    </row>
    <row r="2882" spans="1:6">
      <c r="A2882" s="482"/>
      <c r="B2882" s="485"/>
      <c r="C2882" s="485"/>
      <c r="D2882" s="483"/>
      <c r="E2882" s="485"/>
      <c r="F2882" s="485"/>
    </row>
    <row r="2883" spans="1:6">
      <c r="A2883" s="482"/>
      <c r="B2883" s="485"/>
      <c r="C2883" s="485"/>
      <c r="D2883" s="483"/>
      <c r="E2883" s="485"/>
      <c r="F2883" s="485"/>
    </row>
    <row r="2884" spans="1:6">
      <c r="A2884" s="482"/>
      <c r="B2884" s="485"/>
      <c r="C2884" s="485"/>
      <c r="D2884" s="483"/>
      <c r="E2884" s="485"/>
      <c r="F2884" s="485"/>
    </row>
    <row r="2885" spans="1:6">
      <c r="A2885" s="482"/>
      <c r="B2885" s="485"/>
      <c r="C2885" s="485"/>
      <c r="D2885" s="483"/>
      <c r="E2885" s="485"/>
      <c r="F2885" s="485"/>
    </row>
    <row r="2886" spans="1:6">
      <c r="A2886" s="482"/>
      <c r="B2886" s="485"/>
      <c r="C2886" s="485"/>
      <c r="D2886" s="483"/>
      <c r="E2886" s="485"/>
      <c r="F2886" s="485"/>
    </row>
    <row r="2887" spans="1:6">
      <c r="A2887" s="482"/>
      <c r="B2887" s="485"/>
      <c r="C2887" s="485"/>
      <c r="D2887" s="485"/>
      <c r="E2887" s="485"/>
      <c r="F2887" s="485"/>
    </row>
    <row r="2888" spans="1:6">
      <c r="A2888" s="482"/>
      <c r="B2888" s="485"/>
      <c r="C2888" s="485"/>
      <c r="D2888" s="485"/>
      <c r="E2888" s="485"/>
      <c r="F2888" s="485"/>
    </row>
    <row r="2889" spans="1:6">
      <c r="A2889" s="482"/>
      <c r="B2889" s="485"/>
      <c r="C2889" s="485"/>
      <c r="D2889" s="485"/>
      <c r="E2889" s="485"/>
      <c r="F2889" s="485"/>
    </row>
    <row r="2890" spans="1:6">
      <c r="A2890" s="482"/>
      <c r="B2890" s="485"/>
      <c r="C2890" s="485"/>
      <c r="D2890" s="485"/>
      <c r="E2890" s="485"/>
      <c r="F2890" s="485"/>
    </row>
    <row r="2891" spans="1:6">
      <c r="A2891" s="482"/>
      <c r="B2891" s="485"/>
      <c r="C2891" s="485"/>
      <c r="D2891" s="485"/>
      <c r="E2891" s="485"/>
      <c r="F2891" s="485"/>
    </row>
    <row r="2892" spans="1:6">
      <c r="A2892" s="482"/>
      <c r="B2892" s="485"/>
      <c r="C2892" s="485"/>
      <c r="D2892" s="485"/>
      <c r="E2892" s="485"/>
      <c r="F2892" s="485"/>
    </row>
    <row r="2893" spans="1:6">
      <c r="A2893" s="482"/>
      <c r="B2893" s="485"/>
      <c r="C2893" s="485"/>
      <c r="D2893" s="485"/>
      <c r="E2893" s="485"/>
      <c r="F2893" s="485"/>
    </row>
    <row r="2894" spans="1:6">
      <c r="A2894" s="482"/>
      <c r="B2894" s="485"/>
      <c r="C2894" s="485"/>
      <c r="D2894" s="483"/>
      <c r="E2894" s="485"/>
      <c r="F2894" s="485"/>
    </row>
    <row r="2895" spans="1:6">
      <c r="A2895" s="482"/>
      <c r="B2895" s="485"/>
      <c r="C2895" s="485"/>
      <c r="D2895" s="483"/>
      <c r="E2895" s="485"/>
      <c r="F2895" s="485"/>
    </row>
    <row r="2896" spans="1:6">
      <c r="A2896" s="482"/>
      <c r="B2896" s="485"/>
      <c r="C2896" s="485"/>
      <c r="D2896" s="483"/>
      <c r="E2896" s="485"/>
      <c r="F2896" s="485"/>
    </row>
    <row r="2897" spans="1:6">
      <c r="A2897" s="482"/>
      <c r="B2897" s="485"/>
      <c r="C2897" s="485"/>
      <c r="D2897" s="483"/>
      <c r="E2897" s="485"/>
      <c r="F2897" s="485"/>
    </row>
    <row r="2898" spans="1:6">
      <c r="A2898" s="482"/>
      <c r="B2898" s="485"/>
      <c r="C2898" s="485"/>
      <c r="D2898" s="483"/>
      <c r="E2898" s="485"/>
      <c r="F2898" s="485"/>
    </row>
    <row r="2899" spans="1:6">
      <c r="A2899" s="482"/>
      <c r="B2899" s="485"/>
      <c r="C2899" s="485"/>
      <c r="D2899" s="485"/>
      <c r="E2899" s="485"/>
      <c r="F2899" s="485"/>
    </row>
    <row r="2900" spans="1:6">
      <c r="A2900" s="482"/>
      <c r="B2900" s="485"/>
      <c r="C2900" s="485"/>
      <c r="D2900" s="485"/>
      <c r="E2900" s="485"/>
      <c r="F2900" s="485"/>
    </row>
    <row r="2901" spans="1:6">
      <c r="A2901" s="482"/>
      <c r="B2901" s="485"/>
      <c r="C2901" s="485"/>
      <c r="D2901" s="485"/>
      <c r="E2901" s="485"/>
      <c r="F2901" s="485"/>
    </row>
    <row r="2902" spans="1:6">
      <c r="A2902" s="482"/>
      <c r="B2902" s="485"/>
      <c r="C2902" s="485"/>
      <c r="D2902" s="485"/>
      <c r="E2902" s="485"/>
      <c r="F2902" s="485"/>
    </row>
    <row r="2903" spans="1:6">
      <c r="A2903" s="482"/>
      <c r="B2903" s="485"/>
      <c r="C2903" s="485"/>
      <c r="D2903" s="485"/>
      <c r="E2903" s="485"/>
      <c r="F2903" s="485"/>
    </row>
    <row r="2904" spans="1:6">
      <c r="A2904" s="482"/>
      <c r="B2904" s="485"/>
      <c r="C2904" s="485"/>
      <c r="D2904" s="485"/>
      <c r="E2904" s="485"/>
      <c r="F2904" s="485"/>
    </row>
    <row r="2905" spans="1:6">
      <c r="A2905" s="482"/>
      <c r="B2905" s="485"/>
      <c r="C2905" s="485"/>
      <c r="D2905" s="485"/>
      <c r="E2905" s="485"/>
      <c r="F2905" s="485"/>
    </row>
    <row r="2906" spans="1:6">
      <c r="A2906" s="482"/>
      <c r="B2906" s="485"/>
      <c r="C2906" s="485"/>
      <c r="D2906" s="483"/>
      <c r="E2906" s="485"/>
      <c r="F2906" s="485"/>
    </row>
    <row r="2907" spans="1:6">
      <c r="A2907" s="482"/>
      <c r="B2907" s="485"/>
      <c r="C2907" s="485"/>
      <c r="D2907" s="483"/>
      <c r="E2907" s="485"/>
      <c r="F2907" s="485"/>
    </row>
    <row r="2908" spans="1:6">
      <c r="A2908" s="482"/>
      <c r="B2908" s="485"/>
      <c r="C2908" s="485"/>
      <c r="D2908" s="483"/>
      <c r="E2908" s="485"/>
      <c r="F2908" s="485"/>
    </row>
    <row r="2909" spans="1:6">
      <c r="A2909" s="482"/>
      <c r="B2909" s="485"/>
      <c r="C2909" s="485"/>
      <c r="D2909" s="483"/>
      <c r="E2909" s="485"/>
      <c r="F2909" s="485"/>
    </row>
    <row r="2910" spans="1:6">
      <c r="A2910" s="482"/>
      <c r="B2910" s="485"/>
      <c r="C2910" s="485"/>
      <c r="D2910" s="483"/>
      <c r="E2910" s="485"/>
      <c r="F2910" s="485"/>
    </row>
    <row r="2911" spans="1:6">
      <c r="A2911" s="482"/>
      <c r="B2911" s="485"/>
      <c r="C2911" s="485"/>
      <c r="D2911" s="485"/>
      <c r="E2911" s="485"/>
      <c r="F2911" s="485"/>
    </row>
    <row r="2912" spans="1:6">
      <c r="A2912" s="482"/>
      <c r="B2912" s="485"/>
      <c r="C2912" s="485"/>
      <c r="D2912" s="485"/>
      <c r="E2912" s="485"/>
      <c r="F2912" s="485"/>
    </row>
    <row r="2913" spans="1:6">
      <c r="A2913" s="482"/>
      <c r="B2913" s="485"/>
      <c r="C2913" s="485"/>
      <c r="D2913" s="485"/>
      <c r="E2913" s="485"/>
      <c r="F2913" s="485"/>
    </row>
    <row r="2914" spans="1:6">
      <c r="A2914" s="482"/>
      <c r="B2914" s="485"/>
      <c r="C2914" s="485"/>
      <c r="D2914" s="485"/>
      <c r="E2914" s="485"/>
      <c r="F2914" s="485"/>
    </row>
    <row r="2915" spans="1:6">
      <c r="A2915" s="482"/>
      <c r="B2915" s="485"/>
      <c r="C2915" s="485"/>
      <c r="D2915" s="485"/>
      <c r="E2915" s="485"/>
      <c r="F2915" s="485"/>
    </row>
    <row r="2916" spans="1:6">
      <c r="A2916" s="482"/>
      <c r="B2916" s="485"/>
      <c r="C2916" s="485"/>
      <c r="D2916" s="485"/>
      <c r="E2916" s="485"/>
      <c r="F2916" s="485"/>
    </row>
    <row r="2917" spans="1:6">
      <c r="A2917" s="482"/>
      <c r="B2917" s="485"/>
      <c r="C2917" s="485"/>
      <c r="D2917" s="485"/>
      <c r="E2917" s="485"/>
      <c r="F2917" s="485"/>
    </row>
    <row r="2918" spans="1:6">
      <c r="A2918" s="482"/>
      <c r="B2918" s="485"/>
      <c r="C2918" s="485"/>
      <c r="D2918" s="483"/>
      <c r="E2918" s="485"/>
      <c r="F2918" s="485"/>
    </row>
    <row r="2919" spans="1:6">
      <c r="A2919" s="482"/>
      <c r="B2919" s="485"/>
      <c r="C2919" s="485"/>
      <c r="D2919" s="483"/>
      <c r="E2919" s="485"/>
      <c r="F2919" s="485"/>
    </row>
    <row r="2920" spans="1:6">
      <c r="A2920" s="482"/>
      <c r="B2920" s="485"/>
      <c r="C2920" s="485"/>
      <c r="D2920" s="483"/>
      <c r="E2920" s="485"/>
      <c r="F2920" s="485"/>
    </row>
    <row r="2921" spans="1:6">
      <c r="A2921" s="482"/>
      <c r="B2921" s="485"/>
      <c r="C2921" s="485"/>
      <c r="D2921" s="483"/>
      <c r="E2921" s="485"/>
      <c r="F2921" s="485"/>
    </row>
    <row r="2922" spans="1:6">
      <c r="A2922" s="482"/>
      <c r="B2922" s="485"/>
      <c r="C2922" s="485"/>
      <c r="D2922" s="483"/>
      <c r="E2922" s="485"/>
      <c r="F2922" s="485"/>
    </row>
    <row r="2923" spans="1:6">
      <c r="A2923" s="482"/>
      <c r="B2923" s="485"/>
      <c r="C2923" s="485"/>
      <c r="D2923" s="485"/>
      <c r="E2923" s="485"/>
      <c r="F2923" s="485"/>
    </row>
    <row r="2924" spans="1:6">
      <c r="A2924" s="482"/>
      <c r="B2924" s="485"/>
      <c r="C2924" s="485"/>
      <c r="D2924" s="485"/>
      <c r="E2924" s="485"/>
      <c r="F2924" s="485"/>
    </row>
    <row r="2925" spans="1:6">
      <c r="A2925" s="482"/>
      <c r="B2925" s="485"/>
      <c r="C2925" s="485"/>
      <c r="D2925" s="485"/>
      <c r="E2925" s="485"/>
      <c r="F2925" s="485"/>
    </row>
    <row r="2926" spans="1:6">
      <c r="A2926" s="482"/>
      <c r="B2926" s="485"/>
      <c r="C2926" s="485"/>
      <c r="D2926" s="485"/>
      <c r="E2926" s="485"/>
      <c r="F2926" s="485"/>
    </row>
    <row r="2927" spans="1:6">
      <c r="A2927" s="482"/>
      <c r="B2927" s="485"/>
      <c r="C2927" s="485"/>
      <c r="D2927" s="485"/>
      <c r="E2927" s="485"/>
      <c r="F2927" s="485"/>
    </row>
    <row r="2928" spans="1:6">
      <c r="A2928" s="482"/>
      <c r="B2928" s="485"/>
      <c r="C2928" s="485"/>
      <c r="D2928" s="485"/>
      <c r="E2928" s="485"/>
      <c r="F2928" s="485"/>
    </row>
    <row r="2929" spans="1:6">
      <c r="A2929" s="482"/>
      <c r="B2929" s="485"/>
      <c r="C2929" s="485"/>
      <c r="D2929" s="485"/>
      <c r="E2929" s="485"/>
      <c r="F2929" s="485"/>
    </row>
    <row r="2930" spans="1:6">
      <c r="A2930" s="482"/>
      <c r="B2930" s="485"/>
      <c r="C2930" s="485"/>
      <c r="D2930" s="483"/>
      <c r="E2930" s="485"/>
      <c r="F2930" s="485"/>
    </row>
    <row r="2931" spans="1:6">
      <c r="A2931" s="482"/>
      <c r="B2931" s="485"/>
      <c r="C2931" s="485"/>
      <c r="D2931" s="483"/>
      <c r="E2931" s="485"/>
      <c r="F2931" s="485"/>
    </row>
    <row r="2932" spans="1:6">
      <c r="A2932" s="482"/>
      <c r="B2932" s="485"/>
      <c r="C2932" s="485"/>
      <c r="D2932" s="483"/>
      <c r="E2932" s="485"/>
      <c r="F2932" s="485"/>
    </row>
    <row r="2933" spans="1:6">
      <c r="A2933" s="482"/>
      <c r="B2933" s="485"/>
      <c r="C2933" s="485"/>
      <c r="D2933" s="483"/>
      <c r="E2933" s="485"/>
      <c r="F2933" s="485"/>
    </row>
    <row r="2934" spans="1:6">
      <c r="A2934" s="482"/>
      <c r="B2934" s="485"/>
      <c r="C2934" s="485"/>
      <c r="D2934" s="483"/>
      <c r="E2934" s="485"/>
      <c r="F2934" s="485"/>
    </row>
    <row r="2935" spans="1:6">
      <c r="A2935" s="482"/>
      <c r="B2935" s="485"/>
      <c r="C2935" s="485"/>
      <c r="D2935" s="485"/>
      <c r="E2935" s="485"/>
      <c r="F2935" s="485"/>
    </row>
    <row r="2936" spans="1:6">
      <c r="A2936" s="482"/>
      <c r="B2936" s="485"/>
      <c r="C2936" s="485"/>
      <c r="D2936" s="485"/>
      <c r="E2936" s="485"/>
      <c r="F2936" s="485"/>
    </row>
    <row r="2937" spans="1:6">
      <c r="A2937" s="482"/>
      <c r="B2937" s="485"/>
      <c r="C2937" s="485"/>
      <c r="D2937" s="485"/>
      <c r="E2937" s="485"/>
      <c r="F2937" s="485"/>
    </row>
    <row r="2938" spans="1:6">
      <c r="A2938" s="482"/>
      <c r="B2938" s="485"/>
      <c r="C2938" s="485"/>
      <c r="D2938" s="485"/>
      <c r="E2938" s="485"/>
      <c r="F2938" s="485"/>
    </row>
    <row r="2939" spans="1:6">
      <c r="A2939" s="482"/>
      <c r="B2939" s="485"/>
      <c r="C2939" s="485"/>
      <c r="D2939" s="485"/>
      <c r="E2939" s="485"/>
      <c r="F2939" s="485"/>
    </row>
    <row r="2940" spans="1:6">
      <c r="A2940" s="482"/>
      <c r="B2940" s="485"/>
      <c r="C2940" s="485"/>
      <c r="D2940" s="485"/>
      <c r="E2940" s="485"/>
      <c r="F2940" s="485"/>
    </row>
    <row r="2941" spans="1:6">
      <c r="A2941" s="482"/>
      <c r="B2941" s="485"/>
      <c r="C2941" s="485"/>
      <c r="D2941" s="485"/>
      <c r="E2941" s="485"/>
      <c r="F2941" s="485"/>
    </row>
    <row r="2942" spans="1:6">
      <c r="A2942" s="482"/>
      <c r="B2942" s="485"/>
      <c r="C2942" s="485"/>
      <c r="D2942" s="483"/>
      <c r="E2942" s="485"/>
      <c r="F2942" s="485"/>
    </row>
    <row r="2943" spans="1:6">
      <c r="A2943" s="482"/>
      <c r="B2943" s="485"/>
      <c r="C2943" s="485"/>
      <c r="D2943" s="483"/>
      <c r="E2943" s="485"/>
      <c r="F2943" s="485"/>
    </row>
    <row r="2944" spans="1:6">
      <c r="A2944" s="482"/>
      <c r="B2944" s="485"/>
      <c r="C2944" s="485"/>
      <c r="D2944" s="483"/>
      <c r="E2944" s="485"/>
      <c r="F2944" s="485"/>
    </row>
    <row r="2945" spans="1:6">
      <c r="A2945" s="482"/>
      <c r="B2945" s="485"/>
      <c r="C2945" s="485"/>
      <c r="D2945" s="483"/>
      <c r="E2945" s="485"/>
      <c r="F2945" s="485"/>
    </row>
    <row r="2946" spans="1:6">
      <c r="A2946" s="482"/>
      <c r="B2946" s="485"/>
      <c r="C2946" s="485"/>
      <c r="D2946" s="483"/>
      <c r="E2946" s="485"/>
      <c r="F2946" s="485"/>
    </row>
    <row r="2947" spans="1:6">
      <c r="A2947" s="482"/>
      <c r="B2947" s="485"/>
      <c r="C2947" s="485"/>
      <c r="D2947" s="485"/>
      <c r="E2947" s="485"/>
      <c r="F2947" s="485"/>
    </row>
    <row r="2948" spans="1:6">
      <c r="A2948" s="482"/>
      <c r="B2948" s="485"/>
      <c r="C2948" s="485"/>
      <c r="D2948" s="485"/>
      <c r="E2948" s="485"/>
      <c r="F2948" s="485"/>
    </row>
    <row r="2949" spans="1:6">
      <c r="A2949" s="482"/>
      <c r="B2949" s="485"/>
      <c r="C2949" s="193"/>
      <c r="D2949" s="485"/>
      <c r="E2949" s="485"/>
      <c r="F2949" s="485"/>
    </row>
    <row r="2950" spans="1:6">
      <c r="A2950" s="482"/>
      <c r="B2950" s="485"/>
      <c r="C2950" s="485"/>
      <c r="D2950" s="485"/>
      <c r="E2950" s="485"/>
      <c r="F2950" s="485"/>
    </row>
    <row r="2951" spans="1:6">
      <c r="A2951" s="482"/>
      <c r="B2951" s="485"/>
      <c r="C2951" s="485"/>
      <c r="D2951" s="485"/>
      <c r="E2951" s="485"/>
      <c r="F2951" s="485"/>
    </row>
    <row r="2952" spans="1:6">
      <c r="A2952" s="482"/>
      <c r="B2952" s="485"/>
      <c r="C2952" s="485"/>
      <c r="D2952" s="485"/>
      <c r="E2952" s="485"/>
      <c r="F2952" s="485"/>
    </row>
    <row r="2953" spans="1:6">
      <c r="A2953" s="482"/>
      <c r="B2953" s="485"/>
      <c r="C2953" s="485"/>
      <c r="D2953" s="485"/>
      <c r="E2953" s="485"/>
      <c r="F2953" s="485"/>
    </row>
    <row r="2954" spans="1:6">
      <c r="A2954" s="482"/>
      <c r="B2954" s="485"/>
      <c r="C2954" s="485"/>
      <c r="D2954" s="483"/>
      <c r="E2954" s="485"/>
      <c r="F2954" s="485"/>
    </row>
    <row r="2955" spans="1:6">
      <c r="A2955" s="482"/>
      <c r="B2955" s="485"/>
      <c r="C2955" s="485"/>
      <c r="D2955" s="483"/>
      <c r="E2955" s="485"/>
      <c r="F2955" s="485"/>
    </row>
    <row r="2956" spans="1:6">
      <c r="A2956" s="482"/>
      <c r="B2956" s="485"/>
      <c r="C2956" s="485"/>
      <c r="D2956" s="483"/>
      <c r="E2956" s="485"/>
      <c r="F2956" s="485"/>
    </row>
    <row r="2957" spans="1:6">
      <c r="A2957" s="482"/>
      <c r="B2957" s="485"/>
      <c r="C2957" s="485"/>
      <c r="D2957" s="483"/>
      <c r="E2957" s="485"/>
      <c r="F2957" s="485"/>
    </row>
    <row r="2958" spans="1:6">
      <c r="A2958" s="482"/>
      <c r="B2958" s="485"/>
      <c r="C2958" s="485"/>
      <c r="D2958" s="483"/>
      <c r="E2958" s="485"/>
      <c r="F2958" s="485"/>
    </row>
    <row r="2959" spans="1:6">
      <c r="A2959" s="482"/>
      <c r="B2959" s="485"/>
      <c r="C2959" s="485"/>
      <c r="D2959" s="485"/>
      <c r="E2959" s="485"/>
      <c r="F2959" s="485"/>
    </row>
    <row r="2960" spans="1:6">
      <c r="A2960" s="482"/>
      <c r="B2960" s="485"/>
      <c r="C2960" s="485"/>
      <c r="D2960" s="485"/>
      <c r="E2960" s="485"/>
      <c r="F2960" s="485"/>
    </row>
    <row r="2961" spans="1:6">
      <c r="A2961" s="482"/>
      <c r="B2961" s="485"/>
      <c r="C2961" s="485"/>
      <c r="D2961" s="485"/>
      <c r="E2961" s="485"/>
      <c r="F2961" s="485"/>
    </row>
    <row r="2962" spans="1:6">
      <c r="A2962" s="482"/>
      <c r="B2962" s="485"/>
      <c r="C2962" s="485"/>
      <c r="D2962" s="485"/>
      <c r="E2962" s="485"/>
      <c r="F2962" s="485"/>
    </row>
    <row r="2963" spans="1:6">
      <c r="A2963" s="482"/>
      <c r="B2963" s="485"/>
      <c r="C2963" s="485"/>
      <c r="D2963" s="485"/>
      <c r="E2963" s="485"/>
      <c r="F2963" s="485"/>
    </row>
    <row r="2964" spans="1:6">
      <c r="A2964" s="482"/>
      <c r="B2964" s="485"/>
      <c r="C2964" s="485"/>
      <c r="D2964" s="485"/>
      <c r="E2964" s="485"/>
      <c r="F2964" s="485"/>
    </row>
    <row r="2965" spans="1:6">
      <c r="A2965" s="482"/>
      <c r="B2965" s="485"/>
      <c r="C2965" s="485"/>
      <c r="D2965" s="485"/>
      <c r="E2965" s="485"/>
      <c r="F2965" s="485"/>
    </row>
    <row r="2966" spans="1:6">
      <c r="A2966" s="482"/>
      <c r="B2966" s="485"/>
      <c r="C2966" s="485"/>
      <c r="D2966" s="483"/>
      <c r="E2966" s="485"/>
      <c r="F2966" s="485"/>
    </row>
    <row r="2967" spans="1:6">
      <c r="A2967" s="482"/>
      <c r="B2967" s="485"/>
      <c r="C2967" s="485"/>
      <c r="D2967" s="483"/>
      <c r="E2967" s="485"/>
      <c r="F2967" s="485"/>
    </row>
    <row r="2968" spans="1:6">
      <c r="A2968" s="482"/>
      <c r="B2968" s="485"/>
      <c r="C2968" s="485"/>
      <c r="D2968" s="483"/>
      <c r="E2968" s="485"/>
      <c r="F2968" s="485"/>
    </row>
    <row r="2969" spans="1:6">
      <c r="A2969" s="482"/>
      <c r="B2969" s="485"/>
      <c r="C2969" s="485"/>
      <c r="D2969" s="483"/>
      <c r="E2969" s="485"/>
      <c r="F2969" s="485"/>
    </row>
    <row r="2970" spans="1:6">
      <c r="A2970" s="482"/>
      <c r="B2970" s="485"/>
      <c r="C2970" s="485"/>
      <c r="D2970" s="483"/>
      <c r="E2970" s="485"/>
      <c r="F2970" s="485"/>
    </row>
    <row r="2971" spans="1:6">
      <c r="A2971" s="482"/>
      <c r="B2971" s="485"/>
      <c r="C2971" s="485"/>
      <c r="D2971" s="485"/>
      <c r="E2971" s="485"/>
      <c r="F2971" s="485"/>
    </row>
    <row r="2972" spans="1:6">
      <c r="A2972" s="482"/>
      <c r="B2972" s="485"/>
      <c r="C2972" s="485"/>
      <c r="D2972" s="485"/>
      <c r="E2972" s="485"/>
      <c r="F2972" s="485"/>
    </row>
    <row r="2973" spans="1:6">
      <c r="A2973" s="482"/>
      <c r="B2973" s="485"/>
      <c r="C2973" s="485"/>
      <c r="D2973" s="485"/>
      <c r="E2973" s="485"/>
      <c r="F2973" s="485"/>
    </row>
    <row r="2974" spans="1:6">
      <c r="A2974" s="482"/>
      <c r="B2974" s="485"/>
      <c r="C2974" s="485"/>
      <c r="D2974" s="485"/>
      <c r="E2974" s="485"/>
      <c r="F2974" s="485"/>
    </row>
    <row r="2975" spans="1:6">
      <c r="A2975" s="482"/>
      <c r="B2975" s="485"/>
      <c r="C2975" s="485"/>
      <c r="D2975" s="485"/>
      <c r="E2975" s="485"/>
      <c r="F2975" s="485"/>
    </row>
    <row r="2976" spans="1:6">
      <c r="A2976" s="482"/>
      <c r="B2976" s="485"/>
      <c r="C2976" s="485"/>
      <c r="D2976" s="485"/>
      <c r="E2976" s="485"/>
      <c r="F2976" s="485"/>
    </row>
    <row r="2977" spans="1:6">
      <c r="A2977" s="482"/>
      <c r="B2977" s="485"/>
      <c r="C2977" s="485"/>
      <c r="D2977" s="485"/>
      <c r="E2977" s="485"/>
      <c r="F2977" s="485"/>
    </row>
    <row r="2978" spans="1:6">
      <c r="A2978" s="482"/>
      <c r="B2978" s="485"/>
      <c r="C2978" s="485"/>
      <c r="D2978" s="483"/>
      <c r="E2978" s="485"/>
      <c r="F2978" s="485"/>
    </row>
    <row r="2979" spans="1:6">
      <c r="A2979" s="482"/>
      <c r="B2979" s="485"/>
      <c r="C2979" s="485"/>
      <c r="D2979" s="483"/>
      <c r="E2979" s="485"/>
      <c r="F2979" s="485"/>
    </row>
    <row r="2980" spans="1:6">
      <c r="A2980" s="482"/>
      <c r="B2980" s="485"/>
      <c r="C2980" s="485"/>
      <c r="D2980" s="483"/>
      <c r="E2980" s="485"/>
      <c r="F2980" s="485"/>
    </row>
    <row r="2981" spans="1:6">
      <c r="A2981" s="482"/>
      <c r="B2981" s="485"/>
      <c r="C2981" s="485"/>
      <c r="D2981" s="483"/>
      <c r="E2981" s="485"/>
      <c r="F2981" s="485"/>
    </row>
    <row r="2982" spans="1:6">
      <c r="A2982" s="482"/>
      <c r="B2982" s="485"/>
      <c r="C2982" s="485"/>
      <c r="D2982" s="483"/>
      <c r="E2982" s="485"/>
      <c r="F2982" s="485"/>
    </row>
    <row r="2983" spans="1:6">
      <c r="A2983" s="482"/>
      <c r="B2983" s="485"/>
      <c r="C2983" s="485"/>
      <c r="D2983" s="485"/>
      <c r="E2983" s="485"/>
      <c r="F2983" s="485"/>
    </row>
    <row r="2984" spans="1:6">
      <c r="A2984" s="482"/>
      <c r="B2984" s="485"/>
      <c r="C2984" s="485"/>
      <c r="D2984" s="485"/>
      <c r="E2984" s="485"/>
      <c r="F2984" s="485"/>
    </row>
    <row r="2985" spans="1:6">
      <c r="A2985" s="482"/>
      <c r="B2985" s="485"/>
      <c r="C2985" s="485"/>
      <c r="D2985" s="485"/>
      <c r="E2985" s="485"/>
      <c r="F2985" s="485"/>
    </row>
    <row r="2986" spans="1:6">
      <c r="A2986" s="482"/>
      <c r="B2986" s="485"/>
      <c r="C2986" s="485"/>
      <c r="D2986" s="485"/>
      <c r="E2986" s="485"/>
      <c r="F2986" s="485"/>
    </row>
    <row r="2987" spans="1:6">
      <c r="A2987" s="482"/>
      <c r="B2987" s="485"/>
      <c r="C2987" s="485"/>
      <c r="D2987" s="485"/>
      <c r="E2987" s="485"/>
      <c r="F2987" s="485"/>
    </row>
    <row r="2988" spans="1:6">
      <c r="A2988" s="482"/>
      <c r="B2988" s="485"/>
      <c r="C2988" s="485"/>
      <c r="D2988" s="485"/>
      <c r="E2988" s="485"/>
      <c r="F2988" s="485"/>
    </row>
    <row r="2989" spans="1:6">
      <c r="A2989" s="482"/>
      <c r="B2989" s="485"/>
      <c r="C2989" s="485"/>
      <c r="D2989" s="485"/>
      <c r="E2989" s="485"/>
      <c r="F2989" s="485"/>
    </row>
    <row r="2990" spans="1:6">
      <c r="A2990" s="482"/>
      <c r="B2990" s="485"/>
      <c r="C2990" s="485"/>
      <c r="D2990" s="483"/>
      <c r="E2990" s="485"/>
      <c r="F2990" s="485"/>
    </row>
    <row r="2991" spans="1:6">
      <c r="A2991" s="482"/>
      <c r="B2991" s="485"/>
      <c r="C2991" s="485"/>
      <c r="D2991" s="483"/>
      <c r="E2991" s="485"/>
      <c r="F2991" s="485"/>
    </row>
    <row r="2992" spans="1:6">
      <c r="A2992" s="482"/>
      <c r="B2992" s="485"/>
      <c r="C2992" s="485"/>
      <c r="D2992" s="483"/>
      <c r="E2992" s="485"/>
      <c r="F2992" s="485"/>
    </row>
    <row r="2993" spans="1:6">
      <c r="A2993" s="482"/>
      <c r="B2993" s="485"/>
      <c r="C2993" s="485"/>
      <c r="D2993" s="483"/>
      <c r="E2993" s="485"/>
      <c r="F2993" s="485"/>
    </row>
    <row r="2994" spans="1:6">
      <c r="A2994" s="482"/>
      <c r="B2994" s="485"/>
      <c r="C2994" s="485"/>
      <c r="D2994" s="483"/>
      <c r="E2994" s="485"/>
      <c r="F2994" s="485"/>
    </row>
    <row r="2995" spans="1:6">
      <c r="A2995" s="482"/>
      <c r="B2995" s="485"/>
      <c r="C2995" s="485"/>
      <c r="D2995" s="485"/>
      <c r="E2995" s="485"/>
      <c r="F2995" s="485"/>
    </row>
    <row r="2996" spans="1:6">
      <c r="A2996" s="482"/>
      <c r="B2996" s="485"/>
      <c r="C2996" s="485"/>
      <c r="D2996" s="485"/>
      <c r="E2996" s="485"/>
      <c r="F2996" s="485"/>
    </row>
    <row r="2997" spans="1:6">
      <c r="A2997" s="482"/>
      <c r="B2997" s="485"/>
      <c r="C2997" s="485"/>
      <c r="D2997" s="485"/>
      <c r="E2997" s="485"/>
      <c r="F2997" s="485"/>
    </row>
    <row r="2998" spans="1:6">
      <c r="A2998" s="482"/>
      <c r="B2998" s="485"/>
      <c r="C2998" s="485"/>
      <c r="D2998" s="485"/>
      <c r="E2998" s="485"/>
      <c r="F2998" s="485"/>
    </row>
    <row r="2999" spans="1:6">
      <c r="A2999" s="482"/>
      <c r="B2999" s="485"/>
      <c r="C2999" s="485"/>
      <c r="D2999" s="485"/>
      <c r="E2999" s="485"/>
      <c r="F2999" s="485"/>
    </row>
    <row r="3000" spans="1:6">
      <c r="A3000" s="482"/>
      <c r="B3000" s="485"/>
      <c r="C3000" s="485"/>
      <c r="D3000" s="485"/>
      <c r="E3000" s="485"/>
      <c r="F3000" s="485"/>
    </row>
    <row r="3001" spans="1:6">
      <c r="A3001" s="482"/>
      <c r="B3001" s="485"/>
      <c r="C3001" s="485"/>
      <c r="D3001" s="485"/>
      <c r="E3001" s="485"/>
      <c r="F3001" s="485"/>
    </row>
    <row r="3002" spans="1:6">
      <c r="A3002" s="482"/>
      <c r="B3002" s="485"/>
      <c r="C3002" s="485"/>
      <c r="D3002" s="483"/>
      <c r="E3002" s="485"/>
      <c r="F3002" s="485"/>
    </row>
    <row r="3003" spans="1:6">
      <c r="A3003" s="482"/>
      <c r="B3003" s="485"/>
      <c r="C3003" s="485"/>
      <c r="D3003" s="483"/>
      <c r="E3003" s="485"/>
      <c r="F3003" s="485"/>
    </row>
    <row r="3004" spans="1:6">
      <c r="A3004" s="482"/>
      <c r="B3004" s="485"/>
      <c r="C3004" s="485"/>
      <c r="D3004" s="483"/>
      <c r="E3004" s="485"/>
      <c r="F3004" s="485"/>
    </row>
    <row r="3005" spans="1:6">
      <c r="A3005" s="482"/>
      <c r="B3005" s="485"/>
      <c r="C3005" s="485"/>
      <c r="D3005" s="483"/>
      <c r="E3005" s="485"/>
      <c r="F3005" s="485"/>
    </row>
    <row r="3006" spans="1:6">
      <c r="A3006" s="482"/>
      <c r="B3006" s="485"/>
      <c r="C3006" s="485"/>
      <c r="D3006" s="483"/>
      <c r="E3006" s="485"/>
      <c r="F3006" s="485"/>
    </row>
    <row r="3007" spans="1:6">
      <c r="A3007" s="482"/>
      <c r="B3007" s="485"/>
      <c r="C3007" s="485"/>
      <c r="D3007" s="485"/>
      <c r="E3007" s="485"/>
      <c r="F3007" s="485"/>
    </row>
    <row r="3008" spans="1:6">
      <c r="A3008" s="482"/>
      <c r="B3008" s="485"/>
      <c r="C3008" s="485"/>
      <c r="D3008" s="485"/>
      <c r="E3008" s="485"/>
      <c r="F3008" s="485"/>
    </row>
    <row r="3009" spans="1:6">
      <c r="A3009" s="482"/>
      <c r="B3009" s="485"/>
      <c r="C3009" s="485"/>
      <c r="D3009" s="485"/>
      <c r="E3009" s="485"/>
      <c r="F3009" s="485"/>
    </row>
    <row r="3010" spans="1:6">
      <c r="A3010" s="482"/>
      <c r="B3010" s="485"/>
      <c r="C3010" s="485"/>
      <c r="D3010" s="485"/>
      <c r="E3010" s="485"/>
      <c r="F3010" s="485"/>
    </row>
    <row r="3011" spans="1:6">
      <c r="A3011" s="482"/>
      <c r="B3011" s="485"/>
      <c r="C3011" s="485"/>
      <c r="D3011" s="485"/>
      <c r="E3011" s="485"/>
      <c r="F3011" s="485"/>
    </row>
    <row r="3012" spans="1:6">
      <c r="A3012" s="482"/>
      <c r="B3012" s="485"/>
      <c r="C3012" s="485"/>
      <c r="D3012" s="485"/>
      <c r="E3012" s="485"/>
      <c r="F3012" s="485"/>
    </row>
    <row r="3013" spans="1:6">
      <c r="A3013" s="482"/>
      <c r="B3013" s="485"/>
      <c r="C3013" s="485"/>
      <c r="D3013" s="485"/>
      <c r="E3013" s="485"/>
      <c r="F3013" s="485"/>
    </row>
    <row r="3014" spans="1:6">
      <c r="A3014" s="482"/>
      <c r="B3014" s="485"/>
      <c r="C3014" s="485"/>
      <c r="D3014" s="483"/>
      <c r="E3014" s="485"/>
      <c r="F3014" s="485"/>
    </row>
    <row r="3015" spans="1:6">
      <c r="A3015" s="482"/>
      <c r="B3015" s="485"/>
      <c r="C3015" s="485"/>
      <c r="D3015" s="483"/>
      <c r="E3015" s="485"/>
      <c r="F3015" s="485"/>
    </row>
    <row r="3016" spans="1:6">
      <c r="A3016" s="482"/>
      <c r="B3016" s="485"/>
      <c r="C3016" s="485"/>
      <c r="D3016" s="483"/>
      <c r="E3016" s="485"/>
      <c r="F3016" s="485"/>
    </row>
    <row r="3017" spans="1:6">
      <c r="A3017" s="482"/>
      <c r="B3017" s="485"/>
      <c r="C3017" s="485"/>
      <c r="D3017" s="483"/>
      <c r="E3017" s="485"/>
      <c r="F3017" s="485"/>
    </row>
    <row r="3018" spans="1:6">
      <c r="A3018" s="482"/>
      <c r="B3018" s="485"/>
      <c r="C3018" s="485"/>
      <c r="D3018" s="483"/>
      <c r="E3018" s="485"/>
      <c r="F3018" s="485"/>
    </row>
    <row r="3019" spans="1:6">
      <c r="A3019" s="482"/>
      <c r="B3019" s="485"/>
      <c r="C3019" s="485"/>
      <c r="D3019" s="485"/>
      <c r="E3019" s="485"/>
      <c r="F3019" s="485"/>
    </row>
    <row r="3020" spans="1:6">
      <c r="A3020" s="482"/>
      <c r="B3020" s="485"/>
      <c r="C3020" s="485"/>
      <c r="D3020" s="485"/>
      <c r="E3020" s="485"/>
      <c r="F3020" s="485"/>
    </row>
    <row r="3021" spans="1:6">
      <c r="A3021" s="482"/>
      <c r="B3021" s="485"/>
      <c r="C3021" s="485"/>
      <c r="D3021" s="485"/>
      <c r="E3021" s="485"/>
      <c r="F3021" s="485"/>
    </row>
    <row r="3022" spans="1:6">
      <c r="A3022" s="482"/>
      <c r="B3022" s="485"/>
      <c r="C3022" s="485"/>
      <c r="D3022" s="485"/>
      <c r="E3022" s="485"/>
      <c r="F3022" s="485"/>
    </row>
    <row r="3023" spans="1:6">
      <c r="A3023" s="482"/>
      <c r="B3023" s="485"/>
      <c r="C3023" s="485"/>
      <c r="D3023" s="485"/>
      <c r="E3023" s="485"/>
      <c r="F3023" s="485"/>
    </row>
    <row r="3024" spans="1:6">
      <c r="A3024" s="482"/>
      <c r="B3024" s="485"/>
      <c r="C3024" s="485"/>
      <c r="D3024" s="485"/>
      <c r="E3024" s="485"/>
      <c r="F3024" s="485"/>
    </row>
    <row r="3025" spans="1:6">
      <c r="A3025" s="482"/>
      <c r="B3025" s="485"/>
      <c r="C3025" s="485"/>
      <c r="D3025" s="485"/>
      <c r="E3025" s="485"/>
      <c r="F3025" s="485"/>
    </row>
    <row r="3026" spans="1:6">
      <c r="A3026" s="482"/>
      <c r="B3026" s="485"/>
      <c r="C3026" s="485"/>
      <c r="D3026" s="483"/>
      <c r="E3026" s="485"/>
      <c r="F3026" s="485"/>
    </row>
    <row r="3027" spans="1:6">
      <c r="A3027" s="482"/>
      <c r="B3027" s="485"/>
      <c r="C3027" s="485"/>
      <c r="D3027" s="483"/>
      <c r="E3027" s="485"/>
      <c r="F3027" s="485"/>
    </row>
    <row r="3028" spans="1:6">
      <c r="A3028" s="482"/>
      <c r="B3028" s="485"/>
      <c r="C3028" s="485"/>
      <c r="D3028" s="483"/>
      <c r="E3028" s="485"/>
      <c r="F3028" s="485"/>
    </row>
    <row r="3029" spans="1:6">
      <c r="A3029" s="482"/>
      <c r="B3029" s="485"/>
      <c r="C3029" s="485"/>
      <c r="D3029" s="483"/>
      <c r="E3029" s="485"/>
      <c r="F3029" s="485"/>
    </row>
    <row r="3030" spans="1:6">
      <c r="A3030" s="482"/>
      <c r="B3030" s="485"/>
      <c r="C3030" s="485"/>
      <c r="D3030" s="483"/>
      <c r="E3030" s="485"/>
      <c r="F3030" s="485"/>
    </row>
    <row r="3031" spans="1:6">
      <c r="A3031" s="482"/>
      <c r="B3031" s="485"/>
      <c r="C3031" s="485"/>
      <c r="D3031" s="485"/>
      <c r="E3031" s="485"/>
      <c r="F3031" s="485"/>
    </row>
    <row r="3032" spans="1:6">
      <c r="A3032" s="482"/>
      <c r="B3032" s="485"/>
      <c r="C3032" s="485"/>
      <c r="D3032" s="485"/>
      <c r="E3032" s="485"/>
      <c r="F3032" s="485"/>
    </row>
    <row r="3033" spans="1:6">
      <c r="A3033" s="482"/>
      <c r="B3033" s="485"/>
      <c r="C3033" s="485"/>
      <c r="D3033" s="485"/>
      <c r="E3033" s="485"/>
      <c r="F3033" s="485"/>
    </row>
    <row r="3034" spans="1:6">
      <c r="A3034" s="482"/>
      <c r="B3034" s="485"/>
      <c r="C3034" s="485"/>
      <c r="D3034" s="485"/>
      <c r="E3034" s="485"/>
      <c r="F3034" s="485"/>
    </row>
    <row r="3035" spans="1:6">
      <c r="A3035" s="482"/>
      <c r="B3035" s="485"/>
      <c r="C3035" s="485"/>
      <c r="D3035" s="485"/>
      <c r="E3035" s="485"/>
      <c r="F3035" s="485"/>
    </row>
    <row r="3036" spans="1:6">
      <c r="A3036" s="482"/>
      <c r="B3036" s="485"/>
      <c r="C3036" s="485"/>
      <c r="D3036" s="485"/>
      <c r="E3036" s="485"/>
      <c r="F3036" s="485"/>
    </row>
    <row r="3037" spans="1:6">
      <c r="A3037" s="482"/>
      <c r="B3037" s="485"/>
      <c r="C3037" s="485"/>
      <c r="D3037" s="485"/>
      <c r="E3037" s="485"/>
      <c r="F3037" s="485"/>
    </row>
    <row r="3038" spans="1:6">
      <c r="A3038" s="482"/>
      <c r="B3038" s="485"/>
      <c r="C3038" s="485"/>
      <c r="D3038" s="483"/>
      <c r="E3038" s="485"/>
      <c r="F3038" s="485"/>
    </row>
    <row r="3039" spans="1:6">
      <c r="A3039" s="482"/>
      <c r="B3039" s="485"/>
      <c r="C3039" s="485"/>
      <c r="D3039" s="483"/>
      <c r="E3039" s="485"/>
      <c r="F3039" s="485"/>
    </row>
    <row r="3040" spans="1:6">
      <c r="A3040" s="482"/>
      <c r="B3040" s="485"/>
      <c r="C3040" s="485"/>
      <c r="D3040" s="483"/>
      <c r="E3040" s="485"/>
      <c r="F3040" s="485"/>
    </row>
    <row r="3041" spans="1:6">
      <c r="A3041" s="482"/>
      <c r="B3041" s="485"/>
      <c r="C3041" s="485"/>
      <c r="D3041" s="483"/>
      <c r="E3041" s="485"/>
      <c r="F3041" s="485"/>
    </row>
    <row r="3042" spans="1:6">
      <c r="A3042" s="482"/>
      <c r="B3042" s="485"/>
      <c r="C3042" s="485"/>
      <c r="D3042" s="483"/>
      <c r="E3042" s="485"/>
      <c r="F3042" s="485"/>
    </row>
    <row r="3043" spans="1:6">
      <c r="A3043" s="482"/>
      <c r="B3043" s="485"/>
      <c r="C3043" s="485"/>
      <c r="D3043" s="485"/>
      <c r="E3043" s="485"/>
      <c r="F3043" s="485"/>
    </row>
    <row r="3044" spans="1:6">
      <c r="A3044" s="482"/>
      <c r="B3044" s="485"/>
      <c r="C3044" s="485"/>
      <c r="D3044" s="485"/>
      <c r="E3044" s="485"/>
      <c r="F3044" s="485"/>
    </row>
    <row r="3045" spans="1:6">
      <c r="A3045" s="482"/>
      <c r="B3045" s="485"/>
      <c r="C3045" s="485"/>
      <c r="D3045" s="485"/>
      <c r="E3045" s="485"/>
      <c r="F3045" s="485"/>
    </row>
    <row r="3046" spans="1:6">
      <c r="A3046" s="482"/>
      <c r="B3046" s="485"/>
      <c r="C3046" s="485"/>
      <c r="D3046" s="485"/>
      <c r="E3046" s="485"/>
      <c r="F3046" s="485"/>
    </row>
    <row r="3047" spans="1:6">
      <c r="A3047" s="482"/>
      <c r="B3047" s="485"/>
      <c r="C3047" s="485"/>
      <c r="D3047" s="485"/>
      <c r="E3047" s="485"/>
      <c r="F3047" s="485"/>
    </row>
    <row r="3048" spans="1:6">
      <c r="A3048" s="482"/>
      <c r="B3048" s="485"/>
      <c r="C3048" s="485"/>
      <c r="D3048" s="485"/>
      <c r="E3048" s="485"/>
      <c r="F3048" s="485"/>
    </row>
    <row r="3049" spans="1:6">
      <c r="A3049" s="482"/>
      <c r="B3049" s="485"/>
      <c r="C3049" s="485"/>
      <c r="D3049" s="485"/>
      <c r="E3049" s="485"/>
      <c r="F3049" s="485"/>
    </row>
    <row r="3050" spans="1:6">
      <c r="A3050" s="482"/>
      <c r="B3050" s="485"/>
      <c r="C3050" s="485"/>
      <c r="D3050" s="483"/>
      <c r="E3050" s="485"/>
      <c r="F3050" s="485"/>
    </row>
    <row r="3051" spans="1:6">
      <c r="A3051" s="482"/>
      <c r="B3051" s="485"/>
      <c r="C3051" s="485"/>
      <c r="D3051" s="483"/>
      <c r="E3051" s="485"/>
      <c r="F3051" s="485"/>
    </row>
    <row r="3052" spans="1:6">
      <c r="A3052" s="482"/>
      <c r="B3052" s="485"/>
      <c r="C3052" s="485"/>
      <c r="D3052" s="483"/>
      <c r="E3052" s="485"/>
      <c r="F3052" s="485"/>
    </row>
    <row r="3053" spans="1:6">
      <c r="A3053" s="482"/>
      <c r="B3053" s="485"/>
      <c r="C3053" s="485"/>
      <c r="D3053" s="483"/>
      <c r="E3053" s="485"/>
      <c r="F3053" s="485"/>
    </row>
    <row r="3054" spans="1:6">
      <c r="A3054" s="482"/>
      <c r="B3054" s="485"/>
      <c r="C3054" s="485"/>
      <c r="D3054" s="483"/>
      <c r="E3054" s="485"/>
      <c r="F3054" s="485"/>
    </row>
    <row r="3055" spans="1:6">
      <c r="A3055" s="482"/>
      <c r="B3055" s="485"/>
      <c r="C3055" s="485"/>
      <c r="D3055" s="485"/>
      <c r="E3055" s="485"/>
      <c r="F3055" s="485"/>
    </row>
    <row r="3056" spans="1:6">
      <c r="A3056" s="482"/>
      <c r="B3056" s="485"/>
      <c r="C3056" s="485"/>
      <c r="D3056" s="485"/>
      <c r="E3056" s="485"/>
      <c r="F3056" s="485"/>
    </row>
    <row r="3057" spans="1:6">
      <c r="A3057" s="482"/>
      <c r="B3057" s="485"/>
      <c r="C3057" s="485"/>
      <c r="D3057" s="485"/>
      <c r="E3057" s="485"/>
      <c r="F3057" s="485"/>
    </row>
    <row r="3058" spans="1:6">
      <c r="A3058" s="482"/>
      <c r="B3058" s="485"/>
      <c r="C3058" s="485"/>
      <c r="D3058" s="485"/>
      <c r="E3058" s="485"/>
      <c r="F3058" s="485"/>
    </row>
    <row r="3059" spans="1:6">
      <c r="A3059" s="482"/>
      <c r="B3059" s="485"/>
      <c r="C3059" s="485"/>
      <c r="D3059" s="485"/>
      <c r="E3059" s="485"/>
      <c r="F3059" s="485"/>
    </row>
    <row r="3060" spans="1:6">
      <c r="A3060" s="482"/>
      <c r="B3060" s="485"/>
      <c r="C3060" s="485"/>
      <c r="D3060" s="485"/>
      <c r="E3060" s="485"/>
      <c r="F3060" s="485"/>
    </row>
    <row r="3061" spans="1:6">
      <c r="A3061" s="482"/>
      <c r="B3061" s="485"/>
      <c r="C3061" s="485"/>
      <c r="D3061" s="485"/>
      <c r="E3061" s="485"/>
      <c r="F3061" s="485"/>
    </row>
    <row r="3062" spans="1:6">
      <c r="A3062" s="482"/>
      <c r="B3062" s="485"/>
      <c r="C3062" s="485"/>
      <c r="D3062" s="483"/>
      <c r="E3062" s="485"/>
      <c r="F3062" s="485"/>
    </row>
    <row r="3063" spans="1:6">
      <c r="A3063" s="482"/>
      <c r="B3063" s="485"/>
      <c r="C3063" s="485"/>
      <c r="D3063" s="483"/>
      <c r="E3063" s="485"/>
      <c r="F3063" s="485"/>
    </row>
    <row r="3064" spans="1:6">
      <c r="A3064" s="482"/>
      <c r="B3064" s="485"/>
      <c r="C3064" s="485"/>
      <c r="D3064" s="483"/>
      <c r="E3064" s="485"/>
      <c r="F3064" s="485"/>
    </row>
    <row r="3065" spans="1:6">
      <c r="A3065" s="482"/>
      <c r="B3065" s="485"/>
      <c r="C3065" s="485"/>
      <c r="D3065" s="483"/>
      <c r="E3065" s="485"/>
      <c r="F3065" s="485"/>
    </row>
    <row r="3066" spans="1:6">
      <c r="A3066" s="482"/>
      <c r="B3066" s="485"/>
      <c r="C3066" s="485"/>
      <c r="D3066" s="483"/>
      <c r="E3066" s="485"/>
      <c r="F3066" s="485"/>
    </row>
    <row r="3067" spans="1:6">
      <c r="A3067" s="482"/>
      <c r="B3067" s="485"/>
      <c r="C3067" s="485"/>
      <c r="D3067" s="485"/>
      <c r="E3067" s="485"/>
      <c r="F3067" s="485"/>
    </row>
    <row r="3068" spans="1:6">
      <c r="A3068" s="482"/>
      <c r="B3068" s="485"/>
      <c r="C3068" s="485"/>
      <c r="D3068" s="485"/>
      <c r="E3068" s="485"/>
      <c r="F3068" s="485"/>
    </row>
    <row r="3069" spans="1:6">
      <c r="A3069" s="482"/>
      <c r="B3069" s="485"/>
      <c r="C3069" s="485"/>
      <c r="D3069" s="485"/>
      <c r="E3069" s="485"/>
      <c r="F3069" s="485"/>
    </row>
    <row r="3070" spans="1:6">
      <c r="A3070" s="482"/>
      <c r="B3070" s="485"/>
      <c r="C3070" s="485"/>
      <c r="D3070" s="485"/>
      <c r="E3070" s="485"/>
      <c r="F3070" s="485"/>
    </row>
    <row r="3071" spans="1:6">
      <c r="A3071" s="482"/>
      <c r="B3071" s="485"/>
      <c r="C3071" s="485"/>
      <c r="D3071" s="485"/>
      <c r="E3071" s="485"/>
      <c r="F3071" s="485"/>
    </row>
    <row r="3072" spans="1:6">
      <c r="A3072" s="482"/>
      <c r="B3072" s="485"/>
      <c r="C3072" s="485"/>
      <c r="D3072" s="485"/>
      <c r="E3072" s="485"/>
      <c r="F3072" s="485"/>
    </row>
    <row r="3073" spans="1:6">
      <c r="A3073" s="482"/>
      <c r="B3073" s="485"/>
      <c r="C3073" s="485"/>
      <c r="D3073" s="485"/>
      <c r="E3073" s="485"/>
      <c r="F3073" s="485"/>
    </row>
    <row r="3074" spans="1:6">
      <c r="A3074" s="482"/>
      <c r="B3074" s="485"/>
      <c r="C3074" s="485"/>
      <c r="D3074" s="483"/>
      <c r="E3074" s="485"/>
      <c r="F3074" s="485"/>
    </row>
    <row r="3075" spans="1:6">
      <c r="A3075" s="482"/>
      <c r="B3075" s="485"/>
      <c r="C3075" s="485"/>
      <c r="D3075" s="483"/>
      <c r="E3075" s="485"/>
      <c r="F3075" s="485"/>
    </row>
    <row r="3076" spans="1:6">
      <c r="A3076" s="482"/>
      <c r="B3076" s="485"/>
      <c r="C3076" s="485"/>
      <c r="D3076" s="483"/>
      <c r="E3076" s="485"/>
      <c r="F3076" s="485"/>
    </row>
    <row r="3077" spans="1:6">
      <c r="A3077" s="482"/>
      <c r="B3077" s="485"/>
      <c r="C3077" s="485"/>
      <c r="D3077" s="483"/>
      <c r="E3077" s="485"/>
      <c r="F3077" s="485"/>
    </row>
    <row r="3078" spans="1:6">
      <c r="A3078" s="482"/>
      <c r="B3078" s="485"/>
      <c r="C3078" s="485"/>
      <c r="D3078" s="483"/>
      <c r="E3078" s="485"/>
      <c r="F3078" s="485"/>
    </row>
    <row r="3079" spans="1:6">
      <c r="A3079" s="482"/>
      <c r="B3079" s="485"/>
      <c r="C3079" s="485"/>
      <c r="D3079" s="485"/>
      <c r="E3079" s="485"/>
      <c r="F3079" s="485"/>
    </row>
    <row r="3080" spans="1:6">
      <c r="A3080" s="482"/>
      <c r="B3080" s="485"/>
      <c r="C3080" s="485"/>
      <c r="D3080" s="485"/>
      <c r="E3080" s="485"/>
      <c r="F3080" s="485"/>
    </row>
    <row r="3081" spans="1:6">
      <c r="A3081" s="482"/>
      <c r="B3081" s="485"/>
      <c r="C3081" s="485"/>
      <c r="D3081" s="485"/>
      <c r="E3081" s="485"/>
      <c r="F3081" s="485"/>
    </row>
    <row r="3082" spans="1:6">
      <c r="A3082" s="482"/>
      <c r="B3082" s="485"/>
      <c r="C3082" s="485"/>
      <c r="D3082" s="485"/>
      <c r="E3082" s="485"/>
      <c r="F3082" s="485"/>
    </row>
    <row r="3083" spans="1:6">
      <c r="A3083" s="482"/>
      <c r="B3083" s="485"/>
      <c r="C3083" s="485"/>
      <c r="D3083" s="485"/>
      <c r="E3083" s="485"/>
      <c r="F3083" s="485"/>
    </row>
    <row r="3084" spans="1:6">
      <c r="A3084" s="482"/>
      <c r="B3084" s="485"/>
      <c r="C3084" s="485"/>
      <c r="D3084" s="485"/>
      <c r="E3084" s="485"/>
      <c r="F3084" s="485"/>
    </row>
    <row r="3085" spans="1:6">
      <c r="A3085" s="482"/>
      <c r="B3085" s="485"/>
      <c r="C3085" s="485"/>
      <c r="D3085" s="485"/>
      <c r="E3085" s="485"/>
      <c r="F3085" s="485"/>
    </row>
    <row r="3086" spans="1:6">
      <c r="A3086" s="482"/>
      <c r="B3086" s="485"/>
      <c r="C3086" s="485"/>
      <c r="D3086" s="483"/>
      <c r="E3086" s="485"/>
      <c r="F3086" s="485"/>
    </row>
    <row r="3087" spans="1:6">
      <c r="A3087" s="482"/>
      <c r="B3087" s="485"/>
      <c r="C3087" s="485"/>
      <c r="D3087" s="483"/>
      <c r="E3087" s="485"/>
      <c r="F3087" s="485"/>
    </row>
    <row r="3088" spans="1:6">
      <c r="A3088" s="482"/>
      <c r="B3088" s="485"/>
      <c r="C3088" s="485"/>
      <c r="D3088" s="483"/>
      <c r="E3088" s="485"/>
      <c r="F3088" s="485"/>
    </row>
    <row r="3089" spans="1:6">
      <c r="A3089" s="482"/>
      <c r="B3089" s="485"/>
      <c r="C3089" s="485"/>
      <c r="D3089" s="483"/>
      <c r="E3089" s="485"/>
      <c r="F3089" s="485"/>
    </row>
    <row r="3090" spans="1:6">
      <c r="A3090" s="482"/>
      <c r="B3090" s="485"/>
      <c r="C3090" s="485"/>
      <c r="D3090" s="483"/>
      <c r="E3090" s="485"/>
      <c r="F3090" s="485"/>
    </row>
    <row r="3091" spans="1:6">
      <c r="A3091" s="482"/>
      <c r="B3091" s="485"/>
      <c r="C3091" s="485"/>
      <c r="D3091" s="485"/>
      <c r="E3091" s="485"/>
      <c r="F3091" s="485"/>
    </row>
    <row r="3092" spans="1:6">
      <c r="A3092" s="482"/>
      <c r="B3092" s="485"/>
      <c r="C3092" s="485"/>
      <c r="D3092" s="485"/>
      <c r="E3092" s="485"/>
      <c r="F3092" s="485"/>
    </row>
    <row r="3093" spans="1:6">
      <c r="A3093" s="482"/>
      <c r="B3093" s="485"/>
      <c r="C3093" s="485"/>
      <c r="D3093" s="485"/>
      <c r="E3093" s="485"/>
      <c r="F3093" s="485"/>
    </row>
    <row r="3094" spans="1:6">
      <c r="A3094" s="482"/>
      <c r="B3094" s="485"/>
      <c r="C3094" s="485"/>
      <c r="D3094" s="485"/>
      <c r="E3094" s="485"/>
      <c r="F3094" s="485"/>
    </row>
    <row r="3095" spans="1:6">
      <c r="A3095" s="482"/>
      <c r="B3095" s="485"/>
      <c r="C3095" s="485"/>
      <c r="D3095" s="485"/>
      <c r="E3095" s="485"/>
      <c r="F3095" s="485"/>
    </row>
    <row r="3096" spans="1:6">
      <c r="A3096" s="482"/>
      <c r="B3096" s="485"/>
      <c r="C3096" s="485"/>
      <c r="D3096" s="485"/>
      <c r="E3096" s="485"/>
      <c r="F3096" s="485"/>
    </row>
    <row r="3097" spans="1:6">
      <c r="A3097" s="482"/>
      <c r="B3097" s="485"/>
      <c r="C3097" s="485"/>
      <c r="D3097" s="485"/>
      <c r="E3097" s="485"/>
      <c r="F3097" s="485"/>
    </row>
    <row r="3098" spans="1:6">
      <c r="A3098" s="482"/>
      <c r="B3098" s="485"/>
      <c r="C3098" s="485"/>
      <c r="D3098" s="483"/>
      <c r="E3098" s="485"/>
      <c r="F3098" s="485"/>
    </row>
    <row r="3099" spans="1:6">
      <c r="A3099" s="482"/>
      <c r="B3099" s="485"/>
      <c r="C3099" s="485"/>
      <c r="D3099" s="483"/>
      <c r="E3099" s="485"/>
      <c r="F3099" s="485"/>
    </row>
    <row r="3100" spans="1:6">
      <c r="A3100" s="482"/>
      <c r="B3100" s="485"/>
      <c r="C3100" s="485"/>
      <c r="D3100" s="483"/>
      <c r="E3100" s="485"/>
      <c r="F3100" s="485"/>
    </row>
    <row r="3101" spans="1:6">
      <c r="A3101" s="482"/>
      <c r="B3101" s="485"/>
      <c r="C3101" s="485"/>
      <c r="D3101" s="483"/>
      <c r="E3101" s="485"/>
      <c r="F3101" s="485"/>
    </row>
    <row r="3102" spans="1:6">
      <c r="A3102" s="482"/>
      <c r="B3102" s="485"/>
      <c r="C3102" s="485"/>
      <c r="D3102" s="483"/>
      <c r="E3102" s="485"/>
      <c r="F3102" s="485"/>
    </row>
    <row r="3103" spans="1:6">
      <c r="A3103" s="482"/>
      <c r="B3103" s="485"/>
      <c r="C3103" s="485"/>
      <c r="D3103" s="485"/>
      <c r="E3103" s="485"/>
      <c r="F3103" s="485"/>
    </row>
    <row r="3104" spans="1:6">
      <c r="A3104" s="482"/>
      <c r="B3104" s="485"/>
      <c r="C3104" s="485"/>
      <c r="D3104" s="485"/>
      <c r="E3104" s="485"/>
      <c r="F3104" s="485"/>
    </row>
    <row r="3105" spans="1:6">
      <c r="A3105" s="482"/>
      <c r="B3105" s="485"/>
      <c r="C3105" s="485"/>
      <c r="D3105" s="485"/>
      <c r="E3105" s="485"/>
      <c r="F3105" s="485"/>
    </row>
    <row r="3106" spans="1:6">
      <c r="A3106" s="482"/>
      <c r="B3106" s="485"/>
      <c r="C3106" s="485"/>
      <c r="D3106" s="485"/>
      <c r="E3106" s="485"/>
      <c r="F3106" s="485"/>
    </row>
    <row r="3107" spans="1:6">
      <c r="A3107" s="482"/>
      <c r="B3107" s="485"/>
      <c r="C3107" s="485"/>
      <c r="D3107" s="485"/>
      <c r="E3107" s="485"/>
      <c r="F3107" s="485"/>
    </row>
    <row r="3108" spans="1:6">
      <c r="A3108" s="482"/>
      <c r="B3108" s="485"/>
      <c r="C3108" s="485"/>
      <c r="D3108" s="485"/>
      <c r="E3108" s="485"/>
      <c r="F3108" s="485"/>
    </row>
    <row r="3109" spans="1:6">
      <c r="A3109" s="482"/>
      <c r="B3109" s="485"/>
      <c r="C3109" s="485"/>
      <c r="D3109" s="485"/>
      <c r="E3109" s="485"/>
      <c r="F3109" s="485"/>
    </row>
    <row r="3110" spans="1:6">
      <c r="A3110" s="482"/>
      <c r="B3110" s="485"/>
      <c r="C3110" s="485"/>
      <c r="D3110" s="483"/>
      <c r="E3110" s="485"/>
      <c r="F3110" s="485"/>
    </row>
    <row r="3111" spans="1:6">
      <c r="A3111" s="482"/>
      <c r="B3111" s="485"/>
      <c r="C3111" s="485"/>
      <c r="D3111" s="483"/>
      <c r="E3111" s="485"/>
      <c r="F3111" s="485"/>
    </row>
    <row r="3112" spans="1:6">
      <c r="A3112" s="482"/>
      <c r="B3112" s="485"/>
      <c r="C3112" s="485"/>
      <c r="D3112" s="483"/>
      <c r="E3112" s="485"/>
      <c r="F3112" s="485"/>
    </row>
    <row r="3113" spans="1:6">
      <c r="A3113" s="482"/>
      <c r="B3113" s="485"/>
      <c r="C3113" s="485"/>
      <c r="D3113" s="483"/>
      <c r="E3113" s="485"/>
      <c r="F3113" s="485"/>
    </row>
    <row r="3114" spans="1:6">
      <c r="A3114" s="482"/>
      <c r="B3114" s="485"/>
      <c r="C3114" s="485"/>
      <c r="D3114" s="483"/>
      <c r="E3114" s="485"/>
      <c r="F3114" s="485"/>
    </row>
    <row r="3115" spans="1:6">
      <c r="A3115" s="482"/>
      <c r="B3115" s="485"/>
      <c r="C3115" s="485"/>
      <c r="D3115" s="485"/>
      <c r="E3115" s="485"/>
      <c r="F3115" s="485"/>
    </row>
    <row r="3116" spans="1:6">
      <c r="A3116" s="482"/>
      <c r="B3116" s="485"/>
      <c r="C3116" s="485"/>
      <c r="D3116" s="485"/>
      <c r="E3116" s="485"/>
      <c r="F3116" s="485"/>
    </row>
    <row r="3117" spans="1:6">
      <c r="A3117" s="482"/>
      <c r="B3117" s="485"/>
      <c r="C3117" s="485"/>
      <c r="D3117" s="485"/>
      <c r="E3117" s="485"/>
      <c r="F3117" s="485"/>
    </row>
    <row r="3118" spans="1:6">
      <c r="A3118" s="482"/>
      <c r="B3118" s="485"/>
      <c r="C3118" s="485"/>
      <c r="D3118" s="485"/>
      <c r="E3118" s="485"/>
      <c r="F3118" s="485"/>
    </row>
    <row r="3119" spans="1:6">
      <c r="A3119" s="482"/>
      <c r="B3119" s="485"/>
      <c r="C3119" s="485"/>
      <c r="D3119" s="485"/>
      <c r="E3119" s="485"/>
      <c r="F3119" s="485"/>
    </row>
    <row r="3120" spans="1:6">
      <c r="A3120" s="482"/>
      <c r="B3120" s="485"/>
      <c r="C3120" s="485"/>
      <c r="D3120" s="485"/>
      <c r="E3120" s="485"/>
      <c r="F3120" s="485"/>
    </row>
    <row r="3121" spans="1:6">
      <c r="A3121" s="482"/>
      <c r="B3121" s="485"/>
      <c r="C3121" s="485"/>
      <c r="D3121" s="485"/>
      <c r="E3121" s="485"/>
      <c r="F3121" s="485"/>
    </row>
    <row r="3122" spans="1:6">
      <c r="A3122" s="482"/>
      <c r="B3122" s="485"/>
      <c r="C3122" s="485"/>
      <c r="D3122" s="483"/>
      <c r="E3122" s="485"/>
      <c r="F3122" s="485"/>
    </row>
    <row r="3123" spans="1:6">
      <c r="A3123" s="482"/>
      <c r="B3123" s="485"/>
      <c r="C3123" s="485"/>
      <c r="D3123" s="483"/>
      <c r="E3123" s="485"/>
      <c r="F3123" s="485"/>
    </row>
    <row r="3124" spans="1:6">
      <c r="A3124" s="482"/>
      <c r="B3124" s="485"/>
      <c r="C3124" s="485"/>
      <c r="D3124" s="483"/>
      <c r="E3124" s="485"/>
      <c r="F3124" s="485"/>
    </row>
    <row r="3125" spans="1:6">
      <c r="A3125" s="482"/>
      <c r="B3125" s="485"/>
      <c r="C3125" s="485"/>
      <c r="D3125" s="483"/>
      <c r="E3125" s="485"/>
      <c r="F3125" s="485"/>
    </row>
    <row r="3126" spans="1:6">
      <c r="A3126" s="482"/>
      <c r="B3126" s="485"/>
      <c r="C3126" s="485"/>
      <c r="D3126" s="483"/>
      <c r="E3126" s="485"/>
      <c r="F3126" s="485"/>
    </row>
    <row r="3127" spans="1:6">
      <c r="A3127" s="482"/>
      <c r="B3127" s="485"/>
      <c r="C3127" s="485"/>
      <c r="D3127" s="485"/>
      <c r="E3127" s="485"/>
      <c r="F3127" s="485"/>
    </row>
    <row r="3128" spans="1:6">
      <c r="A3128" s="482"/>
      <c r="B3128" s="485"/>
      <c r="C3128" s="485"/>
      <c r="D3128" s="485"/>
      <c r="E3128" s="485"/>
      <c r="F3128" s="485"/>
    </row>
    <row r="3129" spans="1:6">
      <c r="A3129" s="482"/>
      <c r="B3129" s="485"/>
      <c r="C3129" s="485"/>
      <c r="D3129" s="485"/>
      <c r="E3129" s="485"/>
      <c r="F3129" s="485"/>
    </row>
    <row r="3130" spans="1:6">
      <c r="A3130" s="482"/>
      <c r="B3130" s="485"/>
      <c r="C3130" s="485"/>
      <c r="D3130" s="485"/>
      <c r="E3130" s="485"/>
      <c r="F3130" s="485"/>
    </row>
    <row r="3131" spans="1:6">
      <c r="A3131" s="482"/>
      <c r="B3131" s="485"/>
      <c r="C3131" s="485"/>
      <c r="D3131" s="485"/>
      <c r="E3131" s="485"/>
      <c r="F3131" s="485"/>
    </row>
    <row r="3132" spans="1:6">
      <c r="A3132" s="482"/>
      <c r="B3132" s="485"/>
      <c r="C3132" s="485"/>
      <c r="D3132" s="485"/>
      <c r="E3132" s="485"/>
      <c r="F3132" s="485"/>
    </row>
    <row r="3133" spans="1:6">
      <c r="A3133" s="482"/>
      <c r="B3133" s="485"/>
      <c r="C3133" s="485"/>
      <c r="D3133" s="485"/>
      <c r="E3133" s="485"/>
      <c r="F3133" s="485"/>
    </row>
    <row r="3134" spans="1:6">
      <c r="A3134" s="482"/>
      <c r="B3134" s="485"/>
      <c r="C3134" s="485"/>
      <c r="D3134" s="483"/>
      <c r="E3134" s="485"/>
      <c r="F3134" s="485"/>
    </row>
    <row r="3135" spans="1:6">
      <c r="A3135" s="482"/>
      <c r="B3135" s="485"/>
      <c r="C3135" s="485"/>
      <c r="D3135" s="483"/>
      <c r="E3135" s="485"/>
      <c r="F3135" s="485"/>
    </row>
    <row r="3136" spans="1:6">
      <c r="A3136" s="482"/>
      <c r="B3136" s="485"/>
      <c r="C3136" s="485"/>
      <c r="D3136" s="483"/>
      <c r="E3136" s="485"/>
      <c r="F3136" s="485"/>
    </row>
    <row r="3137" spans="1:6">
      <c r="A3137" s="482"/>
      <c r="B3137" s="485"/>
      <c r="C3137" s="485"/>
      <c r="D3137" s="483"/>
      <c r="E3137" s="485"/>
      <c r="F3137" s="485"/>
    </row>
    <row r="3138" spans="1:6">
      <c r="A3138" s="482"/>
      <c r="B3138" s="485"/>
      <c r="C3138" s="485"/>
      <c r="D3138" s="483"/>
      <c r="E3138" s="485"/>
      <c r="F3138" s="485"/>
    </row>
    <row r="3139" spans="1:6">
      <c r="A3139" s="482"/>
      <c r="B3139" s="485"/>
      <c r="C3139" s="485"/>
      <c r="D3139" s="485"/>
      <c r="E3139" s="485"/>
      <c r="F3139" s="485"/>
    </row>
    <row r="3140" spans="1:6">
      <c r="A3140" s="482"/>
      <c r="B3140" s="485"/>
      <c r="C3140" s="485"/>
      <c r="D3140" s="485"/>
      <c r="E3140" s="485"/>
      <c r="F3140" s="485"/>
    </row>
    <row r="3141" spans="1:6">
      <c r="A3141" s="482"/>
      <c r="B3141" s="485"/>
      <c r="C3141" s="485"/>
      <c r="D3141" s="485"/>
      <c r="E3141" s="485"/>
      <c r="F3141" s="485"/>
    </row>
    <row r="3142" spans="1:6">
      <c r="A3142" s="482"/>
      <c r="B3142" s="485"/>
      <c r="C3142" s="485"/>
      <c r="D3142" s="485"/>
      <c r="E3142" s="485"/>
      <c r="F3142" s="485"/>
    </row>
    <row r="3143" spans="1:6">
      <c r="A3143" s="482"/>
      <c r="B3143" s="485"/>
      <c r="C3143" s="485"/>
      <c r="D3143" s="485"/>
      <c r="E3143" s="485"/>
      <c r="F3143" s="485"/>
    </row>
    <row r="3144" spans="1:6">
      <c r="A3144" s="482"/>
      <c r="B3144" s="485"/>
      <c r="C3144" s="485"/>
      <c r="D3144" s="485"/>
      <c r="E3144" s="485"/>
      <c r="F3144" s="485"/>
    </row>
    <row r="3145" spans="1:6">
      <c r="A3145" s="482"/>
      <c r="B3145" s="485"/>
      <c r="C3145" s="485"/>
      <c r="D3145" s="485"/>
      <c r="E3145" s="485"/>
      <c r="F3145" s="485"/>
    </row>
    <row r="3146" spans="1:6">
      <c r="A3146" s="482"/>
      <c r="B3146" s="485"/>
      <c r="C3146" s="485"/>
      <c r="D3146" s="483"/>
      <c r="E3146" s="485"/>
      <c r="F3146" s="485"/>
    </row>
    <row r="3147" spans="1:6">
      <c r="A3147" s="482"/>
      <c r="B3147" s="485"/>
      <c r="C3147" s="485"/>
      <c r="D3147" s="483"/>
      <c r="E3147" s="485"/>
      <c r="F3147" s="485"/>
    </row>
    <row r="3148" spans="1:6">
      <c r="A3148" s="482"/>
      <c r="B3148" s="485"/>
      <c r="C3148" s="485"/>
      <c r="D3148" s="483"/>
      <c r="E3148" s="485"/>
      <c r="F3148" s="485"/>
    </row>
    <row r="3149" spans="1:6">
      <c r="A3149" s="482"/>
      <c r="B3149" s="485"/>
      <c r="C3149" s="485"/>
      <c r="D3149" s="483"/>
      <c r="E3149" s="485"/>
      <c r="F3149" s="485"/>
    </row>
    <row r="3150" spans="1:6">
      <c r="A3150" s="482"/>
      <c r="B3150" s="485"/>
      <c r="C3150" s="485"/>
      <c r="D3150" s="483"/>
      <c r="E3150" s="485"/>
      <c r="F3150" s="485"/>
    </row>
    <row r="3151" spans="1:6">
      <c r="A3151" s="482"/>
      <c r="B3151" s="485"/>
      <c r="C3151" s="485"/>
      <c r="D3151" s="485"/>
      <c r="E3151" s="485"/>
      <c r="F3151" s="485"/>
    </row>
    <row r="3152" spans="1:6">
      <c r="A3152" s="482"/>
      <c r="B3152" s="485"/>
      <c r="C3152" s="485"/>
      <c r="D3152" s="485"/>
      <c r="E3152" s="485"/>
      <c r="F3152" s="485"/>
    </row>
    <row r="3153" spans="1:6">
      <c r="A3153" s="482"/>
      <c r="B3153" s="485"/>
      <c r="C3153" s="485"/>
      <c r="D3153" s="485"/>
      <c r="E3153" s="485"/>
      <c r="F3153" s="485"/>
    </row>
    <row r="3154" spans="1:6">
      <c r="A3154" s="482"/>
      <c r="B3154" s="485"/>
      <c r="C3154" s="485"/>
      <c r="D3154" s="485"/>
      <c r="E3154" s="485"/>
      <c r="F3154" s="485"/>
    </row>
    <row r="3155" spans="1:6">
      <c r="A3155" s="482"/>
      <c r="B3155" s="485"/>
      <c r="C3155" s="485"/>
      <c r="D3155" s="485"/>
      <c r="E3155" s="485"/>
      <c r="F3155" s="485"/>
    </row>
    <row r="3156" spans="1:6">
      <c r="A3156" s="482"/>
      <c r="B3156" s="485"/>
      <c r="C3156" s="485"/>
      <c r="D3156" s="485"/>
      <c r="E3156" s="485"/>
      <c r="F3156" s="485"/>
    </row>
    <row r="3157" spans="1:6">
      <c r="A3157" s="482"/>
      <c r="B3157" s="485"/>
      <c r="C3157" s="485"/>
      <c r="D3157" s="485"/>
      <c r="E3157" s="485"/>
      <c r="F3157" s="485"/>
    </row>
    <row r="3158" spans="1:6">
      <c r="A3158" s="482"/>
      <c r="B3158" s="485"/>
      <c r="C3158" s="485"/>
      <c r="D3158" s="483"/>
      <c r="E3158" s="485"/>
      <c r="F3158" s="485"/>
    </row>
    <row r="3159" spans="1:6">
      <c r="A3159" s="482"/>
      <c r="B3159" s="485"/>
      <c r="C3159" s="485"/>
      <c r="D3159" s="483"/>
      <c r="E3159" s="485"/>
      <c r="F3159" s="485"/>
    </row>
    <row r="3160" spans="1:6">
      <c r="A3160" s="482"/>
      <c r="B3160" s="485"/>
      <c r="C3160" s="485"/>
      <c r="D3160" s="483"/>
      <c r="E3160" s="485"/>
      <c r="F3160" s="485"/>
    </row>
    <row r="3161" spans="1:6">
      <c r="A3161" s="482"/>
      <c r="B3161" s="485"/>
      <c r="C3161" s="485"/>
      <c r="D3161" s="483"/>
      <c r="E3161" s="485"/>
      <c r="F3161" s="485"/>
    </row>
    <row r="3162" spans="1:6">
      <c r="A3162" s="482"/>
      <c r="B3162" s="485"/>
      <c r="C3162" s="485"/>
      <c r="D3162" s="483"/>
      <c r="E3162" s="485"/>
      <c r="F3162" s="485"/>
    </row>
    <row r="3163" spans="1:6">
      <c r="A3163" s="482"/>
      <c r="B3163" s="485"/>
      <c r="C3163" s="485"/>
      <c r="D3163" s="485"/>
      <c r="E3163" s="485"/>
      <c r="F3163" s="485"/>
    </row>
    <row r="3164" spans="1:6">
      <c r="A3164" s="482"/>
      <c r="B3164" s="485"/>
      <c r="C3164" s="485"/>
      <c r="D3164" s="485"/>
      <c r="E3164" s="485"/>
      <c r="F3164" s="485"/>
    </row>
    <row r="3165" spans="1:6">
      <c r="A3165" s="482"/>
      <c r="B3165" s="485"/>
      <c r="C3165" s="485"/>
      <c r="D3165" s="485"/>
      <c r="E3165" s="485"/>
      <c r="F3165" s="485"/>
    </row>
    <row r="3166" spans="1:6">
      <c r="A3166" s="482"/>
      <c r="B3166" s="485"/>
      <c r="C3166" s="485"/>
      <c r="D3166" s="485"/>
      <c r="E3166" s="485"/>
      <c r="F3166" s="485"/>
    </row>
    <row r="3167" spans="1:6">
      <c r="A3167" s="482"/>
      <c r="B3167" s="485"/>
      <c r="C3167" s="485"/>
      <c r="D3167" s="485"/>
      <c r="E3167" s="485"/>
      <c r="F3167" s="485"/>
    </row>
    <row r="3168" spans="1:6">
      <c r="A3168" s="482"/>
      <c r="B3168" s="485"/>
      <c r="C3168" s="485"/>
      <c r="D3168" s="485"/>
      <c r="E3168" s="485"/>
      <c r="F3168" s="485"/>
    </row>
    <row r="3169" spans="1:6">
      <c r="A3169" s="482"/>
      <c r="B3169" s="485"/>
      <c r="C3169" s="485"/>
      <c r="D3169" s="485"/>
      <c r="E3169" s="485"/>
      <c r="F3169" s="485"/>
    </row>
    <row r="3170" spans="1:6">
      <c r="A3170" s="482"/>
      <c r="B3170" s="485"/>
      <c r="C3170" s="485"/>
      <c r="D3170" s="483"/>
      <c r="E3170" s="485"/>
      <c r="F3170" s="485"/>
    </row>
    <row r="3171" spans="1:6">
      <c r="A3171" s="482"/>
      <c r="B3171" s="485"/>
      <c r="C3171" s="485"/>
      <c r="D3171" s="483"/>
      <c r="E3171" s="485"/>
      <c r="F3171" s="485"/>
    </row>
    <row r="3172" spans="1:6">
      <c r="A3172" s="482"/>
      <c r="B3172" s="485"/>
      <c r="C3172" s="485"/>
      <c r="D3172" s="483"/>
      <c r="E3172" s="485"/>
      <c r="F3172" s="485"/>
    </row>
    <row r="3173" spans="1:6">
      <c r="A3173" s="482"/>
      <c r="B3173" s="485"/>
      <c r="C3173" s="485"/>
      <c r="D3173" s="483"/>
      <c r="E3173" s="485"/>
      <c r="F3173" s="485"/>
    </row>
    <row r="3174" spans="1:6">
      <c r="A3174" s="482"/>
      <c r="B3174" s="485"/>
      <c r="C3174" s="485"/>
      <c r="D3174" s="483"/>
      <c r="E3174" s="485"/>
      <c r="F3174" s="485"/>
    </row>
    <row r="3175" spans="1:6">
      <c r="A3175" s="482"/>
      <c r="B3175" s="485"/>
      <c r="C3175" s="485"/>
      <c r="D3175" s="485"/>
      <c r="E3175" s="485"/>
      <c r="F3175" s="485"/>
    </row>
    <row r="3176" spans="1:6">
      <c r="A3176" s="482"/>
      <c r="B3176" s="485"/>
      <c r="C3176" s="485"/>
      <c r="D3176" s="485"/>
      <c r="E3176" s="485"/>
      <c r="F3176" s="485"/>
    </row>
    <row r="3177" spans="1:6">
      <c r="A3177" s="482"/>
      <c r="B3177" s="485"/>
      <c r="C3177" s="485"/>
      <c r="D3177" s="485"/>
      <c r="E3177" s="485"/>
      <c r="F3177" s="485"/>
    </row>
    <row r="3178" spans="1:6">
      <c r="A3178" s="482"/>
      <c r="B3178" s="485"/>
      <c r="C3178" s="485"/>
      <c r="D3178" s="485"/>
      <c r="E3178" s="485"/>
      <c r="F3178" s="485"/>
    </row>
    <row r="3179" spans="1:6">
      <c r="A3179" s="482"/>
      <c r="B3179" s="485"/>
      <c r="C3179" s="485"/>
      <c r="D3179" s="485"/>
      <c r="E3179" s="485"/>
      <c r="F3179" s="485"/>
    </row>
    <row r="3180" spans="1:6">
      <c r="A3180" s="482"/>
      <c r="B3180" s="485"/>
      <c r="C3180" s="485"/>
      <c r="D3180" s="485"/>
      <c r="E3180" s="485"/>
      <c r="F3180" s="485"/>
    </row>
    <row r="3181" spans="1:6">
      <c r="A3181" s="482"/>
      <c r="B3181" s="485"/>
      <c r="C3181" s="485"/>
      <c r="D3181" s="485"/>
      <c r="E3181" s="485"/>
      <c r="F3181" s="485"/>
    </row>
    <row r="3182" spans="1:6">
      <c r="A3182" s="482"/>
      <c r="B3182" s="485"/>
      <c r="C3182" s="485"/>
      <c r="D3182" s="483"/>
      <c r="E3182" s="485"/>
      <c r="F3182" s="485"/>
    </row>
    <row r="3183" spans="1:6">
      <c r="A3183" s="482"/>
      <c r="B3183" s="485"/>
      <c r="C3183" s="485"/>
      <c r="D3183" s="483"/>
      <c r="E3183" s="485"/>
      <c r="F3183" s="485"/>
    </row>
    <row r="3184" spans="1:6">
      <c r="A3184" s="482"/>
      <c r="B3184" s="485"/>
      <c r="C3184" s="485"/>
      <c r="D3184" s="483"/>
      <c r="E3184" s="485"/>
      <c r="F3184" s="485"/>
    </row>
    <row r="3185" spans="1:6">
      <c r="A3185" s="482"/>
      <c r="B3185" s="485"/>
      <c r="C3185" s="485"/>
      <c r="D3185" s="483"/>
      <c r="E3185" s="485"/>
      <c r="F3185" s="485"/>
    </row>
    <row r="3186" spans="1:6">
      <c r="A3186" s="482"/>
      <c r="B3186" s="485"/>
      <c r="C3186" s="485"/>
      <c r="D3186" s="483"/>
      <c r="E3186" s="485"/>
      <c r="F3186" s="485"/>
    </row>
    <row r="3187" spans="1:6">
      <c r="A3187" s="482"/>
      <c r="B3187" s="485"/>
      <c r="C3187" s="485"/>
      <c r="D3187" s="485"/>
      <c r="E3187" s="485"/>
      <c r="F3187" s="485"/>
    </row>
    <row r="3188" spans="1:6">
      <c r="A3188" s="482"/>
      <c r="B3188" s="485"/>
      <c r="C3188" s="485"/>
      <c r="D3188" s="485"/>
      <c r="E3188" s="485"/>
      <c r="F3188" s="485"/>
    </row>
    <row r="3189" spans="1:6">
      <c r="A3189" s="482"/>
      <c r="B3189" s="485"/>
      <c r="C3189" s="485"/>
      <c r="D3189" s="485"/>
      <c r="E3189" s="485"/>
      <c r="F3189" s="485"/>
    </row>
    <row r="3190" spans="1:6">
      <c r="A3190" s="482"/>
      <c r="B3190" s="485"/>
      <c r="C3190" s="485"/>
      <c r="D3190" s="485"/>
      <c r="E3190" s="485"/>
      <c r="F3190" s="485"/>
    </row>
    <row r="3191" spans="1:6">
      <c r="A3191" s="482"/>
      <c r="B3191" s="485"/>
      <c r="C3191" s="485"/>
      <c r="D3191" s="485"/>
      <c r="E3191" s="485"/>
      <c r="F3191" s="485"/>
    </row>
    <row r="3192" spans="1:6">
      <c r="A3192" s="482"/>
      <c r="B3192" s="485"/>
      <c r="C3192" s="485"/>
      <c r="D3192" s="485"/>
      <c r="E3192" s="485"/>
      <c r="F3192" s="485"/>
    </row>
    <row r="3193" spans="1:6">
      <c r="A3193" s="482"/>
      <c r="B3193" s="485"/>
      <c r="C3193" s="485"/>
      <c r="D3193" s="485"/>
      <c r="E3193" s="485"/>
      <c r="F3193" s="485"/>
    </row>
    <row r="3194" spans="1:6">
      <c r="A3194" s="482"/>
      <c r="B3194" s="485"/>
      <c r="C3194" s="485"/>
      <c r="D3194" s="483"/>
      <c r="E3194" s="485"/>
      <c r="F3194" s="485"/>
    </row>
    <row r="3195" spans="1:6">
      <c r="A3195" s="482"/>
      <c r="B3195" s="485"/>
      <c r="C3195" s="485"/>
      <c r="D3195" s="483"/>
      <c r="E3195" s="485"/>
      <c r="F3195" s="485"/>
    </row>
    <row r="3196" spans="1:6">
      <c r="A3196" s="482"/>
      <c r="B3196" s="485"/>
      <c r="C3196" s="485"/>
      <c r="D3196" s="483"/>
      <c r="E3196" s="485"/>
      <c r="F3196" s="485"/>
    </row>
    <row r="3197" spans="1:6">
      <c r="A3197" s="482"/>
      <c r="B3197" s="485"/>
      <c r="C3197" s="485"/>
      <c r="D3197" s="483"/>
      <c r="E3197" s="485"/>
      <c r="F3197" s="485"/>
    </row>
    <row r="3198" spans="1:6">
      <c r="A3198" s="482"/>
      <c r="B3198" s="485"/>
      <c r="C3198" s="485"/>
      <c r="D3198" s="483"/>
      <c r="E3198" s="485"/>
      <c r="F3198" s="485"/>
    </row>
    <row r="3199" spans="1:6">
      <c r="A3199" s="482"/>
      <c r="B3199" s="485"/>
      <c r="C3199" s="485"/>
      <c r="D3199" s="485"/>
      <c r="E3199" s="485"/>
      <c r="F3199" s="485"/>
    </row>
    <row r="3200" spans="1:6">
      <c r="A3200" s="482"/>
      <c r="B3200" s="485"/>
      <c r="C3200" s="485"/>
      <c r="D3200" s="485"/>
      <c r="E3200" s="485"/>
      <c r="F3200" s="485"/>
    </row>
    <row r="3201" spans="1:6">
      <c r="A3201" s="482"/>
      <c r="B3201" s="485"/>
      <c r="C3201" s="485"/>
      <c r="D3201" s="485"/>
      <c r="E3201" s="485"/>
      <c r="F3201" s="485"/>
    </row>
    <row r="3202" spans="1:6">
      <c r="A3202" s="482"/>
      <c r="B3202" s="485"/>
      <c r="C3202" s="485"/>
      <c r="D3202" s="485"/>
      <c r="E3202" s="485"/>
      <c r="F3202" s="485"/>
    </row>
    <row r="3203" spans="1:6">
      <c r="A3203" s="482"/>
      <c r="B3203" s="485"/>
      <c r="C3203" s="485"/>
      <c r="D3203" s="485"/>
      <c r="E3203" s="485"/>
      <c r="F3203" s="485"/>
    </row>
    <row r="3204" spans="1:6">
      <c r="A3204" s="482"/>
      <c r="B3204" s="485"/>
      <c r="C3204" s="485"/>
      <c r="D3204" s="485"/>
      <c r="E3204" s="485"/>
      <c r="F3204" s="485"/>
    </row>
    <row r="3205" spans="1:6">
      <c r="A3205" s="482"/>
      <c r="B3205" s="485"/>
      <c r="C3205" s="485"/>
      <c r="D3205" s="485"/>
      <c r="E3205" s="485"/>
      <c r="F3205" s="485"/>
    </row>
    <row r="3206" spans="1:6">
      <c r="A3206" s="482"/>
      <c r="B3206" s="485"/>
      <c r="C3206" s="485"/>
      <c r="D3206" s="483"/>
      <c r="E3206" s="485"/>
      <c r="F3206" s="485"/>
    </row>
    <row r="3207" spans="1:6">
      <c r="A3207" s="482"/>
      <c r="B3207" s="485"/>
      <c r="C3207" s="485"/>
      <c r="D3207" s="483"/>
      <c r="E3207" s="485"/>
      <c r="F3207" s="485"/>
    </row>
    <row r="3208" spans="1:6">
      <c r="A3208" s="482"/>
      <c r="B3208" s="485"/>
      <c r="C3208" s="485"/>
      <c r="D3208" s="483"/>
      <c r="E3208" s="485"/>
      <c r="F3208" s="485"/>
    </row>
    <row r="3209" spans="1:6">
      <c r="A3209" s="482"/>
      <c r="B3209" s="485"/>
      <c r="C3209" s="485"/>
      <c r="D3209" s="483"/>
      <c r="E3209" s="485"/>
      <c r="F3209" s="485"/>
    </row>
    <row r="3210" spans="1:6">
      <c r="A3210" s="482"/>
      <c r="B3210" s="485"/>
      <c r="C3210" s="485"/>
      <c r="D3210" s="483"/>
      <c r="E3210" s="485"/>
      <c r="F3210" s="485"/>
    </row>
    <row r="3211" spans="1:6">
      <c r="A3211" s="482"/>
      <c r="B3211" s="485"/>
      <c r="C3211" s="485"/>
      <c r="D3211" s="485"/>
      <c r="E3211" s="485"/>
      <c r="F3211" s="485"/>
    </row>
    <row r="3212" spans="1:6">
      <c r="A3212" s="482"/>
      <c r="B3212" s="485"/>
      <c r="C3212" s="485"/>
      <c r="D3212" s="485"/>
      <c r="E3212" s="485"/>
      <c r="F3212" s="485"/>
    </row>
    <row r="3213" spans="1:6">
      <c r="A3213" s="482"/>
      <c r="B3213" s="485"/>
      <c r="C3213" s="485"/>
      <c r="D3213" s="485"/>
      <c r="E3213" s="485"/>
      <c r="F3213" s="485"/>
    </row>
    <row r="3214" spans="1:6">
      <c r="A3214" s="482"/>
      <c r="B3214" s="485"/>
      <c r="C3214" s="485"/>
      <c r="D3214" s="485"/>
      <c r="E3214" s="485"/>
      <c r="F3214" s="485"/>
    </row>
    <row r="3215" spans="1:6">
      <c r="A3215" s="482"/>
      <c r="B3215" s="485"/>
      <c r="C3215" s="485"/>
      <c r="D3215" s="485"/>
      <c r="E3215" s="485"/>
      <c r="F3215" s="485"/>
    </row>
    <row r="3216" spans="1:6">
      <c r="A3216" s="482"/>
      <c r="B3216" s="485"/>
      <c r="C3216" s="485"/>
      <c r="D3216" s="485"/>
      <c r="E3216" s="485"/>
      <c r="F3216" s="485"/>
    </row>
    <row r="3217" spans="1:6">
      <c r="A3217" s="482"/>
      <c r="B3217" s="485"/>
      <c r="C3217" s="485"/>
      <c r="D3217" s="485"/>
      <c r="E3217" s="485"/>
      <c r="F3217" s="485"/>
    </row>
    <row r="3218" spans="1:6">
      <c r="A3218" s="482"/>
      <c r="B3218" s="485"/>
      <c r="C3218" s="485"/>
      <c r="D3218" s="483"/>
      <c r="E3218" s="485"/>
      <c r="F3218" s="485"/>
    </row>
    <row r="3219" spans="1:6">
      <c r="A3219" s="482"/>
      <c r="B3219" s="485"/>
      <c r="C3219" s="485"/>
      <c r="D3219" s="483"/>
      <c r="E3219" s="485"/>
      <c r="F3219" s="485"/>
    </row>
    <row r="3220" spans="1:6">
      <c r="A3220" s="482"/>
      <c r="B3220" s="485"/>
      <c r="C3220" s="485"/>
      <c r="D3220" s="483"/>
      <c r="E3220" s="485"/>
      <c r="F3220" s="485"/>
    </row>
    <row r="3221" spans="1:6">
      <c r="A3221" s="482"/>
      <c r="B3221" s="485"/>
      <c r="C3221" s="485"/>
      <c r="D3221" s="483"/>
      <c r="E3221" s="485"/>
      <c r="F3221" s="485"/>
    </row>
    <row r="3222" spans="1:6">
      <c r="A3222" s="482"/>
      <c r="B3222" s="485"/>
      <c r="C3222" s="485"/>
      <c r="D3222" s="483"/>
      <c r="E3222" s="485"/>
      <c r="F3222" s="485"/>
    </row>
    <row r="3223" spans="1:6">
      <c r="A3223" s="482"/>
      <c r="B3223" s="485"/>
      <c r="C3223" s="485"/>
      <c r="D3223" s="485"/>
      <c r="E3223" s="485"/>
      <c r="F3223" s="485"/>
    </row>
    <row r="3224" spans="1:6">
      <c r="A3224" s="482"/>
      <c r="B3224" s="485"/>
      <c r="C3224" s="485"/>
      <c r="D3224" s="485"/>
      <c r="E3224" s="485"/>
      <c r="F3224" s="485"/>
    </row>
    <row r="3225" spans="1:6">
      <c r="A3225" s="482"/>
      <c r="B3225" s="485"/>
      <c r="C3225" s="485"/>
      <c r="D3225" s="485"/>
      <c r="E3225" s="485"/>
      <c r="F3225" s="485"/>
    </row>
    <row r="3226" spans="1:6">
      <c r="A3226" s="482"/>
      <c r="B3226" s="485"/>
      <c r="C3226" s="485"/>
      <c r="D3226" s="485"/>
      <c r="E3226" s="485"/>
      <c r="F3226" s="485"/>
    </row>
    <row r="3227" spans="1:6">
      <c r="A3227" s="482"/>
      <c r="B3227" s="485"/>
      <c r="C3227" s="485"/>
      <c r="D3227" s="485"/>
      <c r="E3227" s="485"/>
      <c r="F3227" s="485"/>
    </row>
    <row r="3228" spans="1:6">
      <c r="A3228" s="482"/>
      <c r="B3228" s="485"/>
      <c r="C3228" s="485"/>
      <c r="D3228" s="485"/>
      <c r="E3228" s="485"/>
      <c r="F3228" s="485"/>
    </row>
    <row r="3229" spans="1:6">
      <c r="A3229" s="482"/>
      <c r="B3229" s="485"/>
      <c r="C3229" s="485"/>
      <c r="D3229" s="485"/>
      <c r="E3229" s="485"/>
      <c r="F3229" s="485"/>
    </row>
    <row r="3230" spans="1:6">
      <c r="A3230" s="482"/>
      <c r="B3230" s="485"/>
      <c r="C3230" s="485"/>
      <c r="D3230" s="483"/>
      <c r="E3230" s="485"/>
      <c r="F3230" s="485"/>
    </row>
    <row r="3231" spans="1:6">
      <c r="A3231" s="482"/>
      <c r="B3231" s="485"/>
      <c r="C3231" s="485"/>
      <c r="D3231" s="483"/>
      <c r="E3231" s="485"/>
      <c r="F3231" s="485"/>
    </row>
    <row r="3232" spans="1:6">
      <c r="A3232" s="482"/>
      <c r="B3232" s="485"/>
      <c r="C3232" s="485"/>
      <c r="D3232" s="483"/>
      <c r="E3232" s="485"/>
      <c r="F3232" s="485"/>
    </row>
    <row r="3233" spans="1:6">
      <c r="A3233" s="482"/>
      <c r="B3233" s="485"/>
      <c r="C3233" s="485"/>
      <c r="D3233" s="483"/>
      <c r="E3233" s="485"/>
      <c r="F3233" s="485"/>
    </row>
    <row r="3234" spans="1:6">
      <c r="A3234" s="482"/>
      <c r="B3234" s="485"/>
      <c r="C3234" s="485"/>
      <c r="D3234" s="483"/>
      <c r="E3234" s="485"/>
      <c r="F3234" s="485"/>
    </row>
    <row r="3235" spans="1:6">
      <c r="A3235" s="482"/>
      <c r="B3235" s="485"/>
      <c r="C3235" s="485"/>
      <c r="D3235" s="485"/>
      <c r="E3235" s="485"/>
      <c r="F3235" s="485"/>
    </row>
    <row r="3236" spans="1:6">
      <c r="A3236" s="482"/>
      <c r="B3236" s="485"/>
      <c r="C3236" s="485"/>
      <c r="D3236" s="485"/>
      <c r="E3236" s="485"/>
      <c r="F3236" s="485"/>
    </row>
    <row r="3237" spans="1:6">
      <c r="A3237" s="482"/>
      <c r="B3237" s="485"/>
      <c r="C3237" s="485"/>
      <c r="D3237" s="485"/>
      <c r="E3237" s="485"/>
      <c r="F3237" s="485"/>
    </row>
    <row r="3238" spans="1:6">
      <c r="A3238" s="482"/>
      <c r="B3238" s="485"/>
      <c r="C3238" s="485"/>
      <c r="D3238" s="485"/>
      <c r="E3238" s="485"/>
      <c r="F3238" s="485"/>
    </row>
    <row r="3239" spans="1:6">
      <c r="A3239" s="482"/>
      <c r="B3239" s="485"/>
      <c r="C3239" s="485"/>
      <c r="D3239" s="485"/>
      <c r="E3239" s="485"/>
      <c r="F3239" s="485"/>
    </row>
    <row r="3240" spans="1:6">
      <c r="A3240" s="482"/>
      <c r="B3240" s="485"/>
      <c r="C3240" s="485"/>
      <c r="D3240" s="485"/>
      <c r="E3240" s="485"/>
      <c r="F3240" s="485"/>
    </row>
    <row r="3241" spans="1:6">
      <c r="A3241" s="482"/>
      <c r="B3241" s="485"/>
      <c r="C3241" s="485"/>
      <c r="D3241" s="485"/>
      <c r="E3241" s="485"/>
      <c r="F3241" s="485"/>
    </row>
    <row r="3242" spans="1:6">
      <c r="A3242" s="482"/>
      <c r="B3242" s="485"/>
      <c r="C3242" s="485"/>
      <c r="D3242" s="483"/>
      <c r="E3242" s="485"/>
      <c r="F3242" s="485"/>
    </row>
    <row r="3243" spans="1:6">
      <c r="A3243" s="482"/>
      <c r="B3243" s="485"/>
      <c r="C3243" s="485"/>
      <c r="D3243" s="483"/>
      <c r="E3243" s="485"/>
      <c r="F3243" s="485"/>
    </row>
    <row r="3244" spans="1:6">
      <c r="A3244" s="482"/>
      <c r="B3244" s="485"/>
      <c r="C3244" s="485"/>
      <c r="D3244" s="483"/>
      <c r="E3244" s="485"/>
      <c r="F3244" s="485"/>
    </row>
    <row r="3245" spans="1:6">
      <c r="A3245" s="482"/>
      <c r="B3245" s="485"/>
      <c r="C3245" s="485"/>
      <c r="D3245" s="483"/>
      <c r="E3245" s="485"/>
      <c r="F3245" s="485"/>
    </row>
    <row r="3246" spans="1:6">
      <c r="A3246" s="482"/>
      <c r="B3246" s="485"/>
      <c r="C3246" s="485"/>
      <c r="D3246" s="483"/>
      <c r="E3246" s="485"/>
      <c r="F3246" s="485"/>
    </row>
    <row r="3247" spans="1:6">
      <c r="A3247" s="482"/>
      <c r="B3247" s="485"/>
      <c r="C3247" s="485"/>
      <c r="D3247" s="485"/>
      <c r="E3247" s="485"/>
      <c r="F3247" s="485"/>
    </row>
    <row r="3248" spans="1:6">
      <c r="A3248" s="482"/>
      <c r="B3248" s="485"/>
      <c r="C3248" s="485"/>
      <c r="D3248" s="485"/>
      <c r="E3248" s="485"/>
      <c r="F3248" s="485"/>
    </row>
    <row r="3249" spans="1:6">
      <c r="A3249" s="482"/>
      <c r="B3249" s="485"/>
      <c r="C3249" s="485"/>
      <c r="D3249" s="485"/>
      <c r="E3249" s="485"/>
      <c r="F3249" s="485"/>
    </row>
    <row r="3250" spans="1:6">
      <c r="A3250" s="482"/>
      <c r="B3250" s="485"/>
      <c r="C3250" s="485"/>
      <c r="D3250" s="485"/>
      <c r="E3250" s="485"/>
      <c r="F3250" s="485"/>
    </row>
    <row r="3251" spans="1:6">
      <c r="A3251" s="482"/>
      <c r="B3251" s="485"/>
      <c r="C3251" s="485"/>
      <c r="D3251" s="485"/>
      <c r="E3251" s="485"/>
      <c r="F3251" s="485"/>
    </row>
    <row r="3252" spans="1:6">
      <c r="A3252" s="482"/>
      <c r="B3252" s="485"/>
      <c r="C3252" s="485"/>
      <c r="D3252" s="485"/>
      <c r="E3252" s="485"/>
      <c r="F3252" s="485"/>
    </row>
    <row r="3253" spans="1:6">
      <c r="A3253" s="482"/>
      <c r="B3253" s="485"/>
      <c r="C3253" s="485"/>
      <c r="D3253" s="485"/>
      <c r="E3253" s="485"/>
      <c r="F3253" s="485"/>
    </row>
    <row r="3254" spans="1:6">
      <c r="A3254" s="482"/>
      <c r="B3254" s="484"/>
      <c r="C3254" s="484"/>
      <c r="D3254" s="485"/>
      <c r="E3254" s="484"/>
      <c r="F3254" s="484"/>
    </row>
    <row r="3255" spans="1:6">
      <c r="A3255" s="482"/>
      <c r="B3255" s="485"/>
      <c r="C3255" s="485"/>
      <c r="D3255" s="485"/>
      <c r="E3255" s="485"/>
      <c r="F3255" s="485"/>
    </row>
    <row r="3256" spans="1:6">
      <c r="A3256" s="482"/>
      <c r="B3256" s="485"/>
      <c r="C3256" s="485"/>
      <c r="D3256" s="485"/>
      <c r="E3256" s="485"/>
      <c r="F3256" s="485"/>
    </row>
    <row r="3257" spans="1:6">
      <c r="A3257" s="482"/>
      <c r="B3257" s="485"/>
      <c r="C3257" s="485"/>
      <c r="D3257" s="485"/>
      <c r="E3257" s="485"/>
      <c r="F3257" s="485"/>
    </row>
    <row r="3258" spans="1:6">
      <c r="A3258" s="482"/>
      <c r="B3258" s="485"/>
      <c r="C3258" s="485"/>
      <c r="D3258" s="485"/>
      <c r="E3258" s="485"/>
      <c r="F3258" s="485"/>
    </row>
    <row r="3259" spans="1:6">
      <c r="A3259" s="482"/>
      <c r="B3259" s="485"/>
      <c r="C3259" s="485"/>
      <c r="D3259" s="485"/>
      <c r="E3259" s="485"/>
      <c r="F3259" s="485"/>
    </row>
    <row r="3260" spans="1:6">
      <c r="A3260" s="482"/>
      <c r="B3260" s="485"/>
      <c r="C3260" s="485"/>
      <c r="D3260" s="485"/>
      <c r="E3260" s="485"/>
      <c r="F3260" s="485"/>
    </row>
    <row r="3261" spans="1:6">
      <c r="A3261" s="482"/>
      <c r="B3261" s="485"/>
      <c r="C3261" s="485"/>
      <c r="D3261" s="485"/>
      <c r="E3261" s="485"/>
      <c r="F3261" s="485"/>
    </row>
    <row r="3262" spans="1:6">
      <c r="A3262" s="482"/>
      <c r="B3262" s="485"/>
      <c r="C3262" s="485"/>
      <c r="D3262" s="485"/>
      <c r="E3262" s="485"/>
      <c r="F3262" s="485"/>
    </row>
    <row r="3263" spans="1:6">
      <c r="A3263" s="482"/>
      <c r="B3263" s="485"/>
      <c r="C3263" s="485"/>
      <c r="D3263" s="485"/>
      <c r="E3263" s="485"/>
      <c r="F3263" s="485"/>
    </row>
    <row r="3264" spans="1:6">
      <c r="A3264" s="482"/>
      <c r="B3264" s="485"/>
      <c r="C3264" s="485"/>
      <c r="D3264" s="485"/>
      <c r="E3264" s="485"/>
      <c r="F3264" s="485"/>
    </row>
    <row r="3265" spans="1:6">
      <c r="A3265" s="482"/>
      <c r="B3265" s="485"/>
      <c r="C3265" s="485"/>
      <c r="D3265" s="485"/>
      <c r="E3265" s="485"/>
      <c r="F3265" s="485"/>
    </row>
    <row r="3266" spans="1:6">
      <c r="A3266" s="482"/>
      <c r="B3266" s="485"/>
      <c r="C3266" s="485"/>
      <c r="D3266" s="485"/>
      <c r="E3266" s="485"/>
      <c r="F3266" s="485"/>
    </row>
    <row r="3267" spans="1:6">
      <c r="A3267" s="482"/>
      <c r="B3267" s="485"/>
      <c r="C3267" s="485"/>
      <c r="D3267" s="485"/>
      <c r="E3267" s="485"/>
      <c r="F3267" s="485"/>
    </row>
    <row r="3268" spans="1:6">
      <c r="A3268" s="482"/>
      <c r="B3268" s="485"/>
      <c r="C3268" s="485"/>
      <c r="D3268" s="485"/>
      <c r="E3268" s="485"/>
      <c r="F3268" s="485"/>
    </row>
    <row r="3269" spans="1:6">
      <c r="A3269" s="482"/>
      <c r="B3269" s="485"/>
      <c r="C3269" s="485"/>
      <c r="D3269" s="485"/>
      <c r="E3269" s="485"/>
      <c r="F3269" s="485"/>
    </row>
    <row r="3270" spans="1:6">
      <c r="A3270" s="482"/>
      <c r="B3270" s="485"/>
      <c r="C3270" s="485"/>
      <c r="D3270" s="485"/>
      <c r="E3270" s="485"/>
      <c r="F3270" s="485"/>
    </row>
    <row r="3271" spans="1:6">
      <c r="A3271" s="482"/>
      <c r="B3271" s="485"/>
      <c r="C3271" s="485"/>
      <c r="D3271" s="485"/>
      <c r="E3271" s="485"/>
      <c r="F3271" s="485"/>
    </row>
    <row r="3272" spans="1:6">
      <c r="A3272" s="482"/>
      <c r="B3272" s="485"/>
      <c r="C3272" s="485"/>
      <c r="D3272" s="485"/>
      <c r="E3272" s="485"/>
      <c r="F3272" s="485"/>
    </row>
    <row r="3273" spans="1:6">
      <c r="A3273" s="482"/>
      <c r="B3273" s="485"/>
      <c r="C3273" s="485"/>
      <c r="D3273" s="485"/>
      <c r="E3273" s="485"/>
      <c r="F3273" s="485"/>
    </row>
    <row r="3274" spans="1:6">
      <c r="A3274" s="482"/>
      <c r="B3274" s="485"/>
      <c r="C3274" s="485"/>
      <c r="D3274" s="485"/>
      <c r="E3274" s="485"/>
      <c r="F3274" s="485"/>
    </row>
    <row r="3275" spans="1:6">
      <c r="A3275" s="482"/>
      <c r="B3275" s="485"/>
      <c r="C3275" s="485"/>
      <c r="D3275" s="485"/>
      <c r="E3275" s="485"/>
      <c r="F3275" s="485"/>
    </row>
    <row r="3276" spans="1:6">
      <c r="A3276" s="482"/>
      <c r="B3276" s="485"/>
      <c r="C3276" s="485"/>
      <c r="D3276" s="485"/>
      <c r="E3276" s="485"/>
      <c r="F3276" s="485"/>
    </row>
    <row r="3277" spans="1:6">
      <c r="A3277" s="482"/>
      <c r="B3277" s="485"/>
      <c r="C3277" s="485"/>
      <c r="D3277" s="485"/>
      <c r="E3277" s="485"/>
      <c r="F3277" s="485"/>
    </row>
    <row r="3278" spans="1:6">
      <c r="A3278" s="482"/>
      <c r="B3278" s="485"/>
      <c r="C3278" s="485"/>
      <c r="D3278" s="485"/>
      <c r="E3278" s="485"/>
      <c r="F3278" s="485"/>
    </row>
    <row r="3279" spans="1:6">
      <c r="A3279" s="482"/>
      <c r="B3279" s="485"/>
      <c r="C3279" s="485"/>
      <c r="D3279" s="485"/>
      <c r="E3279" s="485"/>
      <c r="F3279" s="485"/>
    </row>
    <row r="3280" spans="1:6">
      <c r="A3280" s="482"/>
      <c r="B3280" s="485"/>
      <c r="C3280" s="485"/>
      <c r="D3280" s="485"/>
      <c r="E3280" s="485"/>
      <c r="F3280" s="485"/>
    </row>
    <row r="3281" spans="1:6">
      <c r="A3281" s="482"/>
      <c r="B3281" s="485"/>
      <c r="C3281" s="485"/>
      <c r="D3281" s="485"/>
      <c r="E3281" s="485"/>
      <c r="F3281" s="485"/>
    </row>
    <row r="3282" spans="1:6">
      <c r="A3282" s="482"/>
      <c r="B3282" s="485"/>
      <c r="C3282" s="485"/>
      <c r="D3282" s="485"/>
      <c r="E3282" s="485"/>
      <c r="F3282" s="485"/>
    </row>
    <row r="3283" spans="1:6">
      <c r="A3283" s="482"/>
      <c r="B3283" s="485"/>
      <c r="C3283" s="485"/>
      <c r="D3283" s="485"/>
      <c r="E3283" s="485"/>
      <c r="F3283" s="485"/>
    </row>
    <row r="3284" spans="1:6">
      <c r="A3284" s="482"/>
      <c r="B3284" s="485"/>
      <c r="C3284" s="485"/>
      <c r="D3284" s="485"/>
      <c r="E3284" s="485"/>
      <c r="F3284" s="485"/>
    </row>
    <row r="3285" spans="1:6">
      <c r="A3285" s="482"/>
      <c r="B3285" s="485"/>
      <c r="C3285" s="485"/>
      <c r="D3285" s="485"/>
      <c r="E3285" s="485"/>
      <c r="F3285" s="485"/>
    </row>
    <row r="3286" spans="1:6">
      <c r="A3286" s="482"/>
      <c r="B3286" s="485"/>
      <c r="C3286" s="485"/>
      <c r="D3286" s="485"/>
      <c r="E3286" s="485"/>
      <c r="F3286" s="485"/>
    </row>
    <row r="3287" spans="1:6">
      <c r="A3287" s="482"/>
      <c r="B3287" s="485"/>
      <c r="C3287" s="485"/>
      <c r="D3287" s="485"/>
      <c r="E3287" s="485"/>
      <c r="F3287" s="485"/>
    </row>
    <row r="3288" spans="1:6">
      <c r="A3288" s="482"/>
      <c r="B3288" s="485"/>
      <c r="C3288" s="485"/>
      <c r="D3288" s="485"/>
      <c r="E3288" s="485"/>
      <c r="F3288" s="485"/>
    </row>
    <row r="3289" spans="1:6">
      <c r="A3289" s="482"/>
      <c r="B3289" s="485"/>
      <c r="C3289" s="485"/>
      <c r="D3289" s="485"/>
      <c r="E3289" s="485"/>
      <c r="F3289" s="485"/>
    </row>
    <row r="3290" spans="1:6">
      <c r="A3290" s="482"/>
      <c r="B3290" s="485"/>
      <c r="C3290" s="485"/>
      <c r="D3290" s="485"/>
      <c r="E3290" s="485"/>
      <c r="F3290" s="485"/>
    </row>
    <row r="3291" spans="1:6">
      <c r="A3291" s="482"/>
      <c r="B3291" s="485"/>
      <c r="C3291" s="485"/>
      <c r="D3291" s="485"/>
      <c r="E3291" s="485"/>
      <c r="F3291" s="485"/>
    </row>
    <row r="3292" spans="1:6">
      <c r="A3292" s="482"/>
      <c r="B3292" s="485"/>
      <c r="C3292" s="485"/>
      <c r="D3292" s="485"/>
      <c r="E3292" s="485"/>
      <c r="F3292" s="485"/>
    </row>
    <row r="3293" spans="1:6">
      <c r="A3293" s="482"/>
      <c r="B3293" s="485"/>
      <c r="C3293" s="485"/>
      <c r="D3293" s="485"/>
      <c r="E3293" s="485"/>
      <c r="F3293" s="485"/>
    </row>
    <row r="3294" spans="1:6">
      <c r="A3294" s="482"/>
      <c r="B3294" s="485"/>
      <c r="C3294" s="485"/>
      <c r="D3294" s="485"/>
      <c r="E3294" s="485"/>
      <c r="F3294" s="485"/>
    </row>
    <row r="3295" spans="1:6">
      <c r="A3295" s="482"/>
      <c r="B3295" s="485"/>
      <c r="C3295" s="485"/>
      <c r="D3295" s="485"/>
      <c r="E3295" s="485"/>
      <c r="F3295" s="485"/>
    </row>
    <row r="3296" spans="1:6">
      <c r="A3296" s="482"/>
      <c r="B3296" s="485"/>
      <c r="C3296" s="485"/>
      <c r="D3296" s="485"/>
      <c r="E3296" s="485"/>
      <c r="F3296" s="485"/>
    </row>
    <row r="3297" spans="1:6">
      <c r="A3297" s="482"/>
      <c r="B3297" s="485"/>
      <c r="C3297" s="485"/>
      <c r="D3297" s="485"/>
      <c r="E3297" s="485"/>
      <c r="F3297" s="485"/>
    </row>
    <row r="3298" spans="1:6">
      <c r="A3298" s="482"/>
      <c r="B3298" s="485"/>
      <c r="C3298" s="485"/>
      <c r="D3298" s="485"/>
      <c r="E3298" s="485"/>
      <c r="F3298" s="485"/>
    </row>
    <row r="3299" spans="1:6">
      <c r="A3299" s="482"/>
      <c r="B3299" s="485"/>
      <c r="C3299" s="485"/>
      <c r="D3299" s="485"/>
      <c r="E3299" s="485"/>
      <c r="F3299" s="485"/>
    </row>
    <row r="3300" spans="1:6">
      <c r="A3300" s="482"/>
      <c r="B3300" s="485"/>
      <c r="C3300" s="485"/>
      <c r="D3300" s="485"/>
      <c r="E3300" s="485"/>
      <c r="F3300" s="485"/>
    </row>
    <row r="3301" spans="1:6">
      <c r="A3301" s="482"/>
      <c r="B3301" s="485"/>
      <c r="C3301" s="485"/>
      <c r="D3301" s="485"/>
      <c r="E3301" s="485"/>
      <c r="F3301" s="485"/>
    </row>
    <row r="3302" spans="1:6">
      <c r="A3302" s="482"/>
      <c r="B3302" s="485"/>
      <c r="C3302" s="485"/>
      <c r="D3302" s="485"/>
      <c r="E3302" s="485"/>
      <c r="F3302" s="485"/>
    </row>
    <row r="3303" spans="1:6">
      <c r="A3303" s="482"/>
      <c r="B3303" s="485"/>
      <c r="C3303" s="485"/>
      <c r="D3303" s="485"/>
      <c r="E3303" s="485"/>
      <c r="F3303" s="485"/>
    </row>
    <row r="3304" spans="1:6">
      <c r="A3304" s="482"/>
      <c r="B3304" s="485"/>
      <c r="C3304" s="485"/>
      <c r="D3304" s="485"/>
      <c r="E3304" s="485"/>
      <c r="F3304" s="485"/>
    </row>
    <row r="3305" spans="1:6">
      <c r="A3305" s="482"/>
      <c r="B3305" s="485"/>
      <c r="C3305" s="485"/>
      <c r="D3305" s="485"/>
      <c r="E3305" s="485"/>
      <c r="F3305" s="485"/>
    </row>
    <row r="3306" spans="1:6">
      <c r="A3306" s="482"/>
      <c r="B3306" s="485"/>
      <c r="C3306" s="485"/>
      <c r="D3306" s="485"/>
      <c r="E3306" s="485"/>
      <c r="F3306" s="485"/>
    </row>
    <row r="3307" spans="1:6">
      <c r="A3307" s="482"/>
      <c r="B3307" s="485"/>
      <c r="C3307" s="485"/>
      <c r="D3307" s="485"/>
      <c r="E3307" s="485"/>
      <c r="F3307" s="485"/>
    </row>
    <row r="3308" spans="1:6">
      <c r="A3308" s="482"/>
      <c r="B3308" s="485"/>
      <c r="C3308" s="485"/>
      <c r="D3308" s="485"/>
      <c r="E3308" s="485"/>
      <c r="F3308" s="485"/>
    </row>
    <row r="3309" spans="1:6">
      <c r="A3309" s="482"/>
      <c r="B3309" s="485"/>
      <c r="C3309" s="485"/>
      <c r="D3309" s="485"/>
      <c r="E3309" s="485"/>
      <c r="F3309" s="485"/>
    </row>
    <row r="3310" spans="1:6">
      <c r="A3310" s="482"/>
      <c r="B3310" s="485"/>
      <c r="C3310" s="485"/>
      <c r="D3310" s="485"/>
      <c r="E3310" s="485"/>
      <c r="F3310" s="485"/>
    </row>
    <row r="3311" spans="1:6">
      <c r="A3311" s="482"/>
      <c r="B3311" s="485"/>
      <c r="C3311" s="485"/>
      <c r="D3311" s="485"/>
      <c r="E3311" s="485"/>
      <c r="F3311" s="485"/>
    </row>
    <row r="3312" spans="1:6">
      <c r="A3312" s="482"/>
      <c r="B3312" s="485"/>
      <c r="C3312" s="485"/>
      <c r="D3312" s="485"/>
      <c r="E3312" s="485"/>
      <c r="F3312" s="485"/>
    </row>
    <row r="3313" spans="1:6">
      <c r="A3313" s="482"/>
      <c r="B3313" s="485"/>
      <c r="C3313" s="485"/>
      <c r="D3313" s="485"/>
      <c r="E3313" s="485"/>
      <c r="F3313" s="485"/>
    </row>
    <row r="3314" spans="1:6">
      <c r="A3314" s="482"/>
      <c r="B3314" s="485"/>
      <c r="C3314" s="485"/>
      <c r="D3314" s="485"/>
      <c r="E3314" s="485"/>
      <c r="F3314" s="485"/>
    </row>
    <row r="3315" spans="1:6">
      <c r="A3315" s="482"/>
      <c r="B3315" s="485"/>
      <c r="C3315" s="485"/>
      <c r="D3315" s="485"/>
      <c r="E3315" s="485"/>
      <c r="F3315" s="485"/>
    </row>
    <row r="3316" spans="1:6">
      <c r="A3316" s="482"/>
      <c r="B3316" s="485"/>
      <c r="C3316" s="485"/>
      <c r="D3316" s="485"/>
      <c r="E3316" s="485"/>
      <c r="F3316" s="485"/>
    </row>
    <row r="3317" spans="1:6">
      <c r="A3317" s="482"/>
      <c r="B3317" s="485"/>
      <c r="C3317" s="485"/>
      <c r="D3317" s="485"/>
      <c r="E3317" s="485"/>
      <c r="F3317" s="485"/>
    </row>
    <row r="3318" spans="1:6">
      <c r="A3318" s="482"/>
      <c r="B3318" s="485"/>
      <c r="C3318" s="485"/>
      <c r="D3318" s="485"/>
      <c r="E3318" s="485"/>
      <c r="F3318" s="485"/>
    </row>
    <row r="3319" spans="1:6">
      <c r="A3319" s="482"/>
      <c r="B3319" s="485"/>
      <c r="C3319" s="485"/>
      <c r="D3319" s="485"/>
      <c r="E3319" s="485"/>
      <c r="F3319" s="485"/>
    </row>
    <row r="3320" spans="1:6">
      <c r="A3320" s="482"/>
      <c r="B3320" s="485"/>
      <c r="C3320" s="485"/>
      <c r="D3320" s="485"/>
      <c r="E3320" s="485"/>
      <c r="F3320" s="485"/>
    </row>
    <row r="3321" spans="1:6">
      <c r="A3321" s="482"/>
      <c r="B3321" s="485"/>
      <c r="C3321" s="485"/>
      <c r="D3321" s="485"/>
      <c r="E3321" s="485"/>
      <c r="F3321" s="485"/>
    </row>
    <row r="3322" spans="1:6">
      <c r="A3322" s="482"/>
      <c r="B3322" s="485"/>
      <c r="C3322" s="485"/>
      <c r="D3322" s="485"/>
      <c r="E3322" s="485"/>
      <c r="F3322" s="485"/>
    </row>
    <row r="3323" spans="1:6">
      <c r="A3323" s="482"/>
      <c r="B3323" s="485"/>
      <c r="C3323" s="485"/>
      <c r="D3323" s="485"/>
      <c r="E3323" s="485"/>
      <c r="F3323" s="485"/>
    </row>
    <row r="3324" spans="1:6">
      <c r="A3324" s="482"/>
      <c r="B3324" s="485"/>
      <c r="C3324" s="485"/>
      <c r="D3324" s="485"/>
      <c r="E3324" s="485"/>
      <c r="F3324" s="485"/>
    </row>
    <row r="3325" spans="1:6">
      <c r="A3325" s="482"/>
      <c r="B3325" s="485"/>
      <c r="C3325" s="485"/>
      <c r="D3325" s="485"/>
      <c r="E3325" s="485"/>
      <c r="F3325" s="485"/>
    </row>
    <row r="3326" spans="1:6">
      <c r="A3326" s="482"/>
      <c r="B3326" s="485"/>
      <c r="C3326" s="485"/>
      <c r="D3326" s="485"/>
      <c r="E3326" s="485"/>
      <c r="F3326" s="485"/>
    </row>
    <row r="3327" spans="1:6">
      <c r="A3327" s="482"/>
      <c r="B3327" s="485"/>
      <c r="C3327" s="485"/>
      <c r="D3327" s="485"/>
      <c r="E3327" s="485"/>
      <c r="F3327" s="485"/>
    </row>
    <row r="3328" spans="1:6">
      <c r="A3328" s="482"/>
      <c r="B3328" s="485"/>
      <c r="C3328" s="485"/>
      <c r="D3328" s="485"/>
      <c r="E3328" s="485"/>
      <c r="F3328" s="485"/>
    </row>
    <row r="3329" spans="1:6">
      <c r="A3329" s="482"/>
      <c r="B3329" s="485"/>
      <c r="C3329" s="485"/>
      <c r="D3329" s="485"/>
      <c r="E3329" s="485"/>
      <c r="F3329" s="485"/>
    </row>
    <row r="3330" spans="1:6">
      <c r="A3330" s="482"/>
      <c r="B3330" s="485"/>
      <c r="C3330" s="485"/>
      <c r="D3330" s="485"/>
      <c r="E3330" s="485"/>
      <c r="F3330" s="485"/>
    </row>
    <row r="3331" spans="1:6">
      <c r="A3331" s="482"/>
      <c r="B3331" s="485"/>
      <c r="C3331" s="485"/>
      <c r="D3331" s="485"/>
      <c r="E3331" s="485"/>
      <c r="F3331" s="485"/>
    </row>
    <row r="3332" spans="1:6">
      <c r="A3332" s="482"/>
      <c r="B3332" s="485"/>
      <c r="C3332" s="485"/>
      <c r="D3332" s="485"/>
      <c r="E3332" s="485"/>
      <c r="F3332" s="485"/>
    </row>
    <row r="3333" spans="1:6">
      <c r="A3333" s="482"/>
      <c r="B3333" s="485"/>
      <c r="C3333" s="485"/>
      <c r="D3333" s="485"/>
      <c r="E3333" s="485"/>
      <c r="F3333" s="485"/>
    </row>
    <row r="3334" spans="1:6">
      <c r="A3334" s="482"/>
      <c r="B3334" s="485"/>
      <c r="C3334" s="485"/>
      <c r="D3334" s="485"/>
      <c r="E3334" s="485"/>
      <c r="F3334" s="485"/>
    </row>
    <row r="3335" spans="1:6">
      <c r="A3335" s="482"/>
      <c r="B3335" s="485"/>
      <c r="C3335" s="485"/>
      <c r="D3335" s="485"/>
      <c r="E3335" s="485"/>
      <c r="F3335" s="485"/>
    </row>
    <row r="3336" spans="1:6">
      <c r="A3336" s="482"/>
      <c r="B3336" s="485"/>
      <c r="C3336" s="485"/>
      <c r="D3336" s="485"/>
      <c r="E3336" s="485"/>
      <c r="F3336" s="485"/>
    </row>
    <row r="3337" spans="1:6">
      <c r="A3337" s="482"/>
      <c r="B3337" s="485"/>
      <c r="C3337" s="485"/>
      <c r="D3337" s="485"/>
      <c r="E3337" s="485"/>
      <c r="F3337" s="485"/>
    </row>
    <row r="3338" spans="1:6">
      <c r="A3338" s="482"/>
      <c r="B3338" s="485"/>
      <c r="C3338" s="485"/>
      <c r="D3338" s="485"/>
      <c r="E3338" s="485"/>
      <c r="F3338" s="485"/>
    </row>
    <row r="3339" spans="1:6">
      <c r="A3339" s="482"/>
      <c r="B3339" s="485"/>
      <c r="C3339" s="485"/>
      <c r="D3339" s="485"/>
      <c r="E3339" s="485"/>
      <c r="F3339" s="485"/>
    </row>
    <row r="3340" spans="1:6">
      <c r="A3340" s="482"/>
      <c r="B3340" s="485"/>
      <c r="C3340" s="485"/>
      <c r="D3340" s="485"/>
      <c r="E3340" s="485"/>
      <c r="F3340" s="485"/>
    </row>
    <row r="3341" spans="1:6">
      <c r="A3341" s="482"/>
      <c r="B3341" s="485"/>
      <c r="C3341" s="485"/>
      <c r="D3341" s="485"/>
      <c r="E3341" s="485"/>
      <c r="F3341" s="485"/>
    </row>
    <row r="3342" spans="1:6">
      <c r="A3342" s="482"/>
      <c r="B3342" s="485"/>
      <c r="C3342" s="485"/>
      <c r="D3342" s="485"/>
      <c r="E3342" s="485"/>
      <c r="F3342" s="485"/>
    </row>
    <row r="3343" spans="1:6">
      <c r="A3343" s="482"/>
      <c r="B3343" s="485"/>
      <c r="C3343" s="485"/>
      <c r="D3343" s="485"/>
      <c r="E3343" s="485"/>
      <c r="F3343" s="485"/>
    </row>
    <row r="3344" spans="1:6">
      <c r="A3344" s="482"/>
      <c r="B3344" s="485"/>
      <c r="C3344" s="485"/>
      <c r="D3344" s="485"/>
      <c r="E3344" s="485"/>
      <c r="F3344" s="485"/>
    </row>
    <row r="3345" spans="1:6">
      <c r="A3345" s="482"/>
      <c r="B3345" s="485"/>
      <c r="C3345" s="485"/>
      <c r="D3345" s="485"/>
      <c r="E3345" s="485"/>
      <c r="F3345" s="485"/>
    </row>
    <row r="3346" spans="1:6">
      <c r="A3346" s="482"/>
      <c r="B3346" s="485"/>
      <c r="C3346" s="485"/>
      <c r="D3346" s="485"/>
      <c r="E3346" s="485"/>
      <c r="F3346" s="485"/>
    </row>
    <row r="3347" spans="1:6">
      <c r="A3347" s="482"/>
      <c r="B3347" s="485"/>
      <c r="C3347" s="485"/>
      <c r="D3347" s="485"/>
      <c r="E3347" s="485"/>
      <c r="F3347" s="485"/>
    </row>
    <row r="3348" spans="1:6">
      <c r="A3348" s="482"/>
      <c r="B3348" s="485"/>
      <c r="C3348" s="485"/>
      <c r="D3348" s="485"/>
      <c r="E3348" s="485"/>
      <c r="F3348" s="485"/>
    </row>
    <row r="3349" spans="1:6">
      <c r="A3349" s="482"/>
      <c r="B3349" s="485"/>
      <c r="C3349" s="485"/>
      <c r="D3349" s="485"/>
      <c r="E3349" s="485"/>
      <c r="F3349" s="485"/>
    </row>
    <row r="3350" spans="1:6">
      <c r="A3350" s="482"/>
      <c r="B3350" s="485"/>
      <c r="C3350" s="485"/>
      <c r="D3350" s="485"/>
      <c r="E3350" s="485"/>
      <c r="F3350" s="485"/>
    </row>
    <row r="3351" spans="1:6">
      <c r="A3351" s="482"/>
      <c r="B3351" s="485"/>
      <c r="C3351" s="485"/>
      <c r="D3351" s="485"/>
      <c r="E3351" s="485"/>
      <c r="F3351" s="485"/>
    </row>
    <row r="3352" spans="1:6">
      <c r="A3352" s="482"/>
      <c r="B3352" s="485"/>
      <c r="C3352" s="485"/>
      <c r="D3352" s="485"/>
      <c r="E3352" s="485"/>
      <c r="F3352" s="485"/>
    </row>
    <row r="3353" spans="1:6">
      <c r="A3353" s="482"/>
      <c r="B3353" s="485"/>
      <c r="C3353" s="485"/>
      <c r="D3353" s="485"/>
      <c r="E3353" s="485"/>
      <c r="F3353" s="485"/>
    </row>
    <row r="3354" spans="1:6">
      <c r="A3354" s="482"/>
      <c r="B3354" s="485"/>
      <c r="C3354" s="485"/>
      <c r="D3354" s="485"/>
      <c r="E3354" s="485"/>
      <c r="F3354" s="485"/>
    </row>
    <row r="3355" spans="1:6">
      <c r="A3355" s="482"/>
      <c r="B3355" s="485"/>
      <c r="C3355" s="485"/>
      <c r="D3355" s="485"/>
      <c r="E3355" s="485"/>
      <c r="F3355" s="485"/>
    </row>
    <row r="3356" spans="1:6">
      <c r="A3356" s="482"/>
      <c r="B3356" s="485"/>
      <c r="C3356" s="485"/>
      <c r="D3356" s="485"/>
      <c r="E3356" s="485"/>
      <c r="F3356" s="485"/>
    </row>
    <row r="3357" spans="1:6">
      <c r="A3357" s="482"/>
      <c r="B3357" s="485"/>
      <c r="C3357" s="485"/>
      <c r="D3357" s="485"/>
      <c r="E3357" s="485"/>
      <c r="F3357" s="485"/>
    </row>
    <row r="3358" spans="1:6">
      <c r="A3358" s="482"/>
      <c r="B3358" s="485"/>
      <c r="C3358" s="485"/>
      <c r="D3358" s="485"/>
      <c r="E3358" s="485"/>
      <c r="F3358" s="485"/>
    </row>
    <row r="3359" spans="1:6">
      <c r="A3359" s="482"/>
      <c r="B3359" s="485"/>
      <c r="C3359" s="485"/>
      <c r="D3359" s="485"/>
      <c r="E3359" s="485"/>
      <c r="F3359" s="485"/>
    </row>
    <row r="3360" spans="1:6">
      <c r="A3360" s="482"/>
      <c r="B3360" s="485"/>
      <c r="C3360" s="485"/>
      <c r="D3360" s="485"/>
      <c r="E3360" s="485"/>
      <c r="F3360" s="485"/>
    </row>
    <row r="3361" spans="1:6">
      <c r="A3361" s="482"/>
      <c r="B3361" s="485"/>
      <c r="C3361" s="485"/>
      <c r="D3361" s="485"/>
      <c r="E3361" s="485"/>
      <c r="F3361" s="485"/>
    </row>
    <row r="3362" spans="1:6">
      <c r="A3362" s="482"/>
      <c r="B3362" s="485"/>
      <c r="C3362" s="485"/>
      <c r="D3362" s="485"/>
      <c r="E3362" s="485"/>
      <c r="F3362" s="485"/>
    </row>
    <row r="3363" spans="1:6">
      <c r="A3363" s="482"/>
      <c r="B3363" s="485"/>
      <c r="C3363" s="485"/>
      <c r="D3363" s="485"/>
      <c r="E3363" s="485"/>
      <c r="F3363" s="485"/>
    </row>
    <row r="3364" spans="1:6">
      <c r="A3364" s="482"/>
      <c r="B3364" s="485"/>
      <c r="C3364" s="485"/>
      <c r="D3364" s="485"/>
      <c r="E3364" s="485"/>
      <c r="F3364" s="485"/>
    </row>
    <row r="3365" spans="1:6">
      <c r="A3365" s="482"/>
      <c r="B3365" s="485"/>
      <c r="C3365" s="485"/>
      <c r="D3365" s="485"/>
      <c r="E3365" s="485"/>
      <c r="F3365" s="485"/>
    </row>
    <row r="3366" spans="1:6">
      <c r="A3366" s="482"/>
      <c r="B3366" s="485"/>
      <c r="C3366" s="485"/>
      <c r="D3366" s="485"/>
      <c r="E3366" s="485"/>
      <c r="F3366" s="485"/>
    </row>
    <row r="3367" spans="1:6">
      <c r="A3367" s="482"/>
      <c r="B3367" s="485"/>
      <c r="C3367" s="485"/>
      <c r="D3367" s="485"/>
      <c r="E3367" s="485"/>
      <c r="F3367" s="485"/>
    </row>
    <row r="3368" spans="1:6">
      <c r="A3368" s="482"/>
      <c r="B3368" s="485"/>
      <c r="C3368" s="485"/>
      <c r="D3368" s="485"/>
      <c r="E3368" s="485"/>
      <c r="F3368" s="485"/>
    </row>
    <row r="3369" spans="1:6">
      <c r="A3369" s="482"/>
      <c r="B3369" s="485"/>
      <c r="C3369" s="485"/>
      <c r="D3369" s="485"/>
      <c r="E3369" s="485"/>
      <c r="F3369" s="485"/>
    </row>
    <row r="3370" spans="1:6">
      <c r="A3370" s="482"/>
      <c r="B3370" s="485"/>
      <c r="C3370" s="485"/>
      <c r="D3370" s="485"/>
      <c r="E3370" s="485"/>
      <c r="F3370" s="485"/>
    </row>
    <row r="3371" spans="1:6">
      <c r="A3371" s="482"/>
      <c r="B3371" s="485"/>
      <c r="C3371" s="485"/>
      <c r="D3371" s="485"/>
      <c r="E3371" s="485"/>
      <c r="F3371" s="485"/>
    </row>
    <row r="3372" spans="1:6">
      <c r="A3372" s="482"/>
      <c r="B3372" s="485"/>
      <c r="C3372" s="485"/>
      <c r="D3372" s="485"/>
      <c r="E3372" s="485"/>
      <c r="F3372" s="485"/>
    </row>
    <row r="3373" spans="1:6">
      <c r="A3373" s="482"/>
      <c r="B3373" s="485"/>
      <c r="C3373" s="485"/>
      <c r="D3373" s="485"/>
      <c r="E3373" s="485"/>
      <c r="F3373" s="485"/>
    </row>
    <row r="3374" spans="1:6">
      <c r="A3374" s="482"/>
      <c r="B3374" s="485"/>
      <c r="C3374" s="485"/>
      <c r="D3374" s="485"/>
      <c r="E3374" s="485"/>
      <c r="F3374" s="485"/>
    </row>
    <row r="3375" spans="1:6">
      <c r="A3375" s="482"/>
      <c r="B3375" s="485"/>
      <c r="C3375" s="485"/>
      <c r="D3375" s="485"/>
      <c r="E3375" s="485"/>
      <c r="F3375" s="485"/>
    </row>
    <row r="3376" spans="1:6">
      <c r="A3376" s="482"/>
      <c r="B3376" s="485"/>
      <c r="C3376" s="485"/>
      <c r="D3376" s="485"/>
      <c r="E3376" s="485"/>
      <c r="F3376" s="485"/>
    </row>
    <row r="3377" spans="1:6">
      <c r="A3377" s="482"/>
      <c r="B3377" s="485"/>
      <c r="C3377" s="485"/>
      <c r="D3377" s="485"/>
      <c r="E3377" s="485"/>
      <c r="F3377" s="485"/>
    </row>
    <row r="3378" spans="1:6">
      <c r="A3378" s="482"/>
      <c r="B3378" s="485"/>
      <c r="C3378" s="485"/>
      <c r="D3378" s="485"/>
      <c r="E3378" s="485"/>
      <c r="F3378" s="485"/>
    </row>
    <row r="3379" spans="1:6">
      <c r="A3379" s="482"/>
      <c r="B3379" s="485"/>
      <c r="C3379" s="485"/>
      <c r="D3379" s="485"/>
      <c r="E3379" s="485"/>
      <c r="F3379" s="485"/>
    </row>
    <row r="3380" spans="1:6">
      <c r="A3380" s="482"/>
      <c r="B3380" s="485"/>
      <c r="C3380" s="485"/>
      <c r="D3380" s="485"/>
      <c r="E3380" s="485"/>
      <c r="F3380" s="485"/>
    </row>
    <row r="3381" spans="1:6">
      <c r="A3381" s="482"/>
      <c r="B3381" s="485"/>
      <c r="C3381" s="485"/>
      <c r="D3381" s="485"/>
      <c r="E3381" s="485"/>
      <c r="F3381" s="485"/>
    </row>
    <row r="3382" spans="1:6">
      <c r="A3382" s="482"/>
      <c r="B3382" s="485"/>
      <c r="C3382" s="485"/>
      <c r="D3382" s="485"/>
      <c r="E3382" s="485"/>
      <c r="F3382" s="485"/>
    </row>
    <row r="3383" spans="1:6">
      <c r="A3383" s="482"/>
      <c r="B3383" s="485"/>
      <c r="C3383" s="485"/>
      <c r="D3383" s="485"/>
      <c r="E3383" s="485"/>
      <c r="F3383" s="485"/>
    </row>
    <row r="3384" spans="1:6">
      <c r="A3384" s="482"/>
      <c r="B3384" s="485"/>
      <c r="C3384" s="485"/>
      <c r="D3384" s="485"/>
      <c r="E3384" s="485"/>
      <c r="F3384" s="485"/>
    </row>
    <row r="3385" spans="1:6">
      <c r="A3385" s="482"/>
      <c r="B3385" s="485"/>
      <c r="C3385" s="485"/>
      <c r="D3385" s="485"/>
      <c r="E3385" s="485"/>
      <c r="F3385" s="485"/>
    </row>
    <row r="3386" spans="1:6">
      <c r="A3386" s="482"/>
      <c r="B3386" s="485"/>
      <c r="C3386" s="485"/>
      <c r="D3386" s="485"/>
      <c r="E3386" s="485"/>
      <c r="F3386" s="485"/>
    </row>
    <row r="3387" spans="1:6">
      <c r="A3387" s="482"/>
      <c r="B3387" s="485"/>
      <c r="C3387" s="485"/>
      <c r="D3387" s="485"/>
      <c r="E3387" s="485"/>
      <c r="F3387" s="485"/>
    </row>
    <row r="3388" spans="1:6">
      <c r="A3388" s="482"/>
      <c r="B3388" s="485"/>
      <c r="C3388" s="485"/>
      <c r="D3388" s="485"/>
      <c r="E3388" s="485"/>
      <c r="F3388" s="485"/>
    </row>
    <row r="3389" spans="1:6">
      <c r="A3389" s="482"/>
      <c r="B3389" s="485"/>
      <c r="C3389" s="485"/>
      <c r="D3389" s="485"/>
      <c r="E3389" s="485"/>
      <c r="F3389" s="485"/>
    </row>
    <row r="3390" spans="1:6">
      <c r="A3390" s="482"/>
      <c r="B3390" s="485"/>
      <c r="C3390" s="485"/>
      <c r="D3390" s="485"/>
      <c r="E3390" s="485"/>
      <c r="F3390" s="485"/>
    </row>
    <row r="3391" spans="1:6">
      <c r="A3391" s="482"/>
      <c r="B3391" s="485"/>
      <c r="C3391" s="485"/>
      <c r="D3391" s="485"/>
      <c r="E3391" s="485"/>
      <c r="F3391" s="485"/>
    </row>
    <row r="3392" spans="1:6">
      <c r="A3392" s="482"/>
      <c r="B3392" s="485"/>
      <c r="C3392" s="485"/>
      <c r="D3392" s="485"/>
      <c r="E3392" s="485"/>
      <c r="F3392" s="485"/>
    </row>
    <row r="3393" spans="1:6">
      <c r="A3393" s="482"/>
      <c r="B3393" s="485"/>
      <c r="C3393" s="485"/>
      <c r="D3393" s="485"/>
      <c r="E3393" s="485"/>
      <c r="F3393" s="485"/>
    </row>
    <row r="3394" spans="1:6">
      <c r="A3394" s="482"/>
      <c r="B3394" s="485"/>
      <c r="C3394" s="485"/>
      <c r="D3394" s="485"/>
      <c r="E3394" s="485"/>
      <c r="F3394" s="485"/>
    </row>
    <row r="3395" spans="1:6">
      <c r="A3395" s="482"/>
      <c r="B3395" s="485"/>
      <c r="C3395" s="485"/>
      <c r="D3395" s="485"/>
      <c r="E3395" s="485"/>
      <c r="F3395" s="485"/>
    </row>
    <row r="3396" spans="1:6">
      <c r="A3396" s="482"/>
      <c r="B3396" s="485"/>
      <c r="C3396" s="485"/>
      <c r="D3396" s="485"/>
      <c r="E3396" s="485"/>
      <c r="F3396" s="485"/>
    </row>
    <row r="3397" spans="1:6">
      <c r="A3397" s="482"/>
      <c r="B3397" s="485"/>
      <c r="C3397" s="485"/>
      <c r="D3397" s="485"/>
      <c r="E3397" s="485"/>
      <c r="F3397" s="485"/>
    </row>
    <row r="3398" spans="1:6">
      <c r="A3398" s="482"/>
      <c r="B3398" s="485"/>
      <c r="C3398" s="485"/>
      <c r="D3398" s="485"/>
      <c r="E3398" s="485"/>
      <c r="F3398" s="485"/>
    </row>
    <row r="3399" spans="1:6">
      <c r="A3399" s="482"/>
      <c r="B3399" s="485"/>
      <c r="C3399" s="485"/>
      <c r="D3399" s="485"/>
      <c r="E3399" s="485"/>
      <c r="F3399" s="485"/>
    </row>
    <row r="3400" spans="1:6">
      <c r="A3400" s="482"/>
      <c r="B3400" s="485"/>
      <c r="C3400" s="485"/>
      <c r="D3400" s="485"/>
      <c r="E3400" s="485"/>
      <c r="F3400" s="485"/>
    </row>
    <row r="3401" spans="1:6">
      <c r="A3401" s="482"/>
      <c r="B3401" s="485"/>
      <c r="C3401" s="485"/>
      <c r="D3401" s="485"/>
      <c r="E3401" s="485"/>
      <c r="F3401" s="485"/>
    </row>
    <row r="3402" spans="1:6">
      <c r="A3402" s="482"/>
      <c r="B3402" s="485"/>
      <c r="C3402" s="485"/>
      <c r="D3402" s="485"/>
      <c r="E3402" s="485"/>
      <c r="F3402" s="485"/>
    </row>
    <row r="3403" spans="1:6">
      <c r="A3403" s="482"/>
      <c r="B3403" s="485"/>
      <c r="C3403" s="485"/>
      <c r="D3403" s="485"/>
      <c r="E3403" s="485"/>
      <c r="F3403" s="485"/>
    </row>
    <row r="3404" spans="1:6">
      <c r="A3404" s="482"/>
      <c r="B3404" s="485"/>
      <c r="C3404" s="485"/>
      <c r="D3404" s="485"/>
      <c r="E3404" s="485"/>
      <c r="F3404" s="485"/>
    </row>
    <row r="3405" spans="1:6">
      <c r="A3405" s="482"/>
      <c r="B3405" s="485"/>
      <c r="C3405" s="485"/>
      <c r="D3405" s="485"/>
      <c r="E3405" s="485"/>
      <c r="F3405" s="485"/>
    </row>
    <row r="3406" spans="1:6">
      <c r="A3406" s="482"/>
      <c r="B3406" s="485"/>
      <c r="C3406" s="485"/>
      <c r="D3406" s="485"/>
      <c r="E3406" s="485"/>
      <c r="F3406" s="485"/>
    </row>
    <row r="3407" spans="1:6">
      <c r="A3407" s="482"/>
      <c r="B3407" s="485"/>
      <c r="C3407" s="485"/>
      <c r="D3407" s="485"/>
      <c r="E3407" s="485"/>
      <c r="F3407" s="485"/>
    </row>
    <row r="3408" spans="1:6">
      <c r="A3408" s="482"/>
      <c r="B3408" s="485"/>
      <c r="C3408" s="485"/>
      <c r="D3408" s="485"/>
      <c r="E3408" s="485"/>
      <c r="F3408" s="485"/>
    </row>
    <row r="3409" spans="1:6">
      <c r="A3409" s="482"/>
      <c r="B3409" s="485"/>
      <c r="C3409" s="485"/>
      <c r="D3409" s="485"/>
      <c r="E3409" s="485"/>
      <c r="F3409" s="485"/>
    </row>
    <row r="3410" spans="1:6">
      <c r="A3410" s="482"/>
      <c r="B3410" s="485"/>
      <c r="C3410" s="485"/>
      <c r="D3410" s="485"/>
      <c r="E3410" s="485"/>
      <c r="F3410" s="485"/>
    </row>
    <row r="3411" spans="1:6">
      <c r="A3411" s="482"/>
      <c r="B3411" s="485"/>
      <c r="C3411" s="485"/>
      <c r="D3411" s="485"/>
      <c r="E3411" s="485"/>
      <c r="F3411" s="485"/>
    </row>
    <row r="3412" spans="1:6">
      <c r="A3412" s="482"/>
      <c r="B3412" s="485"/>
      <c r="C3412" s="485"/>
      <c r="D3412" s="485"/>
      <c r="E3412" s="485"/>
      <c r="F3412" s="485"/>
    </row>
    <row r="3413" spans="1:6">
      <c r="A3413" s="482"/>
      <c r="B3413" s="485"/>
      <c r="C3413" s="485"/>
      <c r="D3413" s="485"/>
      <c r="E3413" s="485"/>
      <c r="F3413" s="485"/>
    </row>
    <row r="3414" spans="1:6">
      <c r="A3414" s="482"/>
      <c r="B3414" s="485"/>
      <c r="C3414" s="485"/>
      <c r="D3414" s="485"/>
      <c r="E3414" s="485"/>
      <c r="F3414" s="485"/>
    </row>
    <row r="3415" spans="1:6">
      <c r="A3415" s="482"/>
      <c r="B3415" s="485"/>
      <c r="C3415" s="485"/>
      <c r="D3415" s="485"/>
      <c r="E3415" s="485"/>
      <c r="F3415" s="485"/>
    </row>
    <row r="3416" spans="1:6">
      <c r="A3416" s="482"/>
      <c r="B3416" s="485"/>
      <c r="C3416" s="485"/>
      <c r="D3416" s="485"/>
      <c r="E3416" s="485"/>
      <c r="F3416" s="485"/>
    </row>
    <row r="3417" spans="1:6">
      <c r="A3417" s="482"/>
      <c r="B3417" s="485"/>
      <c r="C3417" s="485"/>
      <c r="D3417" s="485"/>
      <c r="E3417" s="485"/>
      <c r="F3417" s="485"/>
    </row>
    <row r="3418" spans="1:6">
      <c r="A3418" s="482"/>
      <c r="B3418" s="485"/>
      <c r="C3418" s="485"/>
      <c r="D3418" s="485"/>
      <c r="E3418" s="485"/>
      <c r="F3418" s="485"/>
    </row>
    <row r="3419" spans="1:6">
      <c r="A3419" s="482"/>
      <c r="B3419" s="485"/>
      <c r="C3419" s="485"/>
      <c r="D3419" s="485"/>
      <c r="E3419" s="485"/>
      <c r="F3419" s="485"/>
    </row>
    <row r="3420" spans="1:6">
      <c r="A3420" s="482"/>
      <c r="B3420" s="485"/>
      <c r="C3420" s="485"/>
      <c r="D3420" s="485"/>
      <c r="E3420" s="485"/>
      <c r="F3420" s="485"/>
    </row>
    <row r="3421" spans="1:6">
      <c r="A3421" s="482"/>
      <c r="B3421" s="485"/>
      <c r="C3421" s="485"/>
      <c r="D3421" s="485"/>
      <c r="E3421" s="485"/>
      <c r="F3421" s="485"/>
    </row>
    <row r="3422" spans="1:6">
      <c r="A3422" s="482"/>
      <c r="B3422" s="485"/>
      <c r="C3422" s="485"/>
      <c r="D3422" s="485"/>
      <c r="E3422" s="485"/>
      <c r="F3422" s="485"/>
    </row>
    <row r="3423" spans="1:6">
      <c r="A3423" s="482"/>
      <c r="B3423" s="485"/>
      <c r="C3423" s="485"/>
      <c r="D3423" s="485"/>
      <c r="E3423" s="485"/>
      <c r="F3423" s="485"/>
    </row>
    <row r="3424" spans="1:6">
      <c r="A3424" s="482"/>
      <c r="B3424" s="485"/>
      <c r="C3424" s="485"/>
      <c r="D3424" s="485"/>
      <c r="E3424" s="485"/>
      <c r="F3424" s="485"/>
    </row>
    <row r="3425" spans="1:6">
      <c r="A3425" s="482"/>
      <c r="B3425" s="485"/>
      <c r="C3425" s="485"/>
      <c r="D3425" s="485"/>
      <c r="E3425" s="485"/>
      <c r="F3425" s="485"/>
    </row>
    <row r="3426" spans="1:6">
      <c r="A3426" s="482"/>
      <c r="B3426" s="485"/>
      <c r="C3426" s="485"/>
      <c r="D3426" s="485"/>
      <c r="E3426" s="485"/>
      <c r="F3426" s="485"/>
    </row>
    <row r="3427" spans="1:6">
      <c r="A3427" s="482"/>
      <c r="B3427" s="485"/>
      <c r="C3427" s="485"/>
      <c r="D3427" s="485"/>
      <c r="E3427" s="485"/>
      <c r="F3427" s="485"/>
    </row>
    <row r="3428" spans="1:6">
      <c r="A3428" s="482"/>
      <c r="B3428" s="485"/>
      <c r="C3428" s="485"/>
      <c r="D3428" s="485"/>
      <c r="E3428" s="485"/>
      <c r="F3428" s="485"/>
    </row>
    <row r="3429" spans="1:6">
      <c r="A3429" s="482"/>
      <c r="B3429" s="485"/>
      <c r="C3429" s="485"/>
      <c r="D3429" s="485"/>
      <c r="E3429" s="485"/>
      <c r="F3429" s="485"/>
    </row>
    <row r="3430" spans="1:6">
      <c r="A3430" s="482"/>
      <c r="B3430" s="485"/>
      <c r="C3430" s="485"/>
      <c r="D3430" s="485"/>
      <c r="E3430" s="485"/>
      <c r="F3430" s="485"/>
    </row>
    <row r="3431" spans="1:6">
      <c r="A3431" s="482"/>
      <c r="B3431" s="485"/>
      <c r="C3431" s="485"/>
      <c r="D3431" s="485"/>
      <c r="E3431" s="485"/>
      <c r="F3431" s="485"/>
    </row>
    <row r="3432" spans="1:6">
      <c r="A3432" s="482"/>
      <c r="B3432" s="485"/>
      <c r="C3432" s="485"/>
      <c r="D3432" s="485"/>
      <c r="E3432" s="485"/>
      <c r="F3432" s="485"/>
    </row>
    <row r="3433" spans="1:6">
      <c r="A3433" s="482"/>
      <c r="B3433" s="485"/>
      <c r="C3433" s="485"/>
      <c r="D3433" s="485"/>
      <c r="E3433" s="485"/>
      <c r="F3433" s="485"/>
    </row>
    <row r="3434" spans="1:6">
      <c r="A3434" s="482"/>
      <c r="B3434" s="485"/>
      <c r="C3434" s="485"/>
      <c r="D3434" s="485"/>
      <c r="E3434" s="485"/>
      <c r="F3434" s="485"/>
    </row>
    <row r="3435" spans="1:6">
      <c r="A3435" s="482"/>
      <c r="B3435" s="485"/>
      <c r="C3435" s="485"/>
      <c r="D3435" s="485"/>
      <c r="E3435" s="485"/>
      <c r="F3435" s="485"/>
    </row>
    <row r="3436" spans="1:6">
      <c r="A3436" s="482"/>
      <c r="B3436" s="485"/>
      <c r="C3436" s="485"/>
      <c r="D3436" s="485"/>
      <c r="E3436" s="485"/>
      <c r="F3436" s="485"/>
    </row>
    <row r="3437" spans="1:6">
      <c r="A3437" s="482"/>
      <c r="B3437" s="485"/>
      <c r="C3437" s="485"/>
      <c r="D3437" s="485"/>
      <c r="E3437" s="485"/>
      <c r="F3437" s="485"/>
    </row>
    <row r="3438" spans="1:6">
      <c r="A3438" s="482"/>
      <c r="B3438" s="485"/>
      <c r="C3438" s="485"/>
      <c r="D3438" s="485"/>
      <c r="E3438" s="485"/>
      <c r="F3438" s="485"/>
    </row>
    <row r="3439" spans="1:6">
      <c r="A3439" s="482"/>
      <c r="B3439" s="485"/>
      <c r="C3439" s="485"/>
      <c r="D3439" s="485"/>
      <c r="E3439" s="485"/>
      <c r="F3439" s="485"/>
    </row>
    <row r="3440" spans="1:6">
      <c r="A3440" s="482"/>
      <c r="B3440" s="485"/>
      <c r="C3440" s="485"/>
      <c r="D3440" s="485"/>
      <c r="E3440" s="485"/>
      <c r="F3440" s="485"/>
    </row>
    <row r="3441" spans="1:6">
      <c r="A3441" s="482"/>
      <c r="B3441" s="485"/>
      <c r="C3441" s="485"/>
      <c r="D3441" s="485"/>
      <c r="E3441" s="485"/>
      <c r="F3441" s="485"/>
    </row>
    <row r="3442" spans="1:6">
      <c r="A3442" s="482"/>
      <c r="B3442" s="485"/>
      <c r="C3442" s="485"/>
      <c r="D3442" s="485"/>
      <c r="E3442" s="485"/>
      <c r="F3442" s="485"/>
    </row>
    <row r="3443" spans="1:6">
      <c r="A3443" s="482"/>
      <c r="B3443" s="485"/>
      <c r="C3443" s="485"/>
      <c r="D3443" s="485"/>
      <c r="E3443" s="485"/>
      <c r="F3443" s="485"/>
    </row>
    <row r="3444" spans="1:6">
      <c r="A3444" s="482"/>
      <c r="B3444" s="485"/>
      <c r="C3444" s="485"/>
      <c r="D3444" s="485"/>
      <c r="E3444" s="485"/>
      <c r="F3444" s="485"/>
    </row>
    <row r="3445" spans="1:6">
      <c r="A3445" s="482"/>
      <c r="B3445" s="485"/>
      <c r="C3445" s="485"/>
      <c r="D3445" s="485"/>
      <c r="E3445" s="485"/>
      <c r="F3445" s="485"/>
    </row>
    <row r="3446" spans="1:6">
      <c r="A3446" s="482"/>
      <c r="B3446" s="485"/>
      <c r="C3446" s="485"/>
      <c r="D3446" s="485"/>
      <c r="E3446" s="485"/>
      <c r="F3446" s="485"/>
    </row>
    <row r="3447" spans="1:6">
      <c r="A3447" s="482"/>
      <c r="B3447" s="485"/>
      <c r="C3447" s="485"/>
      <c r="D3447" s="485"/>
      <c r="E3447" s="485"/>
      <c r="F3447" s="485"/>
    </row>
    <row r="3448" spans="1:6">
      <c r="A3448" s="482"/>
      <c r="B3448" s="485"/>
      <c r="C3448" s="485"/>
      <c r="D3448" s="485"/>
      <c r="E3448" s="485"/>
      <c r="F3448" s="485"/>
    </row>
    <row r="3449" spans="1:6">
      <c r="A3449" s="482"/>
      <c r="B3449" s="485"/>
      <c r="C3449" s="485"/>
      <c r="D3449" s="485"/>
      <c r="E3449" s="485"/>
      <c r="F3449" s="485"/>
    </row>
    <row r="3450" spans="1:6">
      <c r="A3450" s="482"/>
      <c r="B3450" s="485"/>
      <c r="C3450" s="485"/>
      <c r="D3450" s="485"/>
      <c r="E3450" s="485"/>
      <c r="F3450" s="485"/>
    </row>
    <row r="3451" spans="1:6">
      <c r="A3451" s="482"/>
      <c r="B3451" s="485"/>
      <c r="C3451" s="485"/>
      <c r="D3451" s="485"/>
      <c r="E3451" s="485"/>
      <c r="F3451" s="485"/>
    </row>
    <row r="3452" spans="1:6">
      <c r="A3452" s="482"/>
      <c r="B3452" s="485"/>
      <c r="C3452" s="485"/>
      <c r="D3452" s="485"/>
      <c r="E3452" s="485"/>
      <c r="F3452" s="485"/>
    </row>
    <row r="3453" spans="1:6">
      <c r="A3453" s="482"/>
      <c r="B3453" s="485"/>
      <c r="C3453" s="485"/>
      <c r="D3453" s="485"/>
      <c r="E3453" s="485"/>
      <c r="F3453" s="485"/>
    </row>
    <row r="3454" spans="1:6">
      <c r="A3454" s="482"/>
      <c r="B3454" s="485"/>
      <c r="C3454" s="485"/>
      <c r="D3454" s="485"/>
      <c r="E3454" s="485"/>
      <c r="F3454" s="485"/>
    </row>
    <row r="3455" spans="1:6">
      <c r="A3455" s="482"/>
      <c r="B3455" s="485"/>
      <c r="C3455" s="485"/>
      <c r="D3455" s="485"/>
      <c r="E3455" s="485"/>
      <c r="F3455" s="485"/>
    </row>
    <row r="3456" spans="1:6">
      <c r="A3456" s="482"/>
      <c r="B3456" s="485"/>
      <c r="C3456" s="485"/>
      <c r="D3456" s="485"/>
      <c r="E3456" s="485"/>
      <c r="F3456" s="485"/>
    </row>
    <row r="3457" spans="1:6">
      <c r="A3457" s="482"/>
      <c r="B3457" s="485"/>
      <c r="C3457" s="485"/>
      <c r="D3457" s="485"/>
      <c r="E3457" s="485"/>
      <c r="F3457" s="485"/>
    </row>
    <row r="3458" spans="1:6">
      <c r="A3458" s="482"/>
      <c r="B3458" s="485"/>
      <c r="C3458" s="485"/>
      <c r="D3458" s="485"/>
      <c r="E3458" s="485"/>
      <c r="F3458" s="485"/>
    </row>
    <row r="3459" spans="1:6">
      <c r="A3459" s="482"/>
      <c r="B3459" s="485"/>
      <c r="C3459" s="485"/>
      <c r="D3459" s="485"/>
      <c r="E3459" s="485"/>
      <c r="F3459" s="485"/>
    </row>
    <row r="3460" spans="1:6">
      <c r="A3460" s="482"/>
      <c r="B3460" s="485"/>
      <c r="C3460" s="485"/>
      <c r="D3460" s="485"/>
      <c r="E3460" s="485"/>
      <c r="F3460" s="485"/>
    </row>
    <row r="3461" spans="1:6">
      <c r="A3461" s="482"/>
      <c r="B3461" s="485"/>
      <c r="C3461" s="485"/>
      <c r="D3461" s="485"/>
      <c r="E3461" s="485"/>
      <c r="F3461" s="485"/>
    </row>
    <row r="3462" spans="1:6">
      <c r="A3462" s="482"/>
      <c r="B3462" s="485"/>
      <c r="C3462" s="485"/>
      <c r="D3462" s="485"/>
      <c r="E3462" s="485"/>
      <c r="F3462" s="485"/>
    </row>
    <row r="3463" spans="1:6">
      <c r="A3463" s="482"/>
      <c r="B3463" s="485"/>
      <c r="C3463" s="485"/>
      <c r="D3463" s="485"/>
      <c r="E3463" s="485"/>
      <c r="F3463" s="485"/>
    </row>
    <row r="3464" spans="1:6">
      <c r="A3464" s="482"/>
      <c r="B3464" s="485"/>
      <c r="C3464" s="485"/>
      <c r="D3464" s="485"/>
      <c r="E3464" s="485"/>
      <c r="F3464" s="485"/>
    </row>
    <row r="3465" spans="1:6">
      <c r="A3465" s="482"/>
      <c r="B3465" s="485"/>
      <c r="C3465" s="485"/>
      <c r="D3465" s="485"/>
      <c r="E3465" s="485"/>
      <c r="F3465" s="485"/>
    </row>
    <row r="3466" spans="1:6">
      <c r="A3466" s="482"/>
      <c r="B3466" s="485"/>
      <c r="C3466" s="485"/>
      <c r="D3466" s="485"/>
      <c r="E3466" s="485"/>
      <c r="F3466" s="485"/>
    </row>
    <row r="3467" spans="1:6">
      <c r="A3467" s="482"/>
      <c r="B3467" s="485"/>
      <c r="C3467" s="485"/>
      <c r="D3467" s="485"/>
      <c r="E3467" s="485"/>
      <c r="F3467" s="485"/>
    </row>
    <row r="3468" spans="1:6">
      <c r="A3468" s="482"/>
      <c r="B3468" s="485"/>
      <c r="C3468" s="485"/>
      <c r="D3468" s="485"/>
      <c r="E3468" s="485"/>
      <c r="F3468" s="485"/>
    </row>
    <row r="3469" spans="1:6">
      <c r="A3469" s="482"/>
      <c r="B3469" s="485"/>
      <c r="C3469" s="485"/>
      <c r="D3469" s="485"/>
      <c r="E3469" s="485"/>
      <c r="F3469" s="485"/>
    </row>
    <row r="3470" spans="1:6">
      <c r="A3470" s="482"/>
      <c r="B3470" s="485"/>
      <c r="C3470" s="485"/>
      <c r="D3470" s="485"/>
      <c r="E3470" s="485"/>
      <c r="F3470" s="485"/>
    </row>
    <row r="3471" spans="1:6">
      <c r="A3471" s="482"/>
      <c r="B3471" s="485"/>
      <c r="C3471" s="485"/>
      <c r="D3471" s="485"/>
      <c r="E3471" s="485"/>
      <c r="F3471" s="485"/>
    </row>
    <row r="3472" spans="1:6">
      <c r="A3472" s="482"/>
      <c r="B3472" s="485"/>
      <c r="C3472" s="485"/>
      <c r="D3472" s="485"/>
      <c r="E3472" s="485"/>
      <c r="F3472" s="485"/>
    </row>
    <row r="3473" spans="1:6">
      <c r="A3473" s="482"/>
      <c r="B3473" s="485"/>
      <c r="C3473" s="485"/>
      <c r="D3473" s="485"/>
      <c r="E3473" s="485"/>
      <c r="F3473" s="485"/>
    </row>
    <row r="3474" spans="1:6">
      <c r="A3474" s="482"/>
      <c r="B3474" s="485"/>
      <c r="C3474" s="485"/>
      <c r="D3474" s="485"/>
      <c r="E3474" s="485"/>
      <c r="F3474" s="485"/>
    </row>
    <row r="3475" spans="1:6">
      <c r="A3475" s="482"/>
      <c r="B3475" s="485"/>
      <c r="C3475" s="485"/>
      <c r="D3475" s="485"/>
      <c r="E3475" s="485"/>
      <c r="F3475" s="485"/>
    </row>
    <row r="3476" spans="1:6">
      <c r="A3476" s="482"/>
      <c r="B3476" s="485"/>
      <c r="C3476" s="485"/>
      <c r="D3476" s="485"/>
      <c r="E3476" s="485"/>
      <c r="F3476" s="485"/>
    </row>
    <row r="3477" spans="1:6">
      <c r="A3477" s="482"/>
      <c r="B3477" s="485"/>
      <c r="C3477" s="485"/>
      <c r="D3477" s="485"/>
      <c r="E3477" s="485"/>
      <c r="F3477" s="485"/>
    </row>
    <row r="3478" spans="1:6">
      <c r="A3478" s="482"/>
      <c r="B3478" s="485"/>
      <c r="C3478" s="485"/>
      <c r="D3478" s="485"/>
      <c r="E3478" s="485"/>
      <c r="F3478" s="485"/>
    </row>
    <row r="3479" spans="1:6">
      <c r="A3479" s="482"/>
      <c r="B3479" s="485"/>
      <c r="C3479" s="485"/>
      <c r="D3479" s="485"/>
      <c r="E3479" s="485"/>
      <c r="F3479" s="485"/>
    </row>
    <row r="3480" spans="1:6">
      <c r="A3480" s="482"/>
      <c r="B3480" s="485"/>
      <c r="C3480" s="485"/>
      <c r="D3480" s="485"/>
      <c r="E3480" s="485"/>
      <c r="F3480" s="485"/>
    </row>
    <row r="3481" spans="1:6">
      <c r="A3481" s="482"/>
      <c r="B3481" s="485"/>
      <c r="C3481" s="485"/>
      <c r="D3481" s="485"/>
      <c r="E3481" s="485"/>
      <c r="F3481" s="485"/>
    </row>
    <row r="3482" spans="1:6">
      <c r="A3482" s="482"/>
      <c r="B3482" s="485"/>
      <c r="C3482" s="485"/>
      <c r="D3482" s="485"/>
      <c r="E3482" s="485"/>
      <c r="F3482" s="485"/>
    </row>
    <row r="3483" spans="1:6">
      <c r="A3483" s="482"/>
      <c r="B3483" s="485"/>
      <c r="C3483" s="485"/>
      <c r="D3483" s="485"/>
      <c r="E3483" s="485"/>
      <c r="F3483" s="485"/>
    </row>
    <row r="3484" spans="1:6">
      <c r="A3484" s="482"/>
      <c r="B3484" s="485"/>
      <c r="C3484" s="485"/>
      <c r="D3484" s="485"/>
      <c r="E3484" s="485"/>
      <c r="F3484" s="485"/>
    </row>
    <row r="3485" spans="1:6">
      <c r="A3485" s="482"/>
      <c r="B3485" s="485"/>
      <c r="C3485" s="485"/>
      <c r="D3485" s="485"/>
      <c r="E3485" s="485"/>
      <c r="F3485" s="485"/>
    </row>
    <row r="3486" spans="1:6">
      <c r="A3486" s="482"/>
      <c r="B3486" s="485"/>
      <c r="C3486" s="485"/>
      <c r="D3486" s="485"/>
      <c r="E3486" s="485"/>
      <c r="F3486" s="485"/>
    </row>
    <row r="3487" spans="1:6">
      <c r="A3487" s="482"/>
      <c r="B3487" s="485"/>
      <c r="C3487" s="485"/>
      <c r="D3487" s="485"/>
      <c r="E3487" s="485"/>
      <c r="F3487" s="485"/>
    </row>
    <row r="3488" spans="1:6">
      <c r="A3488" s="482"/>
      <c r="B3488" s="485"/>
      <c r="C3488" s="485"/>
      <c r="D3488" s="485"/>
      <c r="E3488" s="485"/>
      <c r="F3488" s="485"/>
    </row>
    <row r="3489" spans="1:6">
      <c r="A3489" s="482"/>
      <c r="B3489" s="485"/>
      <c r="C3489" s="485"/>
      <c r="D3489" s="485"/>
      <c r="E3489" s="485"/>
      <c r="F3489" s="485"/>
    </row>
    <row r="3490" spans="1:6">
      <c r="A3490" s="482"/>
      <c r="B3490" s="485"/>
      <c r="C3490" s="485"/>
      <c r="D3490" s="485"/>
      <c r="E3490" s="485"/>
      <c r="F3490" s="485"/>
    </row>
    <row r="3491" spans="1:6">
      <c r="A3491" s="482"/>
      <c r="B3491" s="485"/>
      <c r="C3491" s="485"/>
      <c r="D3491" s="485"/>
      <c r="E3491" s="485"/>
      <c r="F3491" s="485"/>
    </row>
    <row r="3492" spans="1:6">
      <c r="A3492" s="482"/>
      <c r="B3492" s="485"/>
      <c r="C3492" s="485"/>
      <c r="D3492" s="485"/>
      <c r="E3492" s="485"/>
      <c r="F3492" s="485"/>
    </row>
    <row r="3493" spans="1:6">
      <c r="A3493" s="482"/>
      <c r="B3493" s="485"/>
      <c r="C3493" s="485"/>
      <c r="D3493" s="485"/>
      <c r="E3493" s="485"/>
      <c r="F3493" s="485"/>
    </row>
    <row r="3494" spans="1:6">
      <c r="A3494" s="482"/>
      <c r="B3494" s="485"/>
      <c r="C3494" s="485"/>
      <c r="D3494" s="485"/>
      <c r="E3494" s="485"/>
      <c r="F3494" s="485"/>
    </row>
    <row r="3495" spans="1:6">
      <c r="A3495" s="482"/>
      <c r="B3495" s="485"/>
      <c r="C3495" s="485"/>
      <c r="D3495" s="485"/>
      <c r="E3495" s="485"/>
      <c r="F3495" s="485"/>
    </row>
    <row r="3496" spans="1:6">
      <c r="A3496" s="482"/>
      <c r="B3496" s="485"/>
      <c r="C3496" s="485"/>
      <c r="D3496" s="485"/>
      <c r="E3496" s="485"/>
      <c r="F3496" s="485"/>
    </row>
    <row r="3497" spans="1:6">
      <c r="A3497" s="482"/>
      <c r="B3497" s="485"/>
      <c r="C3497" s="485"/>
      <c r="D3497" s="485"/>
      <c r="E3497" s="485"/>
      <c r="F3497" s="485"/>
    </row>
    <row r="3498" spans="1:6">
      <c r="A3498" s="482"/>
      <c r="B3498" s="485"/>
      <c r="C3498" s="485"/>
      <c r="D3498" s="485"/>
      <c r="E3498" s="485"/>
      <c r="F3498" s="485"/>
    </row>
    <row r="3499" spans="1:6">
      <c r="A3499" s="482"/>
      <c r="B3499" s="485"/>
      <c r="C3499" s="485"/>
      <c r="D3499" s="485"/>
      <c r="E3499" s="485"/>
      <c r="F3499" s="485"/>
    </row>
    <row r="3500" spans="1:6">
      <c r="A3500" s="482"/>
      <c r="B3500" s="485"/>
      <c r="C3500" s="485"/>
      <c r="D3500" s="485"/>
      <c r="E3500" s="485"/>
      <c r="F3500" s="485"/>
    </row>
    <row r="3501" spans="1:6">
      <c r="A3501" s="482"/>
      <c r="B3501" s="485"/>
      <c r="C3501" s="485"/>
      <c r="D3501" s="485"/>
      <c r="E3501" s="485"/>
      <c r="F3501" s="485"/>
    </row>
    <row r="3502" spans="1:6">
      <c r="A3502" s="482"/>
      <c r="B3502" s="485"/>
      <c r="C3502" s="485"/>
      <c r="D3502" s="485"/>
      <c r="E3502" s="485"/>
      <c r="F3502" s="485"/>
    </row>
    <row r="3503" spans="1:6">
      <c r="A3503" s="482"/>
      <c r="B3503" s="485"/>
      <c r="C3503" s="485"/>
      <c r="D3503" s="485"/>
      <c r="E3503" s="485"/>
      <c r="F3503" s="485"/>
    </row>
    <row r="3504" spans="1:6">
      <c r="A3504" s="482"/>
      <c r="B3504" s="485"/>
      <c r="C3504" s="485"/>
      <c r="D3504" s="485"/>
      <c r="E3504" s="485"/>
      <c r="F3504" s="485"/>
    </row>
    <row r="3505" spans="1:6">
      <c r="A3505" s="482"/>
      <c r="B3505" s="485"/>
      <c r="C3505" s="485"/>
      <c r="D3505" s="485"/>
      <c r="E3505" s="485"/>
      <c r="F3505" s="485"/>
    </row>
    <row r="3506" spans="1:6">
      <c r="A3506" s="482"/>
      <c r="B3506" s="485"/>
      <c r="C3506" s="485"/>
      <c r="D3506" s="485"/>
      <c r="E3506" s="485"/>
      <c r="F3506" s="485"/>
    </row>
    <row r="3507" spans="1:6">
      <c r="A3507" s="482"/>
      <c r="B3507" s="485"/>
      <c r="C3507" s="485"/>
      <c r="D3507" s="485"/>
      <c r="E3507" s="485"/>
      <c r="F3507" s="485"/>
    </row>
    <row r="3508" spans="1:6">
      <c r="A3508" s="482"/>
      <c r="B3508" s="485"/>
      <c r="C3508" s="485"/>
      <c r="D3508" s="485"/>
      <c r="E3508" s="485"/>
      <c r="F3508" s="485"/>
    </row>
    <row r="3509" spans="1:6">
      <c r="A3509" s="482"/>
      <c r="B3509" s="485"/>
      <c r="C3509" s="485"/>
      <c r="D3509" s="485"/>
      <c r="E3509" s="485"/>
      <c r="F3509" s="485"/>
    </row>
    <row r="3510" spans="1:6">
      <c r="A3510" s="482"/>
      <c r="B3510" s="485"/>
      <c r="C3510" s="485"/>
      <c r="D3510" s="485"/>
      <c r="E3510" s="485"/>
      <c r="F3510" s="485"/>
    </row>
    <row r="3511" spans="1:6">
      <c r="A3511" s="482"/>
      <c r="B3511" s="485"/>
      <c r="C3511" s="485"/>
      <c r="D3511" s="485"/>
      <c r="E3511" s="485"/>
      <c r="F3511" s="485"/>
    </row>
    <row r="3512" spans="1:6">
      <c r="A3512" s="482"/>
      <c r="B3512" s="485"/>
      <c r="C3512" s="485"/>
      <c r="D3512" s="485"/>
      <c r="E3512" s="485"/>
      <c r="F3512" s="485"/>
    </row>
    <row r="3513" spans="1:6">
      <c r="A3513" s="482"/>
      <c r="B3513" s="485"/>
      <c r="C3513" s="485"/>
      <c r="D3513" s="485"/>
      <c r="E3513" s="485"/>
      <c r="F3513" s="485"/>
    </row>
    <row r="3514" spans="1:6">
      <c r="A3514" s="482"/>
      <c r="B3514" s="485"/>
      <c r="C3514" s="485"/>
      <c r="D3514" s="485"/>
      <c r="E3514" s="485"/>
      <c r="F3514" s="485"/>
    </row>
    <row r="3515" spans="1:6">
      <c r="A3515" s="482"/>
      <c r="B3515" s="485"/>
      <c r="C3515" s="485"/>
      <c r="D3515" s="485"/>
      <c r="E3515" s="485"/>
      <c r="F3515" s="485"/>
    </row>
    <row r="3516" spans="1:6">
      <c r="A3516" s="482"/>
      <c r="B3516" s="485"/>
      <c r="C3516" s="485"/>
      <c r="D3516" s="485"/>
      <c r="E3516" s="485"/>
      <c r="F3516" s="485"/>
    </row>
    <row r="3517" spans="1:6">
      <c r="A3517" s="482"/>
      <c r="B3517" s="485"/>
      <c r="C3517" s="485"/>
      <c r="D3517" s="485"/>
      <c r="E3517" s="485"/>
      <c r="F3517" s="485"/>
    </row>
    <row r="3518" spans="1:6">
      <c r="A3518" s="482"/>
      <c r="B3518" s="485"/>
      <c r="C3518" s="485"/>
      <c r="D3518" s="485"/>
      <c r="E3518" s="485"/>
      <c r="F3518" s="485"/>
    </row>
    <row r="3519" spans="1:6">
      <c r="A3519" s="482"/>
      <c r="B3519" s="485"/>
      <c r="C3519" s="485"/>
      <c r="D3519" s="485"/>
      <c r="E3519" s="485"/>
      <c r="F3519" s="485"/>
    </row>
    <row r="3520" spans="1:6">
      <c r="A3520" s="482"/>
      <c r="B3520" s="485"/>
      <c r="C3520" s="485"/>
      <c r="D3520" s="485"/>
      <c r="E3520" s="485"/>
      <c r="F3520" s="485"/>
    </row>
    <row r="3521" spans="1:6">
      <c r="A3521" s="482"/>
      <c r="B3521" s="485"/>
      <c r="C3521" s="485"/>
      <c r="D3521" s="485"/>
      <c r="E3521" s="485"/>
      <c r="F3521" s="485"/>
    </row>
    <row r="3522" spans="1:6">
      <c r="A3522" s="482"/>
      <c r="B3522" s="485"/>
      <c r="C3522" s="485"/>
      <c r="D3522" s="485"/>
      <c r="E3522" s="485"/>
      <c r="F3522" s="485"/>
    </row>
    <row r="3523" spans="1:6">
      <c r="A3523" s="482"/>
      <c r="B3523" s="485"/>
      <c r="C3523" s="485"/>
      <c r="D3523" s="485"/>
      <c r="E3523" s="485"/>
      <c r="F3523" s="485"/>
    </row>
    <row r="3524" spans="1:6">
      <c r="A3524" s="482"/>
      <c r="B3524" s="485"/>
      <c r="C3524" s="485"/>
      <c r="D3524" s="485"/>
      <c r="E3524" s="485"/>
      <c r="F3524" s="485"/>
    </row>
    <row r="3525" spans="1:6">
      <c r="A3525" s="482"/>
      <c r="B3525" s="485"/>
      <c r="C3525" s="485"/>
      <c r="D3525" s="485"/>
      <c r="E3525" s="485"/>
      <c r="F3525" s="485"/>
    </row>
    <row r="3526" spans="1:6">
      <c r="A3526" s="482"/>
      <c r="B3526" s="485"/>
      <c r="C3526" s="485"/>
      <c r="D3526" s="485"/>
      <c r="E3526" s="485"/>
      <c r="F3526" s="485"/>
    </row>
    <row r="3527" spans="1:6">
      <c r="A3527" s="482"/>
      <c r="B3527" s="485"/>
      <c r="C3527" s="485"/>
      <c r="D3527" s="485"/>
      <c r="E3527" s="485"/>
      <c r="F3527" s="485"/>
    </row>
    <row r="3528" spans="1:6">
      <c r="A3528" s="482"/>
      <c r="B3528" s="485"/>
      <c r="C3528" s="485"/>
      <c r="D3528" s="485"/>
      <c r="E3528" s="485"/>
      <c r="F3528" s="485"/>
    </row>
    <row r="3529" spans="1:6">
      <c r="A3529" s="482"/>
      <c r="B3529" s="485"/>
      <c r="C3529" s="485"/>
      <c r="D3529" s="485"/>
      <c r="E3529" s="485"/>
      <c r="F3529" s="485"/>
    </row>
    <row r="3530" spans="1:6">
      <c r="A3530" s="482"/>
      <c r="B3530" s="485"/>
      <c r="C3530" s="485"/>
      <c r="D3530" s="485"/>
      <c r="E3530" s="485"/>
      <c r="F3530" s="485"/>
    </row>
    <row r="3531" spans="1:6">
      <c r="A3531" s="482"/>
      <c r="B3531" s="485"/>
      <c r="C3531" s="485"/>
      <c r="D3531" s="485"/>
      <c r="E3531" s="485"/>
      <c r="F3531" s="485"/>
    </row>
    <row r="3532" spans="1:6">
      <c r="A3532" s="482"/>
      <c r="B3532" s="485"/>
      <c r="C3532" s="485"/>
      <c r="D3532" s="485"/>
      <c r="E3532" s="485"/>
      <c r="F3532" s="485"/>
    </row>
    <row r="3533" spans="1:6">
      <c r="A3533" s="482"/>
      <c r="B3533" s="485"/>
      <c r="C3533" s="485"/>
      <c r="D3533" s="485"/>
      <c r="E3533" s="485"/>
      <c r="F3533" s="485"/>
    </row>
    <row r="3534" spans="1:6">
      <c r="A3534" s="482"/>
      <c r="B3534" s="485"/>
      <c r="C3534" s="485"/>
      <c r="D3534" s="485"/>
      <c r="E3534" s="485"/>
      <c r="F3534" s="485"/>
    </row>
    <row r="3535" spans="1:6">
      <c r="A3535" s="482"/>
      <c r="B3535" s="485"/>
      <c r="C3535" s="485"/>
      <c r="D3535" s="485"/>
      <c r="E3535" s="485"/>
      <c r="F3535" s="485"/>
    </row>
    <row r="3536" spans="1:6">
      <c r="A3536" s="482"/>
      <c r="B3536" s="485"/>
      <c r="C3536" s="485"/>
      <c r="D3536" s="485"/>
      <c r="E3536" s="485"/>
      <c r="F3536" s="485"/>
    </row>
    <row r="3537" spans="1:6">
      <c r="A3537" s="482"/>
      <c r="B3537" s="485"/>
      <c r="C3537" s="485"/>
      <c r="D3537" s="485"/>
      <c r="E3537" s="485"/>
      <c r="F3537" s="485"/>
    </row>
    <row r="3538" spans="1:6">
      <c r="A3538" s="482"/>
      <c r="B3538" s="485"/>
      <c r="C3538" s="485"/>
      <c r="D3538" s="485"/>
      <c r="E3538" s="485"/>
      <c r="F3538" s="485"/>
    </row>
    <row r="3539" spans="1:6">
      <c r="A3539" s="482"/>
      <c r="B3539" s="485"/>
      <c r="C3539" s="485"/>
      <c r="D3539" s="485"/>
      <c r="E3539" s="485"/>
      <c r="F3539" s="485"/>
    </row>
    <row r="3540" spans="1:6">
      <c r="A3540" s="482"/>
      <c r="B3540" s="485"/>
      <c r="C3540" s="485"/>
      <c r="D3540" s="485"/>
      <c r="E3540" s="485"/>
      <c r="F3540" s="485"/>
    </row>
    <row r="3541" spans="1:6">
      <c r="A3541" s="482"/>
      <c r="B3541" s="485"/>
      <c r="C3541" s="485"/>
      <c r="D3541" s="485"/>
      <c r="E3541" s="485"/>
      <c r="F3541" s="485"/>
    </row>
    <row r="3542" spans="1:6">
      <c r="A3542" s="482"/>
      <c r="B3542" s="485"/>
      <c r="C3542" s="485"/>
      <c r="D3542" s="485"/>
      <c r="E3542" s="485"/>
      <c r="F3542" s="485"/>
    </row>
    <row r="3543" spans="1:6">
      <c r="A3543" s="482"/>
      <c r="B3543" s="485"/>
      <c r="C3543" s="485"/>
      <c r="D3543" s="485"/>
      <c r="E3543" s="485"/>
      <c r="F3543" s="485"/>
    </row>
    <row r="3544" spans="1:6">
      <c r="A3544" s="482"/>
      <c r="B3544" s="485"/>
      <c r="C3544" s="485"/>
      <c r="D3544" s="485"/>
      <c r="E3544" s="485"/>
      <c r="F3544" s="485"/>
    </row>
    <row r="3545" spans="1:6">
      <c r="A3545" s="482"/>
      <c r="B3545" s="485"/>
      <c r="C3545" s="485"/>
      <c r="D3545" s="485"/>
      <c r="E3545" s="485"/>
      <c r="F3545" s="485"/>
    </row>
    <row r="3546" spans="1:6">
      <c r="A3546" s="482"/>
      <c r="B3546" s="485"/>
      <c r="C3546" s="485"/>
      <c r="D3546" s="485"/>
      <c r="E3546" s="485"/>
      <c r="F3546" s="485"/>
    </row>
    <row r="3547" spans="1:6">
      <c r="A3547" s="482"/>
      <c r="B3547" s="485"/>
      <c r="C3547" s="485"/>
      <c r="D3547" s="485"/>
      <c r="E3547" s="485"/>
      <c r="F3547" s="485"/>
    </row>
    <row r="3548" spans="1:6">
      <c r="A3548" s="482"/>
      <c r="B3548" s="485"/>
      <c r="C3548" s="485"/>
      <c r="D3548" s="485"/>
      <c r="E3548" s="485"/>
      <c r="F3548" s="485"/>
    </row>
    <row r="3549" spans="1:6">
      <c r="A3549" s="482"/>
      <c r="B3549" s="485"/>
      <c r="C3549" s="485"/>
      <c r="D3549" s="485"/>
      <c r="E3549" s="485"/>
      <c r="F3549" s="485"/>
    </row>
    <row r="3550" spans="1:6">
      <c r="A3550" s="482"/>
      <c r="B3550" s="485"/>
      <c r="C3550" s="485"/>
      <c r="D3550" s="485"/>
      <c r="E3550" s="485"/>
      <c r="F3550" s="485"/>
    </row>
    <row r="3551" spans="1:6">
      <c r="A3551" s="482"/>
      <c r="B3551" s="485"/>
      <c r="C3551" s="485"/>
      <c r="D3551" s="485"/>
      <c r="E3551" s="485"/>
      <c r="F3551" s="485"/>
    </row>
    <row r="3552" spans="1:6">
      <c r="A3552" s="482"/>
      <c r="B3552" s="485"/>
      <c r="C3552" s="485"/>
      <c r="D3552" s="485"/>
      <c r="E3552" s="485"/>
      <c r="F3552" s="485"/>
    </row>
    <row r="3553" spans="1:6">
      <c r="A3553" s="482"/>
      <c r="B3553" s="485"/>
      <c r="C3553" s="485"/>
      <c r="D3553" s="485"/>
      <c r="E3553" s="485"/>
      <c r="F3553" s="485"/>
    </row>
    <row r="3554" spans="1:6">
      <c r="A3554" s="482"/>
      <c r="B3554" s="485"/>
      <c r="C3554" s="485"/>
      <c r="D3554" s="485"/>
      <c r="E3554" s="485"/>
      <c r="F3554" s="485"/>
    </row>
    <row r="3555" spans="1:6">
      <c r="A3555" s="482"/>
      <c r="B3555" s="485"/>
      <c r="C3555" s="485"/>
      <c r="D3555" s="485"/>
      <c r="E3555" s="485"/>
      <c r="F3555" s="485"/>
    </row>
    <row r="3556" spans="1:6">
      <c r="A3556" s="482"/>
      <c r="B3556" s="485"/>
      <c r="C3556" s="485"/>
      <c r="D3556" s="485"/>
      <c r="E3556" s="485"/>
      <c r="F3556" s="485"/>
    </row>
    <row r="3557" spans="1:6">
      <c r="A3557" s="482"/>
      <c r="B3557" s="485"/>
      <c r="C3557" s="485"/>
      <c r="D3557" s="485"/>
      <c r="E3557" s="485"/>
      <c r="F3557" s="485"/>
    </row>
    <row r="3558" spans="1:6">
      <c r="A3558" s="482"/>
      <c r="B3558" s="485"/>
      <c r="C3558" s="485"/>
      <c r="D3558" s="485"/>
      <c r="E3558" s="485"/>
      <c r="F3558" s="485"/>
    </row>
    <row r="3559" spans="1:6">
      <c r="A3559" s="482"/>
      <c r="B3559" s="485"/>
      <c r="C3559" s="485"/>
      <c r="D3559" s="485"/>
      <c r="E3559" s="485"/>
      <c r="F3559" s="485"/>
    </row>
    <row r="3560" spans="1:6">
      <c r="A3560" s="482"/>
      <c r="B3560" s="485"/>
      <c r="C3560" s="485"/>
      <c r="D3560" s="485"/>
      <c r="E3560" s="485"/>
      <c r="F3560" s="485"/>
    </row>
    <row r="3561" spans="1:6">
      <c r="A3561" s="482"/>
      <c r="B3561" s="485"/>
      <c r="C3561" s="485"/>
      <c r="D3561" s="485"/>
      <c r="E3561" s="485"/>
      <c r="F3561" s="485"/>
    </row>
    <row r="3562" spans="1:6">
      <c r="A3562" s="482"/>
      <c r="B3562" s="485"/>
      <c r="C3562" s="485"/>
      <c r="D3562" s="485"/>
      <c r="E3562" s="485"/>
      <c r="F3562" s="485"/>
    </row>
    <row r="3563" spans="1:6">
      <c r="A3563" s="482"/>
      <c r="B3563" s="485"/>
      <c r="C3563" s="485"/>
      <c r="D3563" s="485"/>
      <c r="E3563" s="485"/>
      <c r="F3563" s="485"/>
    </row>
    <row r="3564" spans="1:6">
      <c r="A3564" s="482"/>
      <c r="B3564" s="485"/>
      <c r="C3564" s="485"/>
      <c r="D3564" s="485"/>
      <c r="E3564" s="485"/>
      <c r="F3564" s="485"/>
    </row>
    <row r="3565" spans="1:6">
      <c r="A3565" s="482"/>
      <c r="B3565" s="485"/>
      <c r="C3565" s="485"/>
      <c r="D3565" s="485"/>
      <c r="E3565" s="485"/>
      <c r="F3565" s="485"/>
    </row>
    <row r="3566" spans="1:6">
      <c r="A3566" s="482"/>
      <c r="B3566" s="485"/>
      <c r="C3566" s="485"/>
      <c r="D3566" s="485"/>
      <c r="E3566" s="485"/>
      <c r="F3566" s="485"/>
    </row>
    <row r="3567" spans="1:6">
      <c r="A3567" s="482"/>
      <c r="B3567" s="485"/>
      <c r="C3567" s="485"/>
      <c r="D3567" s="485"/>
      <c r="E3567" s="485"/>
      <c r="F3567" s="485"/>
    </row>
    <row r="3568" spans="1:6">
      <c r="A3568" s="482"/>
      <c r="B3568" s="485"/>
      <c r="C3568" s="485"/>
      <c r="D3568" s="485"/>
      <c r="E3568" s="485"/>
      <c r="F3568" s="485"/>
    </row>
    <row r="3569" spans="1:6">
      <c r="A3569" s="482"/>
      <c r="B3569" s="485"/>
      <c r="C3569" s="485"/>
      <c r="D3569" s="485"/>
      <c r="E3569" s="485"/>
      <c r="F3569" s="485"/>
    </row>
    <row r="3570" spans="1:6">
      <c r="A3570" s="482"/>
      <c r="B3570" s="485"/>
      <c r="C3570" s="485"/>
      <c r="D3570" s="485"/>
      <c r="E3570" s="485"/>
      <c r="F3570" s="485"/>
    </row>
    <row r="3571" spans="1:6">
      <c r="A3571" s="482"/>
      <c r="B3571" s="485"/>
      <c r="C3571" s="485"/>
      <c r="D3571" s="485"/>
      <c r="E3571" s="485"/>
      <c r="F3571" s="485"/>
    </row>
    <row r="3572" spans="1:6">
      <c r="A3572" s="482"/>
      <c r="B3572" s="485"/>
      <c r="C3572" s="485"/>
      <c r="D3572" s="485"/>
      <c r="E3572" s="485"/>
      <c r="F3572" s="485"/>
    </row>
    <row r="3573" spans="1:6">
      <c r="A3573" s="482"/>
      <c r="B3573" s="485"/>
      <c r="C3573" s="485"/>
      <c r="D3573" s="485"/>
      <c r="E3573" s="485"/>
      <c r="F3573" s="485"/>
    </row>
    <row r="3574" spans="1:6">
      <c r="A3574" s="482"/>
      <c r="B3574" s="485"/>
      <c r="C3574" s="485"/>
      <c r="D3574" s="485"/>
      <c r="E3574" s="485"/>
      <c r="F3574" s="485"/>
    </row>
    <row r="3575" spans="1:6">
      <c r="A3575" s="482"/>
      <c r="B3575" s="485"/>
      <c r="C3575" s="485"/>
      <c r="D3575" s="485"/>
      <c r="E3575" s="485"/>
      <c r="F3575" s="485"/>
    </row>
    <row r="3576" spans="1:6">
      <c r="A3576" s="482"/>
      <c r="B3576" s="485"/>
      <c r="C3576" s="485"/>
      <c r="D3576" s="485"/>
      <c r="E3576" s="485"/>
      <c r="F3576" s="485"/>
    </row>
    <row r="3577" spans="1:6">
      <c r="A3577" s="482"/>
      <c r="B3577" s="485"/>
      <c r="C3577" s="485"/>
      <c r="D3577" s="485"/>
      <c r="E3577" s="485"/>
      <c r="F3577" s="485"/>
    </row>
    <row r="3578" spans="1:6">
      <c r="A3578" s="482"/>
      <c r="B3578" s="485"/>
      <c r="C3578" s="485"/>
      <c r="D3578" s="485"/>
      <c r="E3578" s="485"/>
      <c r="F3578" s="485"/>
    </row>
    <row r="3579" spans="1:6">
      <c r="A3579" s="482"/>
      <c r="B3579" s="485"/>
      <c r="C3579" s="485"/>
      <c r="D3579" s="485"/>
      <c r="E3579" s="485"/>
      <c r="F3579" s="485"/>
    </row>
    <row r="3580" spans="1:6">
      <c r="A3580" s="482"/>
      <c r="B3580" s="485"/>
      <c r="C3580" s="485"/>
      <c r="D3580" s="485"/>
      <c r="E3580" s="485"/>
      <c r="F3580" s="485"/>
    </row>
    <row r="3581" spans="1:6">
      <c r="A3581" s="482"/>
      <c r="B3581" s="485"/>
      <c r="C3581" s="485"/>
      <c r="D3581" s="485"/>
      <c r="E3581" s="485"/>
      <c r="F3581" s="485"/>
    </row>
    <row r="3582" spans="1:6">
      <c r="A3582" s="482"/>
      <c r="B3582" s="485"/>
      <c r="C3582" s="485"/>
      <c r="D3582" s="485"/>
      <c r="E3582" s="485"/>
      <c r="F3582" s="485"/>
    </row>
    <row r="3583" spans="1:6">
      <c r="A3583" s="482"/>
      <c r="B3583" s="485"/>
      <c r="C3583" s="485"/>
      <c r="D3583" s="485"/>
      <c r="E3583" s="485"/>
      <c r="F3583" s="485"/>
    </row>
    <row r="3584" spans="1:6">
      <c r="A3584" s="482"/>
      <c r="B3584" s="485"/>
      <c r="C3584" s="485"/>
      <c r="D3584" s="485"/>
      <c r="E3584" s="485"/>
      <c r="F3584" s="485"/>
    </row>
    <row r="3585" spans="1:6">
      <c r="A3585" s="482"/>
      <c r="B3585" s="485"/>
      <c r="C3585" s="485"/>
      <c r="D3585" s="485"/>
      <c r="E3585" s="485"/>
      <c r="F3585" s="485"/>
    </row>
    <row r="3586" spans="1:6">
      <c r="A3586" s="482"/>
      <c r="B3586" s="485"/>
      <c r="C3586" s="485"/>
      <c r="D3586" s="485"/>
      <c r="E3586" s="485"/>
      <c r="F3586" s="485"/>
    </row>
    <row r="3587" spans="1:6">
      <c r="A3587" s="482"/>
      <c r="B3587" s="485"/>
      <c r="C3587" s="485"/>
      <c r="D3587" s="485"/>
      <c r="E3587" s="485"/>
      <c r="F3587" s="485"/>
    </row>
    <row r="3588" spans="1:6">
      <c r="A3588" s="482"/>
      <c r="B3588" s="485"/>
      <c r="C3588" s="485"/>
      <c r="D3588" s="485"/>
      <c r="E3588" s="485"/>
      <c r="F3588" s="485"/>
    </row>
    <row r="3589" spans="1:6">
      <c r="A3589" s="482"/>
      <c r="B3589" s="485"/>
      <c r="C3589" s="485"/>
      <c r="D3589" s="485"/>
      <c r="E3589" s="485"/>
      <c r="F3589" s="485"/>
    </row>
    <row r="3590" spans="1:6">
      <c r="A3590" s="482"/>
      <c r="B3590" s="485"/>
      <c r="C3590" s="485"/>
      <c r="D3590" s="485"/>
      <c r="E3590" s="485"/>
      <c r="F3590" s="485"/>
    </row>
    <row r="3591" spans="1:6">
      <c r="A3591" s="482"/>
      <c r="B3591" s="485"/>
      <c r="C3591" s="485"/>
      <c r="D3591" s="485"/>
      <c r="E3591" s="485"/>
      <c r="F3591" s="485"/>
    </row>
    <row r="3592" spans="1:6">
      <c r="A3592" s="482"/>
      <c r="B3592" s="485"/>
      <c r="C3592" s="485"/>
      <c r="D3592" s="485"/>
      <c r="E3592" s="485"/>
      <c r="F3592" s="485"/>
    </row>
    <row r="3593" spans="1:6">
      <c r="A3593" s="482"/>
      <c r="B3593" s="485"/>
      <c r="C3593" s="485"/>
      <c r="D3593" s="485"/>
      <c r="E3593" s="485"/>
      <c r="F3593" s="485"/>
    </row>
    <row r="3594" spans="1:6">
      <c r="A3594" s="482"/>
      <c r="B3594" s="485"/>
      <c r="C3594" s="485"/>
      <c r="D3594" s="485"/>
      <c r="E3594" s="485"/>
      <c r="F3594" s="485"/>
    </row>
    <row r="3595" spans="1:6">
      <c r="A3595" s="482"/>
      <c r="B3595" s="485"/>
      <c r="C3595" s="485"/>
      <c r="D3595" s="485"/>
      <c r="E3595" s="485"/>
      <c r="F3595" s="485"/>
    </row>
    <row r="3596" spans="1:6">
      <c r="A3596" s="482"/>
      <c r="B3596" s="485"/>
      <c r="C3596" s="485"/>
      <c r="D3596" s="485"/>
      <c r="E3596" s="485"/>
      <c r="F3596" s="485"/>
    </row>
    <row r="3597" spans="1:6">
      <c r="A3597" s="482"/>
      <c r="B3597" s="485"/>
      <c r="C3597" s="485"/>
      <c r="D3597" s="485"/>
      <c r="E3597" s="485"/>
      <c r="F3597" s="485"/>
    </row>
    <row r="3598" spans="1:6">
      <c r="A3598" s="482"/>
      <c r="B3598" s="485"/>
      <c r="C3598" s="485"/>
      <c r="D3598" s="485"/>
      <c r="E3598" s="485"/>
      <c r="F3598" s="485"/>
    </row>
    <row r="3599" spans="1:6">
      <c r="A3599" s="482"/>
      <c r="B3599" s="485"/>
      <c r="C3599" s="485"/>
      <c r="D3599" s="485"/>
      <c r="E3599" s="485"/>
      <c r="F3599" s="485"/>
    </row>
    <row r="3600" spans="1:6">
      <c r="A3600" s="482"/>
      <c r="B3600" s="485"/>
      <c r="C3600" s="485"/>
      <c r="D3600" s="485"/>
      <c r="E3600" s="485"/>
      <c r="F3600" s="485"/>
    </row>
    <row r="3601" spans="1:6">
      <c r="A3601" s="482"/>
      <c r="B3601" s="485"/>
      <c r="C3601" s="485"/>
      <c r="D3601" s="485"/>
      <c r="E3601" s="485"/>
      <c r="F3601" s="485"/>
    </row>
    <row r="3602" spans="1:6">
      <c r="A3602" s="482"/>
      <c r="B3602" s="485"/>
      <c r="C3602" s="485"/>
      <c r="D3602" s="485"/>
      <c r="E3602" s="485"/>
      <c r="F3602" s="485"/>
    </row>
    <row r="3603" spans="1:6">
      <c r="A3603" s="482"/>
      <c r="B3603" s="485"/>
      <c r="C3603" s="485"/>
      <c r="D3603" s="485"/>
      <c r="E3603" s="485"/>
      <c r="F3603" s="485"/>
    </row>
    <row r="3604" spans="1:6">
      <c r="A3604" s="482"/>
      <c r="B3604" s="485"/>
      <c r="C3604" s="485"/>
      <c r="D3604" s="485"/>
      <c r="E3604" s="485"/>
      <c r="F3604" s="485"/>
    </row>
    <row r="3605" spans="1:6">
      <c r="A3605" s="482"/>
      <c r="B3605" s="485"/>
      <c r="C3605" s="485"/>
      <c r="D3605" s="485"/>
      <c r="E3605" s="485"/>
      <c r="F3605" s="485"/>
    </row>
    <row r="3606" spans="1:6">
      <c r="A3606" s="482"/>
      <c r="B3606" s="485"/>
      <c r="C3606" s="485"/>
      <c r="D3606" s="485"/>
      <c r="E3606" s="485"/>
      <c r="F3606" s="485"/>
    </row>
    <row r="3607" spans="1:6">
      <c r="A3607" s="482"/>
      <c r="B3607" s="485"/>
      <c r="C3607" s="485"/>
      <c r="D3607" s="485"/>
      <c r="E3607" s="485"/>
      <c r="F3607" s="485"/>
    </row>
    <row r="3608" spans="1:6">
      <c r="A3608" s="482"/>
      <c r="B3608" s="485"/>
      <c r="C3608" s="485"/>
      <c r="D3608" s="485"/>
      <c r="E3608" s="485"/>
      <c r="F3608" s="485"/>
    </row>
    <row r="3609" spans="1:6">
      <c r="A3609" s="482"/>
      <c r="B3609" s="485"/>
      <c r="C3609" s="485"/>
      <c r="D3609" s="485"/>
      <c r="E3609" s="485"/>
      <c r="F3609" s="485"/>
    </row>
    <row r="3610" spans="1:6">
      <c r="A3610" s="482"/>
      <c r="B3610" s="485"/>
      <c r="C3610" s="485"/>
      <c r="D3610" s="485"/>
      <c r="E3610" s="485"/>
      <c r="F3610" s="485"/>
    </row>
    <row r="3611" spans="1:6">
      <c r="A3611" s="482"/>
      <c r="B3611" s="485"/>
      <c r="C3611" s="485"/>
      <c r="D3611" s="485"/>
      <c r="E3611" s="485"/>
      <c r="F3611" s="485"/>
    </row>
    <row r="3612" spans="1:6">
      <c r="A3612" s="482"/>
      <c r="B3612" s="485"/>
      <c r="C3612" s="485"/>
      <c r="D3612" s="485"/>
      <c r="E3612" s="485"/>
      <c r="F3612" s="485"/>
    </row>
    <row r="3613" spans="1:6">
      <c r="A3613" s="482"/>
      <c r="B3613" s="485"/>
      <c r="C3613" s="485"/>
      <c r="D3613" s="485"/>
      <c r="E3613" s="485"/>
      <c r="F3613" s="485"/>
    </row>
    <row r="3614" spans="1:6">
      <c r="A3614" s="482"/>
      <c r="B3614" s="485"/>
      <c r="C3614" s="485"/>
      <c r="D3614" s="485"/>
      <c r="E3614" s="485"/>
      <c r="F3614" s="485"/>
    </row>
    <row r="3615" spans="1:6">
      <c r="A3615" s="482"/>
      <c r="B3615" s="485"/>
      <c r="C3615" s="485"/>
      <c r="D3615" s="485"/>
      <c r="E3615" s="485"/>
      <c r="F3615" s="485"/>
    </row>
    <row r="3616" spans="1:6">
      <c r="A3616" s="482"/>
      <c r="B3616" s="485"/>
      <c r="C3616" s="485"/>
      <c r="D3616" s="485"/>
      <c r="E3616" s="485"/>
      <c r="F3616" s="485"/>
    </row>
    <row r="3617" spans="1:6">
      <c r="A3617" s="482"/>
      <c r="B3617" s="485"/>
      <c r="C3617" s="485"/>
      <c r="D3617" s="485"/>
      <c r="E3617" s="485"/>
      <c r="F3617" s="485"/>
    </row>
    <row r="3618" spans="1:6">
      <c r="A3618" s="482"/>
      <c r="B3618" s="485"/>
      <c r="C3618" s="485"/>
      <c r="D3618" s="485"/>
      <c r="E3618" s="485"/>
      <c r="F3618" s="485"/>
    </row>
    <row r="3619" spans="1:6">
      <c r="A3619" s="482"/>
      <c r="B3619" s="485"/>
      <c r="C3619" s="485"/>
      <c r="D3619" s="485"/>
      <c r="E3619" s="485"/>
      <c r="F3619" s="485"/>
    </row>
    <row r="3620" spans="1:6">
      <c r="A3620" s="482"/>
      <c r="B3620" s="485"/>
      <c r="C3620" s="485"/>
      <c r="D3620" s="485"/>
      <c r="E3620" s="485"/>
      <c r="F3620" s="485"/>
    </row>
    <row r="3621" spans="1:6">
      <c r="A3621" s="482"/>
      <c r="B3621" s="485"/>
      <c r="C3621" s="485"/>
      <c r="D3621" s="485"/>
      <c r="E3621" s="485"/>
      <c r="F3621" s="485"/>
    </row>
    <row r="3622" spans="1:6">
      <c r="A3622" s="482"/>
      <c r="B3622" s="485"/>
      <c r="C3622" s="485"/>
      <c r="D3622" s="485"/>
      <c r="E3622" s="485"/>
      <c r="F3622" s="485"/>
    </row>
    <row r="3623" spans="1:6">
      <c r="A3623" s="482"/>
      <c r="B3623" s="485"/>
      <c r="C3623" s="485"/>
      <c r="D3623" s="485"/>
      <c r="E3623" s="485"/>
      <c r="F3623" s="485"/>
    </row>
    <row r="3624" spans="1:6">
      <c r="A3624" s="482"/>
      <c r="B3624" s="485"/>
      <c r="C3624" s="485"/>
      <c r="D3624" s="485"/>
      <c r="E3624" s="485"/>
      <c r="F3624" s="485"/>
    </row>
    <row r="3625" spans="1:6">
      <c r="A3625" s="482"/>
      <c r="B3625" s="485"/>
      <c r="C3625" s="485"/>
      <c r="D3625" s="485"/>
      <c r="E3625" s="485"/>
      <c r="F3625" s="485"/>
    </row>
    <row r="3626" spans="1:6">
      <c r="A3626" s="482"/>
      <c r="B3626" s="485"/>
      <c r="C3626" s="485"/>
      <c r="D3626" s="485"/>
      <c r="E3626" s="485"/>
      <c r="F3626" s="485"/>
    </row>
    <row r="3627" spans="1:6">
      <c r="A3627" s="482"/>
      <c r="B3627" s="485"/>
      <c r="C3627" s="485"/>
      <c r="D3627" s="485"/>
      <c r="E3627" s="485"/>
      <c r="F3627" s="485"/>
    </row>
    <row r="3628" spans="1:6">
      <c r="A3628" s="482"/>
      <c r="B3628" s="485"/>
      <c r="C3628" s="485"/>
      <c r="D3628" s="485"/>
      <c r="E3628" s="485"/>
      <c r="F3628" s="485"/>
    </row>
    <row r="3629" spans="1:6">
      <c r="A3629" s="482"/>
      <c r="B3629" s="485"/>
      <c r="C3629" s="485"/>
      <c r="D3629" s="485"/>
      <c r="E3629" s="485"/>
      <c r="F3629" s="485"/>
    </row>
    <row r="3630" spans="1:6">
      <c r="A3630" s="482"/>
      <c r="B3630" s="485"/>
      <c r="C3630" s="485"/>
      <c r="D3630" s="485"/>
      <c r="E3630" s="485"/>
      <c r="F3630" s="485"/>
    </row>
    <row r="3631" spans="1:6">
      <c r="A3631" s="482"/>
      <c r="B3631" s="485"/>
      <c r="C3631" s="485"/>
      <c r="D3631" s="485"/>
      <c r="E3631" s="485"/>
      <c r="F3631" s="485"/>
    </row>
    <row r="3632" spans="1:6">
      <c r="A3632" s="482"/>
      <c r="B3632" s="485"/>
      <c r="C3632" s="485"/>
      <c r="D3632" s="485"/>
      <c r="E3632" s="485"/>
      <c r="F3632" s="485"/>
    </row>
    <row r="3633" spans="1:6">
      <c r="A3633" s="482"/>
      <c r="B3633" s="485"/>
      <c r="C3633" s="485"/>
      <c r="D3633" s="485"/>
      <c r="E3633" s="485"/>
      <c r="F3633" s="485"/>
    </row>
    <row r="3634" spans="1:6">
      <c r="A3634" s="482"/>
      <c r="B3634" s="485"/>
      <c r="C3634" s="485"/>
      <c r="D3634" s="485"/>
      <c r="E3634" s="485"/>
      <c r="F3634" s="485"/>
    </row>
    <row r="3635" spans="1:6">
      <c r="A3635" s="482"/>
      <c r="B3635" s="485"/>
      <c r="C3635" s="485"/>
      <c r="D3635" s="485"/>
      <c r="E3635" s="485"/>
      <c r="F3635" s="485"/>
    </row>
    <row r="3636" spans="1:6">
      <c r="A3636" s="482"/>
      <c r="B3636" s="485"/>
      <c r="C3636" s="485"/>
      <c r="D3636" s="485"/>
      <c r="E3636" s="485"/>
      <c r="F3636" s="485"/>
    </row>
    <row r="3637" spans="1:6">
      <c r="A3637" s="482"/>
      <c r="B3637" s="485"/>
      <c r="C3637" s="485"/>
      <c r="D3637" s="485"/>
      <c r="E3637" s="485"/>
      <c r="F3637" s="485"/>
    </row>
    <row r="3638" spans="1:6">
      <c r="A3638" s="482"/>
      <c r="B3638" s="485"/>
      <c r="C3638" s="485"/>
      <c r="D3638" s="485"/>
      <c r="E3638" s="485"/>
      <c r="F3638" s="485"/>
    </row>
    <row r="3639" spans="1:6">
      <c r="A3639" s="482"/>
      <c r="B3639" s="485"/>
      <c r="C3639" s="485"/>
      <c r="D3639" s="485"/>
      <c r="E3639" s="485"/>
      <c r="F3639" s="485"/>
    </row>
    <row r="3640" spans="1:6">
      <c r="A3640" s="482"/>
      <c r="B3640" s="485"/>
      <c r="C3640" s="485"/>
      <c r="D3640" s="485"/>
      <c r="E3640" s="485"/>
      <c r="F3640" s="485"/>
    </row>
    <row r="3641" spans="1:6">
      <c r="A3641" s="482"/>
      <c r="B3641" s="485"/>
      <c r="C3641" s="485"/>
      <c r="D3641" s="485"/>
      <c r="E3641" s="485"/>
      <c r="F3641" s="485"/>
    </row>
    <row r="3642" spans="1:6">
      <c r="A3642" s="482"/>
      <c r="B3642" s="485"/>
      <c r="C3642" s="485"/>
      <c r="D3642" s="485"/>
      <c r="E3642" s="485"/>
      <c r="F3642" s="485"/>
    </row>
    <row r="3643" spans="1:6">
      <c r="A3643" s="482"/>
      <c r="B3643" s="485"/>
      <c r="C3643" s="485"/>
      <c r="D3643" s="485"/>
      <c r="E3643" s="485"/>
      <c r="F3643" s="485"/>
    </row>
    <row r="3644" spans="1:6">
      <c r="A3644" s="482"/>
      <c r="B3644" s="485"/>
      <c r="C3644" s="485"/>
      <c r="D3644" s="485"/>
      <c r="E3644" s="485"/>
      <c r="F3644" s="485"/>
    </row>
    <row r="3645" spans="1:6">
      <c r="A3645" s="482"/>
      <c r="B3645" s="485"/>
      <c r="C3645" s="485"/>
      <c r="D3645" s="485"/>
      <c r="E3645" s="485"/>
      <c r="F3645" s="485"/>
    </row>
    <row r="3646" spans="1:6">
      <c r="A3646" s="482"/>
      <c r="B3646" s="485"/>
      <c r="C3646" s="485"/>
      <c r="D3646" s="485"/>
      <c r="E3646" s="485"/>
      <c r="F3646" s="485"/>
    </row>
    <row r="3647" spans="1:6">
      <c r="A3647" s="482"/>
      <c r="B3647" s="485"/>
      <c r="C3647" s="485"/>
      <c r="D3647" s="485"/>
      <c r="E3647" s="485"/>
      <c r="F3647" s="485"/>
    </row>
    <row r="3648" spans="1:6">
      <c r="A3648" s="482"/>
      <c r="B3648" s="485"/>
      <c r="C3648" s="485"/>
      <c r="D3648" s="485"/>
      <c r="E3648" s="485"/>
      <c r="F3648" s="485"/>
    </row>
    <row r="3649" spans="1:6">
      <c r="A3649" s="482"/>
      <c r="B3649" s="485"/>
      <c r="C3649" s="485"/>
      <c r="D3649" s="485"/>
      <c r="E3649" s="485"/>
      <c r="F3649" s="485"/>
    </row>
    <row r="3650" spans="1:6">
      <c r="A3650" s="482"/>
      <c r="B3650" s="485"/>
      <c r="C3650" s="485"/>
      <c r="D3650" s="485"/>
      <c r="E3650" s="485"/>
      <c r="F3650" s="485"/>
    </row>
    <row r="3651" spans="1:6">
      <c r="A3651" s="482"/>
      <c r="B3651" s="485"/>
      <c r="C3651" s="485"/>
      <c r="D3651" s="485"/>
      <c r="E3651" s="485"/>
      <c r="F3651" s="485"/>
    </row>
    <row r="3652" spans="1:6">
      <c r="A3652" s="482"/>
      <c r="B3652" s="485"/>
      <c r="C3652" s="485"/>
      <c r="D3652" s="485"/>
      <c r="E3652" s="485"/>
      <c r="F3652" s="485"/>
    </row>
    <row r="3653" spans="1:6">
      <c r="A3653" s="482"/>
      <c r="B3653" s="485"/>
      <c r="C3653" s="485"/>
      <c r="D3653" s="485"/>
      <c r="E3653" s="485"/>
      <c r="F3653" s="485"/>
    </row>
    <row r="3654" spans="1:6">
      <c r="A3654" s="482"/>
      <c r="B3654" s="485"/>
      <c r="C3654" s="485"/>
      <c r="D3654" s="485"/>
      <c r="E3654" s="485"/>
      <c r="F3654" s="485"/>
    </row>
    <row r="3655" spans="1:6">
      <c r="A3655" s="482"/>
      <c r="B3655" s="485"/>
      <c r="C3655" s="485"/>
      <c r="D3655" s="485"/>
      <c r="E3655" s="485"/>
      <c r="F3655" s="485"/>
    </row>
    <row r="3656" spans="1:6">
      <c r="A3656" s="482"/>
      <c r="B3656" s="485"/>
      <c r="C3656" s="485"/>
      <c r="D3656" s="485"/>
      <c r="E3656" s="485"/>
      <c r="F3656" s="485"/>
    </row>
    <row r="3657" spans="1:6">
      <c r="A3657" s="482"/>
      <c r="B3657" s="485"/>
      <c r="C3657" s="485"/>
      <c r="D3657" s="485"/>
      <c r="E3657" s="485"/>
      <c r="F3657" s="485"/>
    </row>
    <row r="3658" spans="1:6">
      <c r="A3658" s="482"/>
      <c r="B3658" s="485"/>
      <c r="C3658" s="485"/>
      <c r="D3658" s="485"/>
      <c r="E3658" s="485"/>
      <c r="F3658" s="485"/>
    </row>
    <row r="3659" spans="1:6">
      <c r="A3659" s="482"/>
      <c r="B3659" s="485"/>
      <c r="C3659" s="485"/>
      <c r="D3659" s="485"/>
      <c r="E3659" s="485"/>
      <c r="F3659" s="485"/>
    </row>
    <row r="3660" spans="1:6">
      <c r="A3660" s="482"/>
      <c r="B3660" s="485"/>
      <c r="C3660" s="485"/>
      <c r="D3660" s="485"/>
      <c r="E3660" s="485"/>
      <c r="F3660" s="485"/>
    </row>
    <row r="3661" spans="1:6">
      <c r="A3661" s="482"/>
      <c r="B3661" s="485"/>
      <c r="C3661" s="485"/>
      <c r="D3661" s="485"/>
      <c r="E3661" s="485"/>
      <c r="F3661" s="485"/>
    </row>
    <row r="3662" spans="1:6">
      <c r="A3662" s="482"/>
      <c r="B3662" s="485"/>
      <c r="C3662" s="485"/>
      <c r="D3662" s="485"/>
      <c r="E3662" s="485"/>
      <c r="F3662" s="485"/>
    </row>
    <row r="3663" spans="1:6">
      <c r="A3663" s="482"/>
      <c r="B3663" s="485"/>
      <c r="C3663" s="485"/>
      <c r="D3663" s="485"/>
      <c r="E3663" s="485"/>
      <c r="F3663" s="485"/>
    </row>
    <row r="3664" spans="1:6">
      <c r="A3664" s="482"/>
      <c r="B3664" s="485"/>
      <c r="C3664" s="485"/>
      <c r="D3664" s="485"/>
      <c r="E3664" s="485"/>
      <c r="F3664" s="485"/>
    </row>
    <row r="3665" spans="1:6">
      <c r="A3665" s="482"/>
      <c r="B3665" s="485"/>
      <c r="C3665" s="485"/>
      <c r="D3665" s="485"/>
      <c r="E3665" s="485"/>
      <c r="F3665" s="485"/>
    </row>
    <row r="3666" spans="1:6">
      <c r="A3666" s="482"/>
      <c r="B3666" s="485"/>
      <c r="C3666" s="485"/>
      <c r="D3666" s="485"/>
      <c r="E3666" s="485"/>
      <c r="F3666" s="485"/>
    </row>
    <row r="3667" spans="1:6">
      <c r="A3667" s="482"/>
      <c r="B3667" s="485"/>
      <c r="C3667" s="485"/>
      <c r="D3667" s="485"/>
      <c r="E3667" s="485"/>
      <c r="F3667" s="485"/>
    </row>
    <row r="3668" spans="1:6">
      <c r="A3668" s="482"/>
      <c r="B3668" s="485"/>
      <c r="C3668" s="485"/>
      <c r="D3668" s="485"/>
      <c r="E3668" s="485"/>
      <c r="F3668" s="485"/>
    </row>
    <row r="3669" spans="1:6">
      <c r="A3669" s="482"/>
      <c r="B3669" s="485"/>
      <c r="C3669" s="485"/>
      <c r="D3669" s="485"/>
      <c r="E3669" s="485"/>
      <c r="F3669" s="485"/>
    </row>
    <row r="3670" spans="1:6">
      <c r="A3670" s="482"/>
      <c r="B3670" s="485"/>
      <c r="C3670" s="485"/>
      <c r="D3670" s="485"/>
      <c r="E3670" s="485"/>
      <c r="F3670" s="485"/>
    </row>
    <row r="3671" spans="1:6">
      <c r="A3671" s="482"/>
      <c r="B3671" s="485"/>
      <c r="C3671" s="485"/>
      <c r="D3671" s="485"/>
      <c r="E3671" s="485"/>
      <c r="F3671" s="485"/>
    </row>
    <row r="3672" spans="1:6">
      <c r="A3672" s="482"/>
      <c r="B3672" s="485"/>
      <c r="C3672" s="485"/>
      <c r="D3672" s="485"/>
      <c r="E3672" s="485"/>
      <c r="F3672" s="485"/>
    </row>
    <row r="3673" spans="1:6">
      <c r="A3673" s="482"/>
      <c r="B3673" s="485"/>
      <c r="C3673" s="485"/>
      <c r="D3673" s="485"/>
      <c r="E3673" s="485"/>
      <c r="F3673" s="485"/>
    </row>
    <row r="3674" spans="1:6">
      <c r="A3674" s="482"/>
      <c r="B3674" s="485"/>
      <c r="C3674" s="485"/>
      <c r="D3674" s="485"/>
      <c r="E3674" s="485"/>
      <c r="F3674" s="485"/>
    </row>
    <row r="3675" spans="1:6">
      <c r="A3675" s="482"/>
      <c r="B3675" s="485"/>
      <c r="C3675" s="485"/>
      <c r="D3675" s="485"/>
      <c r="E3675" s="485"/>
      <c r="F3675" s="485"/>
    </row>
    <row r="3676" spans="1:6">
      <c r="A3676" s="482"/>
      <c r="B3676" s="485"/>
      <c r="C3676" s="485"/>
      <c r="D3676" s="485"/>
      <c r="E3676" s="485"/>
      <c r="F3676" s="485"/>
    </row>
    <row r="3677" spans="1:6">
      <c r="A3677" s="482"/>
      <c r="B3677" s="485"/>
      <c r="C3677" s="485"/>
      <c r="D3677" s="485"/>
      <c r="E3677" s="485"/>
      <c r="F3677" s="485"/>
    </row>
    <row r="3678" spans="1:6">
      <c r="A3678" s="482"/>
      <c r="B3678" s="485"/>
      <c r="C3678" s="485"/>
      <c r="D3678" s="485"/>
      <c r="E3678" s="485"/>
      <c r="F3678" s="485"/>
    </row>
    <row r="3679" spans="1:6">
      <c r="A3679" s="482"/>
      <c r="B3679" s="485"/>
      <c r="C3679" s="485"/>
      <c r="D3679" s="485"/>
      <c r="E3679" s="485"/>
      <c r="F3679" s="485"/>
    </row>
    <row r="3680" spans="1:6">
      <c r="A3680" s="482"/>
      <c r="B3680" s="485"/>
      <c r="C3680" s="485"/>
      <c r="D3680" s="485"/>
      <c r="E3680" s="485"/>
      <c r="F3680" s="485"/>
    </row>
    <row r="3681" spans="1:6">
      <c r="A3681" s="482"/>
      <c r="B3681" s="485"/>
      <c r="C3681" s="485"/>
      <c r="D3681" s="485"/>
      <c r="E3681" s="485"/>
      <c r="F3681" s="485"/>
    </row>
    <row r="3682" spans="1:6">
      <c r="A3682" s="482"/>
      <c r="B3682" s="485"/>
      <c r="C3682" s="485"/>
      <c r="D3682" s="485"/>
      <c r="E3682" s="485"/>
      <c r="F3682" s="485"/>
    </row>
    <row r="3683" spans="1:6">
      <c r="A3683" s="482"/>
      <c r="B3683" s="485"/>
      <c r="C3683" s="485"/>
      <c r="D3683" s="485"/>
      <c r="E3683" s="485"/>
      <c r="F3683" s="485"/>
    </row>
    <row r="3684" spans="1:6">
      <c r="A3684" s="482"/>
      <c r="B3684" s="485"/>
      <c r="C3684" s="485"/>
      <c r="D3684" s="485"/>
      <c r="E3684" s="485"/>
      <c r="F3684" s="485"/>
    </row>
    <row r="3685" spans="1:6">
      <c r="A3685" s="482"/>
      <c r="B3685" s="485"/>
      <c r="C3685" s="485"/>
      <c r="D3685" s="485"/>
      <c r="E3685" s="485"/>
      <c r="F3685" s="485"/>
    </row>
    <row r="3686" spans="1:6">
      <c r="A3686" s="482"/>
      <c r="B3686" s="485"/>
      <c r="C3686" s="485"/>
      <c r="D3686" s="485"/>
      <c r="E3686" s="485"/>
      <c r="F3686" s="485"/>
    </row>
    <row r="3687" spans="1:6">
      <c r="A3687" s="482"/>
      <c r="B3687" s="485"/>
      <c r="C3687" s="485"/>
      <c r="D3687" s="485"/>
      <c r="E3687" s="485"/>
      <c r="F3687" s="485"/>
    </row>
    <row r="3688" spans="1:6">
      <c r="A3688" s="482"/>
      <c r="B3688" s="485"/>
      <c r="C3688" s="485"/>
      <c r="D3688" s="485"/>
      <c r="E3688" s="485"/>
      <c r="F3688" s="485"/>
    </row>
    <row r="3689" spans="1:6">
      <c r="A3689" s="482"/>
      <c r="B3689" s="485"/>
      <c r="C3689" s="485"/>
      <c r="D3689" s="485"/>
      <c r="E3689" s="485"/>
      <c r="F3689" s="485"/>
    </row>
    <row r="3690" spans="1:6">
      <c r="A3690" s="482"/>
      <c r="B3690" s="485"/>
      <c r="C3690" s="485"/>
      <c r="D3690" s="485"/>
      <c r="E3690" s="485"/>
      <c r="F3690" s="485"/>
    </row>
    <row r="3691" spans="1:6">
      <c r="A3691" s="482"/>
      <c r="B3691" s="485"/>
      <c r="C3691" s="485"/>
      <c r="D3691" s="485"/>
      <c r="E3691" s="485"/>
      <c r="F3691" s="485"/>
    </row>
    <row r="3692" spans="1:6">
      <c r="A3692" s="482"/>
      <c r="B3692" s="485"/>
      <c r="C3692" s="485"/>
      <c r="D3692" s="485"/>
      <c r="E3692" s="485"/>
      <c r="F3692" s="485"/>
    </row>
    <row r="3693" spans="1:6">
      <c r="A3693" s="482"/>
      <c r="B3693" s="485"/>
      <c r="C3693" s="485"/>
      <c r="D3693" s="485"/>
      <c r="E3693" s="485"/>
      <c r="F3693" s="485"/>
    </row>
    <row r="3694" spans="1:6">
      <c r="A3694" s="482"/>
      <c r="B3694" s="485"/>
      <c r="C3694" s="485"/>
      <c r="D3694" s="485"/>
      <c r="E3694" s="485"/>
      <c r="F3694" s="485"/>
    </row>
    <row r="3695" spans="1:6">
      <c r="A3695" s="482"/>
      <c r="B3695" s="485"/>
      <c r="C3695" s="485"/>
      <c r="D3695" s="485"/>
      <c r="E3695" s="485"/>
      <c r="F3695" s="485"/>
    </row>
    <row r="3696" spans="1:6">
      <c r="A3696" s="482"/>
      <c r="B3696" s="485"/>
      <c r="C3696" s="485"/>
      <c r="D3696" s="485"/>
      <c r="E3696" s="485"/>
      <c r="F3696" s="485"/>
    </row>
    <row r="3697" spans="1:6">
      <c r="A3697" s="482"/>
      <c r="B3697" s="485"/>
      <c r="C3697" s="485"/>
      <c r="D3697" s="485"/>
      <c r="E3697" s="485"/>
      <c r="F3697" s="485"/>
    </row>
    <row r="3698" spans="1:6">
      <c r="A3698" s="482"/>
      <c r="B3698" s="485"/>
      <c r="C3698" s="485"/>
      <c r="D3698" s="485"/>
      <c r="E3698" s="485"/>
      <c r="F3698" s="485"/>
    </row>
    <row r="3699" spans="1:6">
      <c r="A3699" s="482"/>
      <c r="B3699" s="485"/>
      <c r="C3699" s="485"/>
      <c r="D3699" s="485"/>
      <c r="E3699" s="485"/>
      <c r="F3699" s="485"/>
    </row>
    <row r="3700" spans="1:6">
      <c r="A3700" s="482"/>
      <c r="B3700" s="485"/>
      <c r="C3700" s="485"/>
      <c r="D3700" s="485"/>
      <c r="E3700" s="485"/>
      <c r="F3700" s="485"/>
    </row>
    <row r="3701" spans="1:6">
      <c r="A3701" s="482"/>
      <c r="B3701" s="485"/>
      <c r="C3701" s="485"/>
      <c r="D3701" s="485"/>
      <c r="E3701" s="485"/>
      <c r="F3701" s="485"/>
    </row>
    <row r="3702" spans="1:6">
      <c r="A3702" s="482"/>
      <c r="B3702" s="485"/>
      <c r="C3702" s="485"/>
      <c r="D3702" s="485"/>
      <c r="E3702" s="485"/>
      <c r="F3702" s="485"/>
    </row>
    <row r="3703" spans="1:6">
      <c r="A3703" s="482"/>
      <c r="B3703" s="485"/>
      <c r="C3703" s="485"/>
      <c r="D3703" s="485"/>
      <c r="E3703" s="485"/>
      <c r="F3703" s="485"/>
    </row>
    <row r="3704" spans="1:6">
      <c r="A3704" s="482"/>
      <c r="B3704" s="485"/>
      <c r="C3704" s="485"/>
      <c r="D3704" s="485"/>
      <c r="E3704" s="485"/>
      <c r="F3704" s="485"/>
    </row>
    <row r="3705" spans="1:6">
      <c r="A3705" s="482"/>
      <c r="B3705" s="485"/>
      <c r="C3705" s="485"/>
      <c r="D3705" s="485"/>
      <c r="E3705" s="485"/>
      <c r="F3705" s="485"/>
    </row>
    <row r="3706" spans="1:6">
      <c r="A3706" s="482"/>
      <c r="B3706" s="485"/>
      <c r="C3706" s="485"/>
      <c r="D3706" s="485"/>
      <c r="E3706" s="485"/>
      <c r="F3706" s="485"/>
    </row>
    <row r="3707" spans="1:6">
      <c r="A3707" s="482"/>
      <c r="B3707" s="485"/>
      <c r="C3707" s="485"/>
      <c r="D3707" s="485"/>
      <c r="E3707" s="485"/>
      <c r="F3707" s="485"/>
    </row>
    <row r="3708" spans="1:6">
      <c r="A3708" s="482"/>
      <c r="B3708" s="485"/>
      <c r="C3708" s="485"/>
      <c r="D3708" s="485"/>
      <c r="E3708" s="485"/>
      <c r="F3708" s="485"/>
    </row>
    <row r="3709" spans="1:6">
      <c r="A3709" s="482"/>
      <c r="B3709" s="485"/>
      <c r="C3709" s="485"/>
      <c r="D3709" s="485"/>
      <c r="E3709" s="485"/>
      <c r="F3709" s="485"/>
    </row>
    <row r="3710" spans="1:6">
      <c r="A3710" s="482"/>
      <c r="B3710" s="485"/>
      <c r="C3710" s="485"/>
      <c r="D3710" s="485"/>
      <c r="E3710" s="485"/>
      <c r="F3710" s="485"/>
    </row>
    <row r="3711" spans="1:6">
      <c r="A3711" s="482"/>
      <c r="B3711" s="485"/>
      <c r="C3711" s="485"/>
      <c r="D3711" s="485"/>
      <c r="E3711" s="485"/>
      <c r="F3711" s="485"/>
    </row>
    <row r="3712" spans="1:6">
      <c r="A3712" s="482"/>
      <c r="B3712" s="485"/>
      <c r="C3712" s="485"/>
      <c r="D3712" s="485"/>
      <c r="E3712" s="485"/>
      <c r="F3712" s="485"/>
    </row>
    <row r="3713" spans="1:6">
      <c r="A3713" s="482"/>
      <c r="B3713" s="485"/>
      <c r="C3713" s="485"/>
      <c r="D3713" s="485"/>
      <c r="E3713" s="485"/>
      <c r="F3713" s="485"/>
    </row>
    <row r="3714" spans="1:6">
      <c r="A3714" s="482"/>
      <c r="B3714" s="485"/>
      <c r="C3714" s="485"/>
      <c r="D3714" s="485"/>
      <c r="E3714" s="485"/>
      <c r="F3714" s="485"/>
    </row>
    <row r="3715" spans="1:6">
      <c r="A3715" s="482"/>
      <c r="B3715" s="485"/>
      <c r="C3715" s="485"/>
      <c r="D3715" s="485"/>
      <c r="E3715" s="485"/>
      <c r="F3715" s="485"/>
    </row>
    <row r="3716" spans="1:6">
      <c r="A3716" s="482"/>
      <c r="B3716" s="485"/>
      <c r="C3716" s="485"/>
      <c r="D3716" s="485"/>
      <c r="E3716" s="485"/>
      <c r="F3716" s="485"/>
    </row>
    <row r="3717" spans="1:6">
      <c r="A3717" s="482"/>
      <c r="B3717" s="485"/>
      <c r="C3717" s="485"/>
      <c r="D3717" s="485"/>
      <c r="E3717" s="485"/>
      <c r="F3717" s="485"/>
    </row>
    <row r="3718" spans="1:6">
      <c r="A3718" s="482"/>
      <c r="B3718" s="485"/>
      <c r="C3718" s="485"/>
      <c r="D3718" s="485"/>
      <c r="E3718" s="485"/>
      <c r="F3718" s="485"/>
    </row>
    <row r="3719" spans="1:6">
      <c r="A3719" s="482"/>
      <c r="B3719" s="485"/>
      <c r="C3719" s="485"/>
      <c r="D3719" s="485"/>
      <c r="E3719" s="485"/>
      <c r="F3719" s="485"/>
    </row>
    <row r="3720" spans="1:6">
      <c r="A3720" s="482"/>
      <c r="B3720" s="485"/>
      <c r="C3720" s="485"/>
      <c r="D3720" s="485"/>
      <c r="E3720" s="485"/>
      <c r="F3720" s="485"/>
    </row>
    <row r="3721" spans="1:6">
      <c r="A3721" s="482"/>
      <c r="B3721" s="485"/>
      <c r="C3721" s="485"/>
      <c r="D3721" s="485"/>
      <c r="E3721" s="485"/>
      <c r="F3721" s="485"/>
    </row>
    <row r="3722" spans="1:6">
      <c r="A3722" s="482"/>
      <c r="B3722" s="485"/>
      <c r="C3722" s="485"/>
      <c r="D3722" s="485"/>
      <c r="E3722" s="485"/>
      <c r="F3722" s="485"/>
    </row>
    <row r="3723" spans="1:6">
      <c r="A3723" s="482"/>
      <c r="B3723" s="485"/>
      <c r="C3723" s="485"/>
      <c r="D3723" s="485"/>
      <c r="E3723" s="485"/>
      <c r="F3723" s="485"/>
    </row>
    <row r="3724" spans="1:6">
      <c r="A3724" s="482"/>
      <c r="B3724" s="485"/>
      <c r="C3724" s="485"/>
      <c r="D3724" s="485"/>
      <c r="E3724" s="485"/>
      <c r="F3724" s="485"/>
    </row>
    <row r="3725" spans="1:6">
      <c r="A3725" s="482"/>
      <c r="B3725" s="485"/>
      <c r="C3725" s="485"/>
      <c r="D3725" s="485"/>
      <c r="E3725" s="485"/>
      <c r="F3725" s="485"/>
    </row>
    <row r="3726" spans="1:6">
      <c r="A3726" s="482"/>
      <c r="B3726" s="485"/>
      <c r="C3726" s="485"/>
      <c r="D3726" s="485"/>
      <c r="E3726" s="485"/>
      <c r="F3726" s="485"/>
    </row>
    <row r="3727" spans="1:6">
      <c r="A3727" s="482"/>
      <c r="B3727" s="485"/>
      <c r="C3727" s="485"/>
      <c r="D3727" s="485"/>
      <c r="E3727" s="485"/>
      <c r="F3727" s="485"/>
    </row>
    <row r="3728" spans="1:6">
      <c r="A3728" s="482"/>
      <c r="B3728" s="485"/>
      <c r="C3728" s="485"/>
      <c r="D3728" s="485"/>
      <c r="E3728" s="485"/>
      <c r="F3728" s="485"/>
    </row>
    <row r="3729" spans="1:6">
      <c r="A3729" s="482"/>
      <c r="B3729" s="485"/>
      <c r="C3729" s="485"/>
      <c r="D3729" s="485"/>
      <c r="E3729" s="485"/>
      <c r="F3729" s="485"/>
    </row>
    <row r="3730" spans="1:6">
      <c r="A3730" s="482"/>
      <c r="B3730" s="485"/>
      <c r="C3730" s="485"/>
      <c r="D3730" s="485"/>
      <c r="E3730" s="485"/>
      <c r="F3730" s="485"/>
    </row>
    <row r="3731" spans="1:6">
      <c r="A3731" s="482"/>
      <c r="B3731" s="485"/>
      <c r="C3731" s="485"/>
      <c r="D3731" s="485"/>
      <c r="E3731" s="485"/>
      <c r="F3731" s="485"/>
    </row>
    <row r="3732" spans="1:6">
      <c r="A3732" s="482"/>
      <c r="B3732" s="485"/>
      <c r="C3732" s="485"/>
      <c r="D3732" s="485"/>
      <c r="E3732" s="485"/>
      <c r="F3732" s="485"/>
    </row>
    <row r="3733" spans="1:6">
      <c r="A3733" s="482"/>
      <c r="B3733" s="485"/>
      <c r="C3733" s="485"/>
      <c r="D3733" s="485"/>
      <c r="E3733" s="485"/>
      <c r="F3733" s="485"/>
    </row>
    <row r="3734" spans="1:6">
      <c r="A3734" s="482"/>
      <c r="B3734" s="485"/>
      <c r="C3734" s="485"/>
      <c r="D3734" s="485"/>
      <c r="E3734" s="485"/>
      <c r="F3734" s="485"/>
    </row>
    <row r="3735" spans="1:6">
      <c r="A3735" s="482"/>
      <c r="B3735" s="485"/>
      <c r="C3735" s="485"/>
      <c r="D3735" s="485"/>
      <c r="E3735" s="485"/>
      <c r="F3735" s="485"/>
    </row>
    <row r="3736" spans="1:6">
      <c r="A3736" s="482"/>
      <c r="B3736" s="485"/>
      <c r="C3736" s="485"/>
      <c r="D3736" s="485"/>
      <c r="E3736" s="485"/>
      <c r="F3736" s="485"/>
    </row>
    <row r="3737" spans="1:6">
      <c r="A3737" s="482"/>
      <c r="B3737" s="485"/>
      <c r="C3737" s="485"/>
      <c r="D3737" s="485"/>
      <c r="E3737" s="485"/>
      <c r="F3737" s="485"/>
    </row>
    <row r="3738" spans="1:6">
      <c r="A3738" s="482"/>
      <c r="B3738" s="485"/>
      <c r="C3738" s="485"/>
      <c r="D3738" s="485"/>
      <c r="E3738" s="485"/>
      <c r="F3738" s="485"/>
    </row>
    <row r="3739" spans="1:6">
      <c r="A3739" s="482"/>
      <c r="B3739" s="485"/>
      <c r="C3739" s="485"/>
      <c r="D3739" s="485"/>
      <c r="E3739" s="485"/>
      <c r="F3739" s="485"/>
    </row>
    <row r="3740" spans="1:6">
      <c r="A3740" s="482"/>
      <c r="B3740" s="485"/>
      <c r="C3740" s="485"/>
      <c r="D3740" s="485"/>
      <c r="E3740" s="485"/>
      <c r="F3740" s="485"/>
    </row>
    <row r="3741" spans="1:6">
      <c r="A3741" s="482"/>
      <c r="B3741" s="485"/>
      <c r="C3741" s="485"/>
      <c r="D3741" s="485"/>
      <c r="E3741" s="485"/>
      <c r="F3741" s="485"/>
    </row>
    <row r="3742" spans="1:6">
      <c r="A3742" s="482"/>
      <c r="B3742" s="485"/>
      <c r="C3742" s="485"/>
      <c r="D3742" s="485"/>
      <c r="E3742" s="485"/>
      <c r="F3742" s="485"/>
    </row>
    <row r="3743" spans="1:6">
      <c r="A3743" s="482"/>
      <c r="B3743" s="485"/>
      <c r="C3743" s="485"/>
      <c r="D3743" s="485"/>
      <c r="E3743" s="485"/>
      <c r="F3743" s="485"/>
    </row>
    <row r="3744" spans="1:6">
      <c r="A3744" s="482"/>
      <c r="B3744" s="485"/>
      <c r="C3744" s="485"/>
      <c r="D3744" s="485"/>
      <c r="E3744" s="485"/>
      <c r="F3744" s="485"/>
    </row>
    <row r="3745" spans="1:6">
      <c r="A3745" s="482"/>
      <c r="B3745" s="485"/>
      <c r="C3745" s="485"/>
      <c r="D3745" s="485"/>
      <c r="E3745" s="485"/>
      <c r="F3745" s="485"/>
    </row>
    <row r="3746" spans="1:6">
      <c r="A3746" s="482"/>
      <c r="B3746" s="485"/>
      <c r="C3746" s="485"/>
      <c r="D3746" s="485"/>
      <c r="E3746" s="485"/>
      <c r="F3746" s="485"/>
    </row>
    <row r="3747" spans="1:6">
      <c r="A3747" s="482"/>
      <c r="B3747" s="485"/>
      <c r="C3747" s="485"/>
      <c r="D3747" s="485"/>
      <c r="E3747" s="485"/>
      <c r="F3747" s="485"/>
    </row>
    <row r="3748" spans="1:6">
      <c r="A3748" s="482"/>
      <c r="B3748" s="485"/>
      <c r="C3748" s="485"/>
      <c r="D3748" s="485"/>
      <c r="E3748" s="485"/>
      <c r="F3748" s="485"/>
    </row>
    <row r="3749" spans="1:6">
      <c r="A3749" s="482"/>
      <c r="B3749" s="485"/>
      <c r="C3749" s="485"/>
      <c r="D3749" s="485"/>
      <c r="E3749" s="485"/>
      <c r="F3749" s="485"/>
    </row>
    <row r="3750" spans="1:6">
      <c r="A3750" s="482"/>
      <c r="B3750" s="485"/>
      <c r="C3750" s="485"/>
      <c r="D3750" s="485"/>
      <c r="E3750" s="485"/>
      <c r="F3750" s="485"/>
    </row>
    <row r="3751" spans="1:6">
      <c r="A3751" s="482"/>
      <c r="B3751" s="485"/>
      <c r="C3751" s="485"/>
      <c r="D3751" s="485"/>
      <c r="E3751" s="485"/>
      <c r="F3751" s="485"/>
    </row>
    <row r="3752" spans="1:6">
      <c r="A3752" s="482"/>
      <c r="B3752" s="485"/>
      <c r="C3752" s="485"/>
      <c r="D3752" s="485"/>
      <c r="E3752" s="485"/>
      <c r="F3752" s="485"/>
    </row>
    <row r="3753" spans="1:6">
      <c r="A3753" s="482"/>
      <c r="B3753" s="485"/>
      <c r="C3753" s="485"/>
      <c r="D3753" s="485"/>
      <c r="E3753" s="485"/>
      <c r="F3753" s="485"/>
    </row>
    <row r="3754" spans="1:6">
      <c r="A3754" s="482"/>
      <c r="B3754" s="485"/>
      <c r="C3754" s="485"/>
      <c r="D3754" s="485"/>
      <c r="E3754" s="485"/>
      <c r="F3754" s="485"/>
    </row>
    <row r="3755" spans="1:6">
      <c r="A3755" s="482"/>
      <c r="B3755" s="485"/>
      <c r="C3755" s="485"/>
      <c r="D3755" s="485"/>
      <c r="E3755" s="485"/>
      <c r="F3755" s="485"/>
    </row>
    <row r="3756" spans="1:6">
      <c r="A3756" s="482"/>
      <c r="B3756" s="485"/>
      <c r="C3756" s="485"/>
      <c r="D3756" s="485"/>
      <c r="E3756" s="485"/>
      <c r="F3756" s="485"/>
    </row>
    <row r="3757" spans="1:6">
      <c r="A3757" s="482"/>
      <c r="B3757" s="485"/>
      <c r="C3757" s="485"/>
      <c r="D3757" s="485"/>
      <c r="E3757" s="485"/>
      <c r="F3757" s="485"/>
    </row>
    <row r="3758" spans="1:6">
      <c r="A3758" s="482"/>
      <c r="B3758" s="485"/>
      <c r="C3758" s="485"/>
      <c r="D3758" s="485"/>
      <c r="E3758" s="485"/>
      <c r="F3758" s="485"/>
    </row>
    <row r="3759" spans="1:6">
      <c r="A3759" s="482"/>
      <c r="B3759" s="485"/>
      <c r="C3759" s="485"/>
      <c r="D3759" s="485"/>
      <c r="E3759" s="485"/>
      <c r="F3759" s="485"/>
    </row>
    <row r="3760" spans="1:6">
      <c r="A3760" s="482"/>
      <c r="B3760" s="485"/>
      <c r="C3760" s="485"/>
      <c r="D3760" s="485"/>
      <c r="E3760" s="485"/>
      <c r="F3760" s="485"/>
    </row>
    <row r="3761" spans="1:6">
      <c r="A3761" s="482"/>
      <c r="B3761" s="485"/>
      <c r="C3761" s="485"/>
      <c r="D3761" s="485"/>
      <c r="E3761" s="485"/>
      <c r="F3761" s="485"/>
    </row>
    <row r="3762" spans="1:6">
      <c r="A3762" s="482"/>
      <c r="B3762" s="485"/>
      <c r="C3762" s="485"/>
      <c r="D3762" s="485"/>
      <c r="E3762" s="485"/>
      <c r="F3762" s="485"/>
    </row>
    <row r="3763" spans="1:6">
      <c r="A3763" s="482"/>
      <c r="B3763" s="485"/>
      <c r="C3763" s="485"/>
      <c r="D3763" s="485"/>
      <c r="E3763" s="485"/>
      <c r="F3763" s="485"/>
    </row>
    <row r="3764" spans="1:6">
      <c r="A3764" s="482"/>
      <c r="B3764" s="485"/>
      <c r="C3764" s="485"/>
      <c r="D3764" s="485"/>
      <c r="E3764" s="485"/>
      <c r="F3764" s="485"/>
    </row>
    <row r="3765" spans="1:6">
      <c r="A3765" s="482"/>
      <c r="B3765" s="485"/>
      <c r="C3765" s="485"/>
      <c r="D3765" s="485"/>
      <c r="E3765" s="485"/>
      <c r="F3765" s="485"/>
    </row>
    <row r="3766" spans="1:6">
      <c r="A3766" s="482"/>
      <c r="B3766" s="485"/>
      <c r="C3766" s="485"/>
      <c r="D3766" s="485"/>
      <c r="E3766" s="485"/>
      <c r="F3766" s="485"/>
    </row>
    <row r="3767" spans="1:6">
      <c r="A3767" s="482"/>
      <c r="B3767" s="485"/>
      <c r="C3767" s="485"/>
      <c r="D3767" s="485"/>
      <c r="E3767" s="485"/>
      <c r="F3767" s="485"/>
    </row>
    <row r="3768" spans="1:6">
      <c r="A3768" s="482"/>
      <c r="B3768" s="485"/>
      <c r="C3768" s="485"/>
      <c r="D3768" s="485"/>
      <c r="E3768" s="485"/>
      <c r="F3768" s="485"/>
    </row>
    <row r="3769" spans="1:6">
      <c r="A3769" s="482"/>
      <c r="B3769" s="485"/>
      <c r="C3769" s="485"/>
      <c r="D3769" s="485"/>
      <c r="E3769" s="485"/>
      <c r="F3769" s="485"/>
    </row>
    <row r="3770" spans="1:6">
      <c r="A3770" s="482"/>
      <c r="B3770" s="485"/>
      <c r="C3770" s="485"/>
      <c r="D3770" s="485"/>
      <c r="E3770" s="485"/>
      <c r="F3770" s="485"/>
    </row>
    <row r="3771" spans="1:6">
      <c r="A3771" s="482"/>
      <c r="B3771" s="485"/>
      <c r="C3771" s="485"/>
      <c r="D3771" s="485"/>
      <c r="E3771" s="485"/>
      <c r="F3771" s="485"/>
    </row>
    <row r="3772" spans="1:6">
      <c r="A3772" s="482"/>
      <c r="B3772" s="485"/>
      <c r="C3772" s="485"/>
      <c r="D3772" s="485"/>
      <c r="E3772" s="485"/>
      <c r="F3772" s="485"/>
    </row>
    <row r="3773" spans="1:6">
      <c r="A3773" s="482"/>
      <c r="B3773" s="485"/>
      <c r="C3773" s="485"/>
      <c r="D3773" s="485"/>
      <c r="E3773" s="485"/>
      <c r="F3773" s="485"/>
    </row>
    <row r="3774" spans="1:6">
      <c r="A3774" s="482"/>
      <c r="B3774" s="485"/>
      <c r="C3774" s="485"/>
      <c r="D3774" s="485"/>
      <c r="E3774" s="485"/>
      <c r="F3774" s="485"/>
    </row>
    <row r="3775" spans="1:6">
      <c r="A3775" s="482"/>
      <c r="B3775" s="485"/>
      <c r="C3775" s="485"/>
      <c r="D3775" s="485"/>
      <c r="E3775" s="485"/>
      <c r="F3775" s="485"/>
    </row>
    <row r="3776" spans="1:6">
      <c r="A3776" s="482"/>
      <c r="B3776" s="485"/>
      <c r="C3776" s="485"/>
      <c r="D3776" s="485"/>
      <c r="E3776" s="485"/>
      <c r="F3776" s="485"/>
    </row>
    <row r="3777" spans="1:6">
      <c r="A3777" s="482"/>
      <c r="B3777" s="485"/>
      <c r="C3777" s="485"/>
      <c r="D3777" s="485"/>
      <c r="E3777" s="485"/>
      <c r="F3777" s="485"/>
    </row>
    <row r="3778" spans="1:6">
      <c r="A3778" s="482"/>
      <c r="B3778" s="485"/>
      <c r="C3778" s="485"/>
      <c r="D3778" s="485"/>
      <c r="E3778" s="485"/>
      <c r="F3778" s="485"/>
    </row>
    <row r="3779" spans="1:6">
      <c r="A3779" s="482"/>
      <c r="B3779" s="485"/>
      <c r="C3779" s="485"/>
      <c r="D3779" s="485"/>
      <c r="E3779" s="485"/>
      <c r="F3779" s="485"/>
    </row>
    <row r="3780" spans="1:6">
      <c r="A3780" s="482"/>
      <c r="B3780" s="485"/>
      <c r="C3780" s="485"/>
      <c r="D3780" s="485"/>
      <c r="E3780" s="485"/>
      <c r="F3780" s="485"/>
    </row>
    <row r="3781" spans="1:6">
      <c r="A3781" s="482"/>
      <c r="B3781" s="485"/>
      <c r="C3781" s="485"/>
      <c r="D3781" s="485"/>
      <c r="E3781" s="485"/>
      <c r="F3781" s="485"/>
    </row>
    <row r="3782" spans="1:6">
      <c r="A3782" s="482"/>
      <c r="B3782" s="485"/>
      <c r="C3782" s="485"/>
      <c r="D3782" s="485"/>
      <c r="E3782" s="485"/>
      <c r="F3782" s="485"/>
    </row>
    <row r="3783" spans="1:6">
      <c r="A3783" s="482"/>
      <c r="B3783" s="485"/>
      <c r="C3783" s="485"/>
      <c r="D3783" s="485"/>
      <c r="E3783" s="485"/>
      <c r="F3783" s="485"/>
    </row>
    <row r="3784" spans="1:6">
      <c r="A3784" s="482"/>
      <c r="B3784" s="485"/>
      <c r="C3784" s="485"/>
      <c r="D3784" s="485"/>
      <c r="E3784" s="485"/>
      <c r="F3784" s="485"/>
    </row>
    <row r="3785" spans="1:6">
      <c r="A3785" s="482"/>
      <c r="B3785" s="485"/>
      <c r="C3785" s="485"/>
      <c r="D3785" s="485"/>
      <c r="E3785" s="485"/>
      <c r="F3785" s="485"/>
    </row>
    <row r="3786" spans="1:6">
      <c r="A3786" s="482"/>
      <c r="B3786" s="485"/>
      <c r="C3786" s="485"/>
      <c r="D3786" s="485"/>
      <c r="E3786" s="485"/>
      <c r="F3786" s="485"/>
    </row>
    <row r="3787" spans="1:6">
      <c r="A3787" s="482"/>
      <c r="B3787" s="485"/>
      <c r="C3787" s="485"/>
      <c r="D3787" s="485"/>
      <c r="E3787" s="485"/>
      <c r="F3787" s="485"/>
    </row>
    <row r="3788" spans="1:6">
      <c r="A3788" s="482"/>
      <c r="B3788" s="485"/>
      <c r="C3788" s="485"/>
      <c r="D3788" s="485"/>
      <c r="E3788" s="485"/>
      <c r="F3788" s="485"/>
    </row>
    <row r="3789" spans="1:6">
      <c r="A3789" s="482"/>
      <c r="B3789" s="485"/>
      <c r="C3789" s="485"/>
      <c r="D3789" s="485"/>
      <c r="E3789" s="485"/>
      <c r="F3789" s="485"/>
    </row>
    <row r="3790" spans="1:6">
      <c r="A3790" s="482"/>
      <c r="B3790" s="485"/>
      <c r="C3790" s="485"/>
      <c r="D3790" s="485"/>
      <c r="E3790" s="485"/>
      <c r="F3790" s="485"/>
    </row>
    <row r="3791" spans="1:6">
      <c r="A3791" s="482"/>
      <c r="B3791" s="485"/>
      <c r="C3791" s="485"/>
      <c r="D3791" s="485"/>
      <c r="E3791" s="485"/>
      <c r="F3791" s="485"/>
    </row>
    <row r="3792" spans="1:6">
      <c r="A3792" s="482"/>
      <c r="B3792" s="485"/>
      <c r="C3792" s="485"/>
      <c r="D3792" s="485"/>
      <c r="E3792" s="485"/>
      <c r="F3792" s="485"/>
    </row>
    <row r="3793" spans="1:6">
      <c r="A3793" s="482"/>
      <c r="B3793" s="485"/>
      <c r="C3793" s="485"/>
      <c r="D3793" s="485"/>
      <c r="E3793" s="485"/>
      <c r="F3793" s="485"/>
    </row>
    <row r="3794" spans="1:6">
      <c r="A3794" s="482"/>
      <c r="B3794" s="485"/>
      <c r="C3794" s="485"/>
      <c r="D3794" s="485"/>
      <c r="E3794" s="485"/>
      <c r="F3794" s="485"/>
    </row>
    <row r="3795" spans="1:6">
      <c r="A3795" s="482"/>
      <c r="B3795" s="485"/>
      <c r="C3795" s="485"/>
      <c r="D3795" s="485"/>
      <c r="E3795" s="485"/>
      <c r="F3795" s="485"/>
    </row>
    <row r="3796" spans="1:6">
      <c r="A3796" s="482"/>
      <c r="B3796" s="485"/>
      <c r="C3796" s="485"/>
      <c r="D3796" s="485"/>
      <c r="E3796" s="485"/>
      <c r="F3796" s="485"/>
    </row>
    <row r="3797" spans="1:6">
      <c r="A3797" s="482"/>
      <c r="B3797" s="485"/>
      <c r="C3797" s="485"/>
      <c r="D3797" s="485"/>
      <c r="E3797" s="485"/>
      <c r="F3797" s="485"/>
    </row>
    <row r="3798" spans="1:6">
      <c r="A3798" s="482"/>
      <c r="B3798" s="485"/>
      <c r="C3798" s="485"/>
      <c r="D3798" s="485"/>
      <c r="E3798" s="485"/>
      <c r="F3798" s="485"/>
    </row>
    <row r="3799" spans="1:6">
      <c r="A3799" s="482"/>
      <c r="B3799" s="485"/>
      <c r="C3799" s="485"/>
      <c r="D3799" s="485"/>
      <c r="E3799" s="485"/>
      <c r="F3799" s="485"/>
    </row>
    <row r="3800" spans="1:6">
      <c r="A3800" s="482"/>
      <c r="B3800" s="485"/>
      <c r="C3800" s="485"/>
      <c r="D3800" s="485"/>
      <c r="E3800" s="485"/>
      <c r="F3800" s="485"/>
    </row>
    <row r="3801" spans="1:6">
      <c r="A3801" s="482"/>
      <c r="B3801" s="485"/>
      <c r="C3801" s="485"/>
      <c r="D3801" s="485"/>
      <c r="E3801" s="485"/>
      <c r="F3801" s="485"/>
    </row>
    <row r="3802" spans="1:6">
      <c r="A3802" s="482"/>
      <c r="B3802" s="485"/>
      <c r="C3802" s="485"/>
      <c r="D3802" s="485"/>
      <c r="E3802" s="485"/>
      <c r="F3802" s="485"/>
    </row>
    <row r="3803" spans="1:6">
      <c r="A3803" s="482"/>
      <c r="B3803" s="485"/>
      <c r="C3803" s="485"/>
      <c r="D3803" s="485"/>
      <c r="E3803" s="485"/>
      <c r="F3803" s="485"/>
    </row>
    <row r="3804" spans="1:6">
      <c r="A3804" s="482"/>
      <c r="B3804" s="485"/>
      <c r="C3804" s="485"/>
      <c r="D3804" s="485"/>
      <c r="E3804" s="485"/>
      <c r="F3804" s="485"/>
    </row>
    <row r="3805" spans="1:6">
      <c r="A3805" s="482"/>
      <c r="B3805" s="485"/>
      <c r="C3805" s="485"/>
      <c r="D3805" s="485"/>
      <c r="E3805" s="485"/>
      <c r="F3805" s="485"/>
    </row>
    <row r="3806" spans="1:6">
      <c r="A3806" s="482"/>
      <c r="B3806" s="485"/>
      <c r="C3806" s="485"/>
      <c r="D3806" s="485"/>
      <c r="E3806" s="485"/>
      <c r="F3806" s="485"/>
    </row>
    <row r="3807" spans="1:6">
      <c r="A3807" s="482"/>
      <c r="B3807" s="485"/>
      <c r="C3807" s="485"/>
      <c r="D3807" s="485"/>
      <c r="E3807" s="485"/>
      <c r="F3807" s="485"/>
    </row>
    <row r="3808" spans="1:6">
      <c r="A3808" s="482"/>
      <c r="B3808" s="485"/>
      <c r="C3808" s="485"/>
      <c r="D3808" s="485"/>
      <c r="E3808" s="483"/>
      <c r="F3808" s="483"/>
    </row>
    <row r="3809" spans="1:6">
      <c r="A3809" s="482"/>
      <c r="B3809" s="485"/>
      <c r="C3809" s="485"/>
      <c r="D3809" s="485"/>
      <c r="E3809" s="483"/>
      <c r="F3809" s="483"/>
    </row>
    <row r="3810" spans="1:6">
      <c r="A3810" s="482"/>
      <c r="B3810" s="485"/>
      <c r="C3810" s="485"/>
      <c r="D3810" s="485"/>
      <c r="E3810" s="483"/>
      <c r="F3810" s="483"/>
    </row>
    <row r="3811" spans="1:6">
      <c r="A3811" s="482"/>
      <c r="B3811" s="485"/>
      <c r="C3811" s="485"/>
      <c r="D3811" s="485"/>
      <c r="E3811" s="485"/>
      <c r="F3811" s="485"/>
    </row>
    <row r="3812" spans="1:6">
      <c r="A3812" s="482"/>
      <c r="B3812" s="485"/>
      <c r="C3812" s="485"/>
      <c r="D3812" s="485"/>
      <c r="E3812" s="485"/>
      <c r="F3812" s="485"/>
    </row>
    <row r="3813" spans="1:6">
      <c r="A3813" s="482"/>
      <c r="B3813" s="485"/>
      <c r="C3813" s="485"/>
      <c r="D3813" s="485"/>
      <c r="E3813" s="485"/>
      <c r="F3813" s="485"/>
    </row>
    <row r="3814" spans="1:6">
      <c r="A3814" s="482"/>
      <c r="B3814" s="485"/>
      <c r="C3814" s="485"/>
      <c r="D3814" s="485"/>
      <c r="E3814" s="485"/>
      <c r="F3814" s="485"/>
    </row>
    <row r="3815" spans="1:6">
      <c r="A3815" s="482"/>
      <c r="B3815" s="485"/>
      <c r="C3815" s="485"/>
      <c r="D3815" s="485"/>
      <c r="E3815" s="485"/>
      <c r="F3815" s="485"/>
    </row>
    <row r="3816" spans="1:6">
      <c r="A3816" s="482"/>
      <c r="B3816" s="485"/>
      <c r="C3816" s="485"/>
      <c r="D3816" s="485"/>
      <c r="E3816" s="485"/>
      <c r="F3816" s="485"/>
    </row>
    <row r="3817" spans="1:6">
      <c r="A3817" s="482"/>
      <c r="B3817" s="485"/>
      <c r="C3817" s="485"/>
      <c r="D3817" s="485"/>
      <c r="E3817" s="485"/>
      <c r="F3817" s="485"/>
    </row>
    <row r="3818" spans="1:6">
      <c r="A3818" s="482"/>
      <c r="B3818" s="485"/>
      <c r="C3818" s="485"/>
      <c r="D3818" s="485"/>
      <c r="E3818" s="485"/>
      <c r="F3818" s="485"/>
    </row>
    <row r="3819" spans="1:6">
      <c r="A3819" s="482"/>
      <c r="B3819" s="485"/>
      <c r="C3819" s="485"/>
      <c r="D3819" s="485"/>
      <c r="E3819" s="485"/>
      <c r="F3819" s="485"/>
    </row>
    <row r="3820" spans="1:6">
      <c r="A3820" s="482"/>
      <c r="B3820" s="485"/>
      <c r="C3820" s="485"/>
      <c r="D3820" s="485"/>
      <c r="E3820" s="485"/>
      <c r="F3820" s="485"/>
    </row>
    <row r="3821" spans="1:6">
      <c r="A3821" s="482"/>
      <c r="B3821" s="485"/>
      <c r="C3821" s="485"/>
      <c r="D3821" s="485"/>
      <c r="E3821" s="485"/>
      <c r="F3821" s="485"/>
    </row>
    <row r="3822" spans="1:6">
      <c r="A3822" s="482"/>
      <c r="B3822" s="485"/>
      <c r="C3822" s="485"/>
      <c r="D3822" s="485"/>
      <c r="E3822" s="485"/>
      <c r="F3822" s="485"/>
    </row>
    <row r="3823" spans="1:6">
      <c r="A3823" s="482"/>
      <c r="B3823" s="485"/>
      <c r="C3823" s="485"/>
      <c r="D3823" s="485"/>
      <c r="E3823" s="485"/>
      <c r="F3823" s="485"/>
    </row>
    <row r="3824" spans="1:6">
      <c r="A3824" s="482"/>
      <c r="B3824" s="485"/>
      <c r="C3824" s="485"/>
      <c r="D3824" s="485"/>
      <c r="E3824" s="485"/>
      <c r="F3824" s="485"/>
    </row>
    <row r="3825" spans="1:6">
      <c r="A3825" s="482"/>
      <c r="B3825" s="485"/>
      <c r="C3825" s="485"/>
      <c r="D3825" s="485"/>
      <c r="E3825" s="485"/>
      <c r="F3825" s="485"/>
    </row>
    <row r="3826" spans="1:6">
      <c r="A3826" s="482"/>
      <c r="B3826" s="485"/>
      <c r="C3826" s="485"/>
      <c r="D3826" s="485"/>
      <c r="E3826" s="485"/>
      <c r="F3826" s="485"/>
    </row>
    <row r="3827" spans="1:6">
      <c r="A3827" s="482"/>
      <c r="B3827" s="485"/>
      <c r="C3827" s="485"/>
      <c r="D3827" s="485"/>
      <c r="E3827" s="485"/>
      <c r="F3827" s="485"/>
    </row>
    <row r="3828" spans="1:6">
      <c r="A3828" s="482"/>
      <c r="B3828" s="485"/>
      <c r="C3828" s="485"/>
      <c r="D3828" s="485"/>
      <c r="E3828" s="485"/>
      <c r="F3828" s="485"/>
    </row>
    <row r="3829" spans="1:6">
      <c r="A3829" s="482"/>
      <c r="B3829" s="485"/>
      <c r="C3829" s="485"/>
      <c r="D3829" s="485"/>
      <c r="E3829" s="485"/>
      <c r="F3829" s="485"/>
    </row>
    <row r="3830" spans="1:6">
      <c r="A3830" s="482"/>
      <c r="B3830" s="485"/>
      <c r="C3830" s="485"/>
      <c r="D3830" s="485"/>
      <c r="E3830" s="485"/>
      <c r="F3830" s="485"/>
    </row>
    <row r="3831" spans="1:6">
      <c r="A3831" s="482"/>
      <c r="B3831" s="485"/>
      <c r="C3831" s="485"/>
      <c r="D3831" s="485"/>
      <c r="E3831" s="485"/>
      <c r="F3831" s="485"/>
    </row>
    <row r="3832" spans="1:6">
      <c r="A3832" s="482"/>
      <c r="B3832" s="485"/>
      <c r="C3832" s="485"/>
      <c r="D3832" s="485"/>
      <c r="E3832" s="485"/>
      <c r="F3832" s="485"/>
    </row>
    <row r="3833" spans="1:6">
      <c r="A3833" s="482"/>
      <c r="B3833" s="485"/>
      <c r="C3833" s="485"/>
      <c r="D3833" s="485"/>
      <c r="E3833" s="485"/>
      <c r="F3833" s="485"/>
    </row>
    <row r="3834" spans="1:6">
      <c r="A3834" s="482"/>
      <c r="B3834" s="485"/>
      <c r="C3834" s="485"/>
      <c r="D3834" s="485"/>
      <c r="E3834" s="485"/>
      <c r="F3834" s="485"/>
    </row>
    <row r="3835" spans="1:6">
      <c r="A3835" s="482"/>
      <c r="B3835" s="485"/>
      <c r="C3835" s="485"/>
      <c r="D3835" s="485"/>
      <c r="E3835" s="483"/>
      <c r="F3835" s="483"/>
    </row>
    <row r="3836" spans="1:6">
      <c r="A3836" s="482"/>
      <c r="B3836" s="485"/>
      <c r="C3836" s="485"/>
      <c r="D3836" s="485"/>
      <c r="E3836" s="483"/>
      <c r="F3836" s="483"/>
    </row>
    <row r="3837" spans="1:6">
      <c r="A3837" s="482"/>
      <c r="B3837" s="485"/>
      <c r="C3837" s="485"/>
      <c r="D3837" s="485"/>
      <c r="E3837" s="483"/>
      <c r="F3837" s="483"/>
    </row>
    <row r="3838" spans="1:6">
      <c r="A3838" s="482"/>
      <c r="B3838" s="485"/>
      <c r="C3838" s="485"/>
      <c r="D3838" s="485"/>
      <c r="E3838" s="483"/>
      <c r="F3838" s="483"/>
    </row>
    <row r="3839" spans="1:6">
      <c r="A3839" s="482"/>
      <c r="B3839" s="485"/>
      <c r="C3839" s="485"/>
      <c r="D3839" s="485"/>
      <c r="E3839" s="485"/>
      <c r="F3839" s="485"/>
    </row>
    <row r="3840" spans="1:6">
      <c r="A3840" s="482"/>
      <c r="B3840" s="485"/>
      <c r="C3840" s="485"/>
      <c r="D3840" s="485"/>
      <c r="E3840" s="485"/>
      <c r="F3840" s="485"/>
    </row>
    <row r="3841" spans="1:6">
      <c r="A3841" s="482"/>
      <c r="B3841" s="485"/>
      <c r="C3841" s="485"/>
      <c r="D3841" s="485"/>
      <c r="E3841" s="485"/>
      <c r="F3841" s="485"/>
    </row>
    <row r="3842" spans="1:6">
      <c r="A3842" s="482"/>
      <c r="B3842" s="485"/>
      <c r="C3842" s="485"/>
      <c r="D3842" s="485"/>
      <c r="E3842" s="485"/>
      <c r="F3842" s="485"/>
    </row>
    <row r="3843" spans="1:6">
      <c r="A3843" s="482"/>
      <c r="B3843" s="485"/>
      <c r="C3843" s="485"/>
      <c r="D3843" s="485"/>
      <c r="E3843" s="485"/>
      <c r="F3843" s="485"/>
    </row>
    <row r="3844" spans="1:6">
      <c r="A3844" s="482"/>
      <c r="B3844" s="485"/>
      <c r="C3844" s="485"/>
      <c r="D3844" s="485"/>
      <c r="E3844" s="485"/>
      <c r="F3844" s="485"/>
    </row>
    <row r="3845" spans="1:6">
      <c r="A3845" s="482"/>
      <c r="B3845" s="485"/>
      <c r="C3845" s="485"/>
      <c r="D3845" s="485"/>
      <c r="E3845" s="485"/>
      <c r="F3845" s="485"/>
    </row>
    <row r="3846" spans="1:6">
      <c r="A3846" s="482"/>
      <c r="B3846" s="485"/>
      <c r="C3846" s="485"/>
      <c r="D3846" s="485"/>
      <c r="E3846" s="485"/>
      <c r="F3846" s="485"/>
    </row>
    <row r="3847" spans="1:6">
      <c r="A3847" s="482"/>
      <c r="B3847" s="485"/>
      <c r="C3847" s="485"/>
      <c r="D3847" s="485"/>
      <c r="E3847" s="485"/>
      <c r="F3847" s="485"/>
    </row>
    <row r="3848" spans="1:6">
      <c r="A3848" s="482"/>
      <c r="B3848" s="485"/>
      <c r="C3848" s="485"/>
      <c r="D3848" s="485"/>
      <c r="E3848" s="485"/>
      <c r="F3848" s="485"/>
    </row>
    <row r="3849" spans="1:6">
      <c r="A3849" s="482"/>
      <c r="B3849" s="485"/>
      <c r="C3849" s="485"/>
      <c r="D3849" s="485"/>
      <c r="E3849" s="485"/>
      <c r="F3849" s="485"/>
    </row>
    <row r="3850" spans="1:6">
      <c r="A3850" s="482"/>
      <c r="B3850" s="485"/>
      <c r="C3850" s="485"/>
      <c r="D3850" s="485"/>
      <c r="E3850" s="485"/>
      <c r="F3850" s="485"/>
    </row>
    <row r="3851" spans="1:6">
      <c r="A3851" s="482"/>
      <c r="B3851" s="485"/>
      <c r="C3851" s="485"/>
      <c r="D3851" s="485"/>
      <c r="E3851" s="485"/>
      <c r="F3851" s="485"/>
    </row>
    <row r="3852" spans="1:6">
      <c r="A3852" s="482"/>
      <c r="B3852" s="485"/>
      <c r="C3852" s="485"/>
      <c r="D3852" s="485"/>
      <c r="E3852" s="485"/>
      <c r="F3852" s="485"/>
    </row>
    <row r="3853" spans="1:6">
      <c r="A3853" s="482"/>
      <c r="B3853" s="485"/>
      <c r="C3853" s="485"/>
      <c r="D3853" s="485"/>
      <c r="E3853" s="485"/>
      <c r="F3853" s="485"/>
    </row>
    <row r="3854" spans="1:6">
      <c r="A3854" s="482"/>
      <c r="B3854" s="485"/>
      <c r="C3854" s="485"/>
      <c r="D3854" s="485"/>
      <c r="E3854" s="485"/>
      <c r="F3854" s="485"/>
    </row>
    <row r="3855" spans="1:6">
      <c r="A3855" s="482"/>
      <c r="B3855" s="485"/>
      <c r="C3855" s="485"/>
      <c r="D3855" s="485"/>
      <c r="E3855" s="485"/>
      <c r="F3855" s="485"/>
    </row>
    <row r="3856" spans="1:6">
      <c r="A3856" s="482"/>
      <c r="B3856" s="485"/>
      <c r="C3856" s="485"/>
      <c r="D3856" s="485"/>
      <c r="E3856" s="485"/>
      <c r="F3856" s="485"/>
    </row>
    <row r="3857" spans="1:6">
      <c r="A3857" s="482"/>
      <c r="B3857" s="485"/>
      <c r="C3857" s="485"/>
      <c r="D3857" s="485"/>
      <c r="E3857" s="485"/>
      <c r="F3857" s="485"/>
    </row>
    <row r="3858" spans="1:6">
      <c r="A3858" s="482"/>
      <c r="B3858" s="485"/>
      <c r="C3858" s="485"/>
      <c r="D3858" s="485"/>
      <c r="E3858" s="485"/>
      <c r="F3858" s="485"/>
    </row>
    <row r="3859" spans="1:6">
      <c r="A3859" s="482"/>
      <c r="B3859" s="485"/>
      <c r="C3859" s="485"/>
      <c r="D3859" s="485"/>
      <c r="E3859" s="485"/>
      <c r="F3859" s="485"/>
    </row>
    <row r="3860" spans="1:6">
      <c r="A3860" s="482"/>
      <c r="B3860" s="485"/>
      <c r="C3860" s="485"/>
      <c r="D3860" s="485"/>
      <c r="E3860" s="485"/>
      <c r="F3860" s="485"/>
    </row>
    <row r="3861" spans="1:6">
      <c r="A3861" s="482"/>
      <c r="B3861" s="485"/>
      <c r="C3861" s="485"/>
      <c r="D3861" s="485"/>
      <c r="E3861" s="485"/>
      <c r="F3861" s="485"/>
    </row>
    <row r="3862" spans="1:6">
      <c r="A3862" s="482"/>
      <c r="B3862" s="485"/>
      <c r="C3862" s="485"/>
      <c r="D3862" s="485"/>
      <c r="E3862" s="485"/>
      <c r="F3862" s="485"/>
    </row>
    <row r="3863" spans="1:6">
      <c r="A3863" s="482"/>
      <c r="B3863" s="485"/>
      <c r="C3863" s="485"/>
      <c r="D3863" s="485"/>
      <c r="E3863" s="485"/>
      <c r="F3863" s="485"/>
    </row>
    <row r="3864" spans="1:6">
      <c r="A3864" s="482"/>
      <c r="B3864" s="485"/>
      <c r="C3864" s="485"/>
      <c r="D3864" s="485"/>
      <c r="E3864" s="485"/>
      <c r="F3864" s="485"/>
    </row>
    <row r="3865" spans="1:6">
      <c r="A3865" s="482"/>
      <c r="B3865" s="485"/>
      <c r="C3865" s="485"/>
      <c r="D3865" s="485"/>
      <c r="E3865" s="485"/>
      <c r="F3865" s="485"/>
    </row>
    <row r="3866" spans="1:6">
      <c r="A3866" s="482"/>
      <c r="B3866" s="485"/>
      <c r="C3866" s="485"/>
      <c r="D3866" s="485"/>
      <c r="E3866" s="485"/>
      <c r="F3866" s="485"/>
    </row>
    <row r="3867" spans="1:6">
      <c r="A3867" s="482"/>
      <c r="B3867" s="485"/>
      <c r="C3867" s="485"/>
      <c r="D3867" s="485"/>
      <c r="E3867" s="485"/>
      <c r="F3867" s="485"/>
    </row>
    <row r="3868" spans="1:6">
      <c r="A3868" s="482"/>
      <c r="B3868" s="485"/>
      <c r="C3868" s="485"/>
      <c r="D3868" s="485"/>
      <c r="E3868" s="485"/>
      <c r="F3868" s="485"/>
    </row>
    <row r="3869" spans="1:6">
      <c r="A3869" s="482"/>
      <c r="B3869" s="485"/>
      <c r="C3869" s="485"/>
      <c r="D3869" s="485"/>
      <c r="E3869" s="485"/>
      <c r="F3869" s="485"/>
    </row>
    <row r="3870" spans="1:6">
      <c r="A3870" s="482"/>
      <c r="B3870" s="485"/>
      <c r="C3870" s="485"/>
      <c r="D3870" s="485"/>
      <c r="E3870" s="485"/>
      <c r="F3870" s="485"/>
    </row>
    <row r="3871" spans="1:6">
      <c r="A3871" s="482"/>
      <c r="B3871" s="485"/>
      <c r="C3871" s="485"/>
      <c r="D3871" s="485"/>
      <c r="E3871" s="485"/>
      <c r="F3871" s="485"/>
    </row>
    <row r="3872" spans="1:6">
      <c r="A3872" s="482"/>
      <c r="B3872" s="485"/>
      <c r="C3872" s="485"/>
      <c r="D3872" s="485"/>
      <c r="E3872" s="485"/>
      <c r="F3872" s="485"/>
    </row>
    <row r="3873" spans="1:6">
      <c r="A3873" s="482"/>
      <c r="B3873" s="485"/>
      <c r="C3873" s="485"/>
      <c r="D3873" s="485"/>
      <c r="E3873" s="485"/>
      <c r="F3873" s="485"/>
    </row>
    <row r="3874" spans="1:6">
      <c r="A3874" s="482"/>
      <c r="B3874" s="485"/>
      <c r="C3874" s="485"/>
      <c r="D3874" s="485"/>
      <c r="E3874" s="485"/>
      <c r="F3874" s="485"/>
    </row>
    <row r="3875" spans="1:6">
      <c r="A3875" s="482"/>
      <c r="B3875" s="485"/>
      <c r="C3875" s="485"/>
      <c r="D3875" s="485"/>
      <c r="E3875" s="485"/>
      <c r="F3875" s="485"/>
    </row>
    <row r="3876" spans="1:6">
      <c r="A3876" s="482"/>
      <c r="B3876" s="485"/>
      <c r="C3876" s="485"/>
      <c r="D3876" s="485"/>
      <c r="E3876" s="485"/>
      <c r="F3876" s="485"/>
    </row>
    <row r="3877" spans="1:6">
      <c r="A3877" s="482"/>
      <c r="B3877" s="485"/>
      <c r="C3877" s="485"/>
      <c r="D3877" s="485"/>
      <c r="E3877" s="485"/>
      <c r="F3877" s="485"/>
    </row>
    <row r="3878" spans="1:6">
      <c r="A3878" s="482"/>
      <c r="B3878" s="485"/>
      <c r="C3878" s="485"/>
      <c r="D3878" s="485"/>
      <c r="E3878" s="485"/>
      <c r="F3878" s="485"/>
    </row>
    <row r="3879" spans="1:6">
      <c r="A3879" s="482"/>
      <c r="B3879" s="485"/>
      <c r="C3879" s="485"/>
      <c r="D3879" s="485"/>
      <c r="E3879" s="485"/>
      <c r="F3879" s="485"/>
    </row>
    <row r="3880" spans="1:6">
      <c r="A3880" s="482"/>
      <c r="B3880" s="485"/>
      <c r="C3880" s="485"/>
      <c r="D3880" s="485"/>
      <c r="E3880" s="485"/>
      <c r="F3880" s="485"/>
    </row>
    <row r="3881" spans="1:6">
      <c r="A3881" s="482"/>
      <c r="B3881" s="485"/>
      <c r="C3881" s="485"/>
      <c r="D3881" s="485"/>
      <c r="E3881" s="485"/>
      <c r="F3881" s="485"/>
    </row>
    <row r="3882" spans="1:6">
      <c r="A3882" s="482"/>
      <c r="B3882" s="485"/>
      <c r="C3882" s="485"/>
      <c r="D3882" s="485"/>
      <c r="E3882" s="485"/>
      <c r="F3882" s="485"/>
    </row>
    <row r="3883" spans="1:6">
      <c r="A3883" s="482"/>
      <c r="B3883" s="485"/>
      <c r="C3883" s="485"/>
      <c r="D3883" s="485"/>
      <c r="E3883" s="485"/>
      <c r="F3883" s="485"/>
    </row>
    <row r="3884" spans="1:6">
      <c r="A3884" s="482"/>
      <c r="B3884" s="485"/>
      <c r="C3884" s="485"/>
      <c r="D3884" s="485"/>
      <c r="E3884" s="485"/>
      <c r="F3884" s="485"/>
    </row>
    <row r="3885" spans="1:6">
      <c r="A3885" s="482"/>
      <c r="B3885" s="485"/>
      <c r="C3885" s="485"/>
      <c r="D3885" s="485"/>
      <c r="E3885" s="485"/>
      <c r="F3885" s="485"/>
    </row>
    <row r="3886" spans="1:6">
      <c r="A3886" s="482"/>
      <c r="B3886" s="485"/>
      <c r="C3886" s="485"/>
      <c r="D3886" s="485"/>
      <c r="E3886" s="485"/>
      <c r="F3886" s="485"/>
    </row>
    <row r="3887" spans="1:6">
      <c r="A3887" s="482"/>
      <c r="B3887" s="485"/>
      <c r="C3887" s="485"/>
      <c r="D3887" s="485"/>
      <c r="E3887" s="485"/>
      <c r="F3887" s="485"/>
    </row>
    <row r="3888" spans="1:6">
      <c r="A3888" s="482"/>
      <c r="B3888" s="485"/>
      <c r="C3888" s="485"/>
      <c r="D3888" s="485"/>
      <c r="E3888" s="485"/>
      <c r="F3888" s="485"/>
    </row>
    <row r="3889" spans="1:6">
      <c r="A3889" s="482"/>
      <c r="B3889" s="485"/>
      <c r="C3889" s="485"/>
      <c r="D3889" s="485"/>
      <c r="E3889" s="485"/>
      <c r="F3889" s="485"/>
    </row>
    <row r="3890" spans="1:6">
      <c r="A3890" s="482"/>
      <c r="B3890" s="485"/>
      <c r="C3890" s="485"/>
      <c r="D3890" s="485"/>
      <c r="E3890" s="485"/>
      <c r="F3890" s="485"/>
    </row>
    <row r="3891" spans="1:6">
      <c r="A3891" s="482"/>
      <c r="B3891" s="485"/>
      <c r="C3891" s="485"/>
      <c r="D3891" s="485"/>
      <c r="E3891" s="485"/>
      <c r="F3891" s="485"/>
    </row>
    <row r="3892" spans="1:6">
      <c r="A3892" s="482"/>
      <c r="B3892" s="485"/>
      <c r="C3892" s="485"/>
      <c r="D3892" s="485"/>
      <c r="E3892" s="485"/>
      <c r="F3892" s="485"/>
    </row>
    <row r="3893" spans="1:6">
      <c r="A3893" s="482"/>
      <c r="B3893" s="485"/>
      <c r="C3893" s="485"/>
      <c r="D3893" s="485"/>
      <c r="E3893" s="485"/>
      <c r="F3893" s="485"/>
    </row>
    <row r="3894" spans="1:6">
      <c r="A3894" s="482"/>
      <c r="B3894" s="485"/>
      <c r="C3894" s="485"/>
      <c r="D3894" s="485"/>
      <c r="E3894" s="485"/>
      <c r="F3894" s="485"/>
    </row>
    <row r="3895" spans="1:6">
      <c r="A3895" s="482"/>
      <c r="B3895" s="485"/>
      <c r="C3895" s="485"/>
      <c r="D3895" s="485"/>
      <c r="E3895" s="485"/>
      <c r="F3895" s="485"/>
    </row>
    <row r="3896" spans="1:6">
      <c r="A3896" s="482"/>
      <c r="B3896" s="485"/>
      <c r="C3896" s="485"/>
      <c r="D3896" s="485"/>
      <c r="E3896" s="485"/>
      <c r="F3896" s="485"/>
    </row>
    <row r="3897" spans="1:6">
      <c r="A3897" s="482"/>
      <c r="B3897" s="485"/>
      <c r="C3897" s="485"/>
      <c r="D3897" s="485"/>
      <c r="E3897" s="485"/>
      <c r="F3897" s="485"/>
    </row>
    <row r="3898" spans="1:6">
      <c r="A3898" s="482"/>
      <c r="B3898" s="485"/>
      <c r="C3898" s="485"/>
      <c r="D3898" s="485"/>
      <c r="E3898" s="485"/>
      <c r="F3898" s="485"/>
    </row>
    <row r="3899" spans="1:6">
      <c r="A3899" s="482"/>
      <c r="B3899" s="485"/>
      <c r="C3899" s="485"/>
      <c r="D3899" s="485"/>
      <c r="E3899" s="485"/>
      <c r="F3899" s="485"/>
    </row>
    <row r="3900" spans="1:6">
      <c r="A3900" s="482"/>
      <c r="B3900" s="485"/>
      <c r="C3900" s="485"/>
      <c r="D3900" s="485"/>
      <c r="E3900" s="485"/>
      <c r="F3900" s="485"/>
    </row>
    <row r="3901" spans="1:6">
      <c r="A3901" s="482"/>
      <c r="B3901" s="485"/>
      <c r="C3901" s="485"/>
      <c r="D3901" s="485"/>
      <c r="E3901" s="485"/>
      <c r="F3901" s="485"/>
    </row>
    <row r="3902" spans="1:6">
      <c r="A3902" s="482"/>
      <c r="B3902" s="485"/>
      <c r="C3902" s="485"/>
      <c r="D3902" s="485"/>
      <c r="E3902" s="485"/>
      <c r="F3902" s="485"/>
    </row>
    <row r="3903" spans="1:6">
      <c r="A3903" s="482"/>
      <c r="B3903" s="485"/>
      <c r="C3903" s="485"/>
      <c r="D3903" s="485"/>
      <c r="E3903" s="485"/>
      <c r="F3903" s="485"/>
    </row>
    <row r="3904" spans="1:6">
      <c r="A3904" s="482"/>
      <c r="B3904" s="485"/>
      <c r="C3904" s="485"/>
      <c r="D3904" s="485"/>
      <c r="E3904" s="485"/>
      <c r="F3904" s="485"/>
    </row>
    <row r="3905" spans="1:6">
      <c r="A3905" s="482"/>
      <c r="B3905" s="485"/>
      <c r="C3905" s="485"/>
      <c r="D3905" s="485"/>
      <c r="E3905" s="485"/>
      <c r="F3905" s="485"/>
    </row>
    <row r="3906" spans="1:6">
      <c r="A3906" s="482"/>
      <c r="B3906" s="485"/>
      <c r="C3906" s="485"/>
      <c r="D3906" s="485"/>
      <c r="E3906" s="485"/>
      <c r="F3906" s="485"/>
    </row>
    <row r="3907" spans="1:6">
      <c r="A3907" s="482"/>
      <c r="B3907" s="485"/>
      <c r="C3907" s="485"/>
      <c r="D3907" s="485"/>
      <c r="E3907" s="485"/>
      <c r="F3907" s="485"/>
    </row>
    <row r="3908" spans="1:6">
      <c r="A3908" s="482"/>
      <c r="B3908" s="485"/>
      <c r="C3908" s="485"/>
      <c r="D3908" s="485"/>
      <c r="E3908" s="485"/>
      <c r="F3908" s="485"/>
    </row>
    <row r="3909" spans="1:6">
      <c r="A3909" s="482"/>
      <c r="B3909" s="485"/>
      <c r="C3909" s="485"/>
      <c r="D3909" s="485"/>
      <c r="E3909" s="485"/>
      <c r="F3909" s="485"/>
    </row>
    <row r="3910" spans="1:6">
      <c r="A3910" s="482"/>
      <c r="B3910" s="485"/>
      <c r="C3910" s="485"/>
      <c r="D3910" s="485"/>
      <c r="E3910" s="485"/>
      <c r="F3910" s="485"/>
    </row>
    <row r="3911" spans="1:6">
      <c r="A3911" s="482"/>
      <c r="B3911" s="485"/>
      <c r="C3911" s="485"/>
      <c r="D3911" s="485"/>
      <c r="E3911" s="485"/>
      <c r="F3911" s="485"/>
    </row>
    <row r="3912" spans="1:6">
      <c r="A3912" s="482"/>
      <c r="B3912" s="485"/>
      <c r="C3912" s="485"/>
      <c r="D3912" s="485"/>
      <c r="E3912" s="485"/>
      <c r="F3912" s="485"/>
    </row>
    <row r="3913" spans="1:6">
      <c r="A3913" s="482"/>
      <c r="B3913" s="485"/>
      <c r="C3913" s="485"/>
      <c r="D3913" s="485"/>
      <c r="E3913" s="485"/>
      <c r="F3913" s="485"/>
    </row>
    <row r="3914" spans="1:6">
      <c r="A3914" s="482"/>
      <c r="B3914" s="485"/>
      <c r="C3914" s="485"/>
      <c r="D3914" s="485"/>
      <c r="E3914" s="485"/>
      <c r="F3914" s="485"/>
    </row>
    <row r="3915" spans="1:6">
      <c r="A3915" s="482"/>
      <c r="B3915" s="485"/>
      <c r="C3915" s="485"/>
      <c r="D3915" s="485"/>
      <c r="E3915" s="485"/>
      <c r="F3915" s="485"/>
    </row>
    <row r="3916" spans="1:6">
      <c r="A3916" s="482"/>
      <c r="B3916" s="485"/>
      <c r="C3916" s="485"/>
      <c r="D3916" s="485"/>
      <c r="E3916" s="485"/>
      <c r="F3916" s="485"/>
    </row>
    <row r="3917" spans="1:6">
      <c r="A3917" s="482"/>
      <c r="B3917" s="485"/>
      <c r="C3917" s="485"/>
      <c r="D3917" s="485"/>
      <c r="E3917" s="485"/>
      <c r="F3917" s="485"/>
    </row>
    <row r="3918" spans="1:6">
      <c r="A3918" s="482"/>
      <c r="B3918" s="485"/>
      <c r="C3918" s="485"/>
      <c r="D3918" s="485"/>
      <c r="E3918" s="485"/>
      <c r="F3918" s="485"/>
    </row>
    <row r="3919" spans="1:6">
      <c r="A3919" s="482"/>
      <c r="B3919" s="485"/>
      <c r="C3919" s="485"/>
      <c r="D3919" s="485"/>
      <c r="E3919" s="485"/>
      <c r="F3919" s="485"/>
    </row>
    <row r="3920" spans="1:6">
      <c r="A3920" s="482"/>
      <c r="B3920" s="485"/>
      <c r="C3920" s="485"/>
      <c r="D3920" s="485"/>
      <c r="E3920" s="485"/>
      <c r="F3920" s="485"/>
    </row>
    <row r="3921" spans="1:6">
      <c r="A3921" s="482"/>
      <c r="B3921" s="485"/>
      <c r="C3921" s="485"/>
      <c r="D3921" s="485"/>
      <c r="E3921" s="485"/>
      <c r="F3921" s="485"/>
    </row>
    <row r="3922" spans="1:6">
      <c r="A3922" s="482"/>
      <c r="B3922" s="485"/>
      <c r="C3922" s="485"/>
      <c r="D3922" s="485"/>
      <c r="E3922" s="485"/>
      <c r="F3922" s="485"/>
    </row>
    <row r="3923" spans="1:6">
      <c r="A3923" s="482"/>
      <c r="B3923" s="485"/>
      <c r="C3923" s="485"/>
      <c r="D3923" s="485"/>
      <c r="E3923" s="485"/>
      <c r="F3923" s="485"/>
    </row>
    <row r="3924" spans="1:6">
      <c r="A3924" s="482"/>
      <c r="B3924" s="485"/>
      <c r="C3924" s="485"/>
      <c r="D3924" s="485"/>
      <c r="E3924" s="485"/>
      <c r="F3924" s="485"/>
    </row>
    <row r="3925" spans="1:6">
      <c r="A3925" s="482"/>
      <c r="B3925" s="485"/>
      <c r="C3925" s="485"/>
      <c r="D3925" s="485"/>
      <c r="E3925" s="485"/>
      <c r="F3925" s="485"/>
    </row>
    <row r="3926" spans="1:6">
      <c r="A3926" s="482"/>
      <c r="B3926" s="485"/>
      <c r="C3926" s="485"/>
      <c r="D3926" s="485"/>
      <c r="E3926" s="485"/>
      <c r="F3926" s="485"/>
    </row>
    <row r="3927" spans="1:6">
      <c r="A3927" s="482"/>
      <c r="B3927" s="485"/>
      <c r="C3927" s="485"/>
      <c r="D3927" s="485"/>
      <c r="E3927" s="485"/>
      <c r="F3927" s="485"/>
    </row>
    <row r="3928" spans="1:6">
      <c r="A3928" s="482"/>
      <c r="B3928" s="485"/>
      <c r="C3928" s="485"/>
      <c r="D3928" s="485"/>
      <c r="E3928" s="485"/>
      <c r="F3928" s="485"/>
    </row>
    <row r="3929" spans="1:6">
      <c r="A3929" s="482"/>
      <c r="B3929" s="485"/>
      <c r="C3929" s="485"/>
      <c r="D3929" s="485"/>
      <c r="E3929" s="485"/>
      <c r="F3929" s="485"/>
    </row>
    <row r="3930" spans="1:6">
      <c r="A3930" s="482"/>
      <c r="B3930" s="485"/>
      <c r="C3930" s="485"/>
      <c r="D3930" s="485"/>
      <c r="E3930" s="485"/>
      <c r="F3930" s="485"/>
    </row>
    <row r="3931" spans="1:6">
      <c r="A3931" s="482"/>
      <c r="B3931" s="485"/>
      <c r="C3931" s="485"/>
      <c r="D3931" s="485"/>
      <c r="E3931" s="485"/>
      <c r="F3931" s="485"/>
    </row>
    <row r="3932" spans="1:6">
      <c r="A3932" s="482"/>
      <c r="B3932" s="485"/>
      <c r="C3932" s="485"/>
      <c r="D3932" s="485"/>
      <c r="E3932" s="485"/>
      <c r="F3932" s="485"/>
    </row>
    <row r="3933" spans="1:6">
      <c r="A3933" s="482"/>
      <c r="B3933" s="485"/>
      <c r="C3933" s="485"/>
      <c r="D3933" s="485"/>
      <c r="E3933" s="485"/>
      <c r="F3933" s="485"/>
    </row>
    <row r="3934" spans="1:6">
      <c r="A3934" s="482"/>
      <c r="B3934" s="485"/>
      <c r="C3934" s="485"/>
      <c r="D3934" s="485"/>
      <c r="E3934" s="485"/>
      <c r="F3934" s="485"/>
    </row>
    <row r="3935" spans="1:6">
      <c r="A3935" s="482"/>
      <c r="B3935" s="485"/>
      <c r="C3935" s="485"/>
      <c r="D3935" s="485"/>
      <c r="E3935" s="485"/>
      <c r="F3935" s="485"/>
    </row>
    <row r="3936" spans="1:6">
      <c r="A3936" s="482"/>
      <c r="B3936" s="485"/>
      <c r="C3936" s="485"/>
      <c r="D3936" s="485"/>
      <c r="E3936" s="485"/>
      <c r="F3936" s="485"/>
    </row>
    <row r="3937" spans="1:6">
      <c r="A3937" s="482"/>
      <c r="B3937" s="485"/>
      <c r="C3937" s="485"/>
      <c r="D3937" s="485"/>
      <c r="E3937" s="485"/>
      <c r="F3937" s="485"/>
    </row>
    <row r="3938" spans="1:6">
      <c r="A3938" s="482"/>
      <c r="B3938" s="485"/>
      <c r="C3938" s="485"/>
      <c r="D3938" s="485"/>
      <c r="E3938" s="485"/>
      <c r="F3938" s="485"/>
    </row>
    <row r="3939" spans="1:6">
      <c r="A3939" s="482"/>
      <c r="B3939" s="485"/>
      <c r="C3939" s="485"/>
      <c r="D3939" s="485"/>
      <c r="E3939" s="485"/>
      <c r="F3939" s="485"/>
    </row>
    <row r="3940" spans="1:6">
      <c r="A3940" s="482"/>
      <c r="B3940" s="485"/>
      <c r="C3940" s="485"/>
      <c r="D3940" s="485"/>
      <c r="E3940" s="485"/>
      <c r="F3940" s="485"/>
    </row>
    <row r="3941" spans="1:6">
      <c r="A3941" s="482"/>
      <c r="B3941" s="485"/>
      <c r="C3941" s="485"/>
      <c r="D3941" s="485"/>
      <c r="E3941" s="485"/>
      <c r="F3941" s="485"/>
    </row>
    <row r="3942" spans="1:6">
      <c r="A3942" s="482"/>
      <c r="B3942" s="485"/>
      <c r="C3942" s="485"/>
      <c r="D3942" s="485"/>
      <c r="E3942" s="485"/>
      <c r="F3942" s="485"/>
    </row>
    <row r="3943" spans="1:6">
      <c r="A3943" s="482"/>
      <c r="B3943" s="485"/>
      <c r="C3943" s="485"/>
      <c r="D3943" s="485"/>
      <c r="E3943" s="485"/>
      <c r="F3943" s="485"/>
    </row>
    <row r="3944" spans="1:6">
      <c r="A3944" s="482"/>
      <c r="B3944" s="485"/>
      <c r="C3944" s="485"/>
      <c r="D3944" s="485"/>
      <c r="E3944" s="485"/>
      <c r="F3944" s="485"/>
    </row>
    <row r="3945" spans="1:6">
      <c r="A3945" s="482"/>
      <c r="B3945" s="485"/>
      <c r="C3945" s="485"/>
      <c r="D3945" s="485"/>
      <c r="E3945" s="485"/>
      <c r="F3945" s="485"/>
    </row>
    <row r="3946" spans="1:6">
      <c r="A3946" s="482"/>
      <c r="B3946" s="485"/>
      <c r="C3946" s="485"/>
      <c r="D3946" s="485"/>
      <c r="E3946" s="485"/>
      <c r="F3946" s="485"/>
    </row>
    <row r="3947" spans="1:6">
      <c r="A3947" s="482"/>
      <c r="B3947" s="485"/>
      <c r="C3947" s="485"/>
      <c r="D3947" s="485"/>
      <c r="E3947" s="485"/>
      <c r="F3947" s="485"/>
    </row>
    <row r="3948" spans="1:6">
      <c r="A3948" s="482"/>
      <c r="B3948" s="485"/>
      <c r="C3948" s="485"/>
      <c r="D3948" s="485"/>
      <c r="E3948" s="485"/>
      <c r="F3948" s="485"/>
    </row>
    <row r="3949" spans="1:6">
      <c r="A3949" s="482"/>
      <c r="B3949" s="485"/>
      <c r="C3949" s="485"/>
      <c r="D3949" s="485"/>
      <c r="E3949" s="485"/>
      <c r="F3949" s="485"/>
    </row>
    <row r="3950" spans="1:6">
      <c r="A3950" s="482"/>
      <c r="B3950" s="485"/>
      <c r="C3950" s="485"/>
      <c r="D3950" s="485"/>
      <c r="E3950" s="485"/>
      <c r="F3950" s="485"/>
    </row>
    <row r="3951" spans="1:6">
      <c r="A3951" s="482"/>
      <c r="B3951" s="485"/>
      <c r="C3951" s="485"/>
      <c r="D3951" s="485"/>
      <c r="E3951" s="485"/>
      <c r="F3951" s="485"/>
    </row>
    <row r="3952" spans="1:6">
      <c r="A3952" s="482"/>
      <c r="B3952" s="485"/>
      <c r="C3952" s="485"/>
      <c r="D3952" s="485"/>
      <c r="E3952" s="485"/>
      <c r="F3952" s="485"/>
    </row>
    <row r="3953" spans="1:6">
      <c r="A3953" s="482"/>
      <c r="B3953" s="485"/>
      <c r="C3953" s="485"/>
      <c r="D3953" s="485"/>
      <c r="E3953" s="485"/>
      <c r="F3953" s="485"/>
    </row>
    <row r="3954" spans="1:6">
      <c r="A3954" s="482"/>
      <c r="B3954" s="485"/>
      <c r="C3954" s="485"/>
      <c r="D3954" s="485"/>
      <c r="E3954" s="485"/>
      <c r="F3954" s="485"/>
    </row>
    <row r="3955" spans="1:6">
      <c r="A3955" s="482"/>
      <c r="B3955" s="485"/>
      <c r="C3955" s="485"/>
      <c r="D3955" s="485"/>
      <c r="E3955" s="485"/>
      <c r="F3955" s="485"/>
    </row>
    <row r="3956" spans="1:6">
      <c r="A3956" s="482"/>
      <c r="B3956" s="485"/>
      <c r="C3956" s="485"/>
      <c r="D3956" s="485"/>
      <c r="E3956" s="485"/>
      <c r="F3956" s="485"/>
    </row>
    <row r="3957" spans="1:6">
      <c r="A3957" s="482"/>
      <c r="B3957" s="485"/>
      <c r="C3957" s="485"/>
      <c r="D3957" s="485"/>
      <c r="E3957" s="485"/>
      <c r="F3957" s="485"/>
    </row>
    <row r="3958" spans="1:6">
      <c r="A3958" s="482"/>
      <c r="B3958" s="485"/>
      <c r="C3958" s="485"/>
      <c r="D3958" s="485"/>
      <c r="E3958" s="485"/>
      <c r="F3958" s="485"/>
    </row>
    <row r="3959" spans="1:6">
      <c r="A3959" s="482"/>
      <c r="B3959" s="485"/>
      <c r="C3959" s="485"/>
      <c r="D3959" s="485"/>
      <c r="E3959" s="485"/>
      <c r="F3959" s="485"/>
    </row>
    <row r="3960" spans="1:6">
      <c r="A3960" s="482"/>
      <c r="B3960" s="485"/>
      <c r="C3960" s="485"/>
      <c r="D3960" s="485"/>
      <c r="E3960" s="485"/>
      <c r="F3960" s="485"/>
    </row>
    <row r="3961" spans="1:6">
      <c r="A3961" s="482"/>
      <c r="B3961" s="485"/>
      <c r="C3961" s="485"/>
      <c r="D3961" s="485"/>
      <c r="E3961" s="485"/>
      <c r="F3961" s="485"/>
    </row>
    <row r="3962" spans="1:6">
      <c r="A3962" s="482"/>
      <c r="B3962" s="485"/>
      <c r="C3962" s="485"/>
      <c r="D3962" s="485"/>
      <c r="E3962" s="485"/>
      <c r="F3962" s="485"/>
    </row>
    <row r="3963" spans="1:6">
      <c r="A3963" s="482"/>
      <c r="B3963" s="485"/>
      <c r="C3963" s="485"/>
      <c r="D3963" s="485"/>
      <c r="E3963" s="485"/>
      <c r="F3963" s="485"/>
    </row>
    <row r="3964" spans="1:6">
      <c r="A3964" s="482"/>
      <c r="B3964" s="485"/>
      <c r="C3964" s="485"/>
      <c r="D3964" s="485"/>
      <c r="E3964" s="485"/>
      <c r="F3964" s="485"/>
    </row>
    <row r="3965" spans="1:6">
      <c r="A3965" s="482"/>
      <c r="B3965" s="485"/>
      <c r="C3965" s="485"/>
      <c r="D3965" s="485"/>
      <c r="E3965" s="485"/>
      <c r="F3965" s="485"/>
    </row>
    <row r="3966" spans="1:6">
      <c r="A3966" s="482"/>
      <c r="B3966" s="485"/>
      <c r="C3966" s="485"/>
      <c r="D3966" s="485"/>
      <c r="E3966" s="485"/>
      <c r="F3966" s="485"/>
    </row>
    <row r="3967" spans="1:6">
      <c r="A3967" s="482"/>
      <c r="B3967" s="485"/>
      <c r="C3967" s="485"/>
      <c r="D3967" s="485"/>
      <c r="E3967" s="485"/>
      <c r="F3967" s="485"/>
    </row>
    <row r="3968" spans="1:6">
      <c r="A3968" s="482"/>
      <c r="B3968" s="485"/>
      <c r="C3968" s="485"/>
      <c r="D3968" s="485"/>
      <c r="E3968" s="485"/>
      <c r="F3968" s="485"/>
    </row>
    <row r="3969" spans="1:6">
      <c r="A3969" s="482"/>
      <c r="B3969" s="485"/>
      <c r="C3969" s="485"/>
      <c r="D3969" s="485"/>
      <c r="E3969" s="485"/>
      <c r="F3969" s="485"/>
    </row>
    <row r="3970" spans="1:6">
      <c r="A3970" s="482"/>
      <c r="B3970" s="485"/>
      <c r="C3970" s="485"/>
      <c r="D3970" s="485"/>
      <c r="E3970" s="485"/>
      <c r="F3970" s="485"/>
    </row>
    <row r="3971" spans="1:6">
      <c r="A3971" s="482"/>
      <c r="B3971" s="485"/>
      <c r="C3971" s="485"/>
      <c r="D3971" s="485"/>
      <c r="E3971" s="485"/>
      <c r="F3971" s="485"/>
    </row>
    <row r="3972" spans="1:6">
      <c r="A3972" s="482"/>
      <c r="B3972" s="485"/>
      <c r="C3972" s="485"/>
      <c r="D3972" s="485"/>
      <c r="E3972" s="485"/>
      <c r="F3972" s="485"/>
    </row>
    <row r="3973" spans="1:6">
      <c r="A3973" s="482"/>
      <c r="B3973" s="485"/>
      <c r="C3973" s="485"/>
      <c r="D3973" s="485"/>
      <c r="E3973" s="485"/>
      <c r="F3973" s="485"/>
    </row>
    <row r="3974" spans="1:6">
      <c r="A3974" s="482"/>
      <c r="B3974" s="485"/>
      <c r="C3974" s="485"/>
      <c r="D3974" s="485"/>
      <c r="E3974" s="485"/>
      <c r="F3974" s="485"/>
    </row>
    <row r="3975" spans="1:6">
      <c r="A3975" s="482"/>
      <c r="B3975" s="485"/>
      <c r="C3975" s="485"/>
      <c r="D3975" s="485"/>
      <c r="E3975" s="485"/>
      <c r="F3975" s="485"/>
    </row>
    <row r="3976" spans="1:6">
      <c r="A3976" s="482"/>
      <c r="B3976" s="485"/>
      <c r="C3976" s="485"/>
      <c r="D3976" s="485"/>
      <c r="E3976" s="485"/>
      <c r="F3976" s="485"/>
    </row>
    <row r="3977" spans="1:6">
      <c r="A3977" s="482"/>
      <c r="B3977" s="485"/>
      <c r="C3977" s="485"/>
      <c r="D3977" s="485"/>
      <c r="E3977" s="485"/>
      <c r="F3977" s="485"/>
    </row>
    <row r="3978" spans="1:6">
      <c r="A3978" s="482"/>
      <c r="B3978" s="485"/>
      <c r="C3978" s="485"/>
      <c r="D3978" s="485"/>
      <c r="E3978" s="485"/>
      <c r="F3978" s="485"/>
    </row>
    <row r="3979" spans="1:6">
      <c r="A3979" s="482"/>
      <c r="B3979" s="485"/>
      <c r="C3979" s="485"/>
      <c r="D3979" s="485"/>
      <c r="E3979" s="485"/>
      <c r="F3979" s="485"/>
    </row>
    <row r="3980" spans="1:6">
      <c r="A3980" s="482"/>
      <c r="B3980" s="485"/>
      <c r="C3980" s="485"/>
      <c r="D3980" s="485"/>
      <c r="E3980" s="485"/>
      <c r="F3980" s="485"/>
    </row>
    <row r="3981" spans="1:6">
      <c r="A3981" s="482"/>
      <c r="B3981" s="485"/>
      <c r="C3981" s="485"/>
      <c r="D3981" s="485"/>
      <c r="E3981" s="485"/>
      <c r="F3981" s="485"/>
    </row>
    <row r="3982" spans="1:6">
      <c r="A3982" s="482"/>
      <c r="B3982" s="485"/>
      <c r="C3982" s="485"/>
      <c r="D3982" s="485"/>
      <c r="E3982" s="485"/>
      <c r="F3982" s="485"/>
    </row>
    <row r="3983" spans="1:6">
      <c r="A3983" s="482"/>
      <c r="B3983" s="485"/>
      <c r="C3983" s="485"/>
      <c r="D3983" s="485"/>
      <c r="E3983" s="485"/>
      <c r="F3983" s="485"/>
    </row>
    <row r="3984" spans="1:6">
      <c r="A3984" s="482"/>
      <c r="B3984" s="485"/>
      <c r="C3984" s="485"/>
      <c r="D3984" s="485"/>
      <c r="E3984" s="485"/>
      <c r="F3984" s="485"/>
    </row>
    <row r="3985" spans="1:6">
      <c r="A3985" s="482"/>
      <c r="B3985" s="485"/>
      <c r="C3985" s="485"/>
      <c r="D3985" s="485"/>
      <c r="E3985" s="485"/>
      <c r="F3985" s="485"/>
    </row>
    <row r="3986" spans="1:6">
      <c r="A3986" s="482"/>
      <c r="B3986" s="485"/>
      <c r="C3986" s="485"/>
      <c r="D3986" s="485"/>
      <c r="E3986" s="485"/>
      <c r="F3986" s="485"/>
    </row>
    <row r="3987" spans="1:6">
      <c r="A3987" s="482"/>
      <c r="B3987" s="485"/>
      <c r="C3987" s="485"/>
      <c r="D3987" s="485"/>
      <c r="E3987" s="485"/>
      <c r="F3987" s="485"/>
    </row>
    <row r="3988" spans="1:6">
      <c r="A3988" s="482"/>
      <c r="B3988" s="485"/>
      <c r="C3988" s="485"/>
      <c r="D3988" s="485"/>
      <c r="E3988" s="485"/>
      <c r="F3988" s="485"/>
    </row>
    <row r="3989" spans="1:6">
      <c r="A3989" s="482"/>
      <c r="B3989" s="485"/>
      <c r="C3989" s="485"/>
      <c r="D3989" s="485"/>
      <c r="E3989" s="485"/>
      <c r="F3989" s="485"/>
    </row>
    <row r="3990" spans="1:6">
      <c r="A3990" s="482"/>
      <c r="B3990" s="485"/>
      <c r="C3990" s="485"/>
      <c r="D3990" s="485"/>
      <c r="E3990" s="485"/>
      <c r="F3990" s="485"/>
    </row>
    <row r="3991" spans="1:6">
      <c r="A3991" s="482"/>
      <c r="B3991" s="485"/>
      <c r="C3991" s="485"/>
      <c r="D3991" s="485"/>
      <c r="E3991" s="485"/>
      <c r="F3991" s="485"/>
    </row>
    <row r="3992" spans="1:6">
      <c r="A3992" s="482"/>
      <c r="B3992" s="485"/>
      <c r="C3992" s="485"/>
      <c r="D3992" s="485"/>
      <c r="E3992" s="485"/>
      <c r="F3992" s="485"/>
    </row>
    <row r="3993" spans="1:6">
      <c r="A3993" s="482"/>
      <c r="B3993" s="485"/>
      <c r="C3993" s="485"/>
      <c r="D3993" s="485"/>
      <c r="E3993" s="485"/>
      <c r="F3993" s="485"/>
    </row>
    <row r="3994" spans="1:6">
      <c r="A3994" s="482"/>
      <c r="B3994" s="485"/>
      <c r="C3994" s="485"/>
      <c r="D3994" s="485"/>
      <c r="E3994" s="485"/>
      <c r="F3994" s="485"/>
    </row>
    <row r="3995" spans="1:6">
      <c r="A3995" s="482"/>
      <c r="B3995" s="485"/>
      <c r="C3995" s="485"/>
      <c r="D3995" s="485"/>
      <c r="E3995" s="485"/>
      <c r="F3995" s="485"/>
    </row>
    <row r="3996" spans="1:6">
      <c r="A3996" s="482"/>
      <c r="B3996" s="485"/>
      <c r="C3996" s="485"/>
      <c r="D3996" s="485"/>
      <c r="E3996" s="485"/>
      <c r="F3996" s="485"/>
    </row>
    <row r="3997" spans="1:6">
      <c r="A3997" s="482"/>
      <c r="B3997" s="485"/>
      <c r="C3997" s="485"/>
      <c r="D3997" s="485"/>
      <c r="E3997" s="485"/>
      <c r="F3997" s="485"/>
    </row>
    <row r="3998" spans="1:6">
      <c r="A3998" s="482"/>
      <c r="B3998" s="485"/>
      <c r="C3998" s="485"/>
      <c r="D3998" s="485"/>
      <c r="E3998" s="485"/>
      <c r="F3998" s="485"/>
    </row>
    <row r="3999" spans="1:6">
      <c r="A3999" s="482"/>
      <c r="B3999" s="485"/>
      <c r="C3999" s="485"/>
      <c r="D3999" s="485"/>
      <c r="E3999" s="485"/>
      <c r="F3999" s="485"/>
    </row>
    <row r="4000" spans="1:6">
      <c r="A4000" s="482"/>
      <c r="B4000" s="485"/>
      <c r="C4000" s="485"/>
      <c r="D4000" s="485"/>
      <c r="E4000" s="485"/>
      <c r="F4000" s="485"/>
    </row>
    <row r="4001" spans="1:6">
      <c r="A4001" s="482"/>
      <c r="B4001" s="485"/>
      <c r="C4001" s="485"/>
      <c r="D4001" s="485"/>
      <c r="E4001" s="485"/>
      <c r="F4001" s="485"/>
    </row>
    <row r="4002" spans="1:6">
      <c r="A4002" s="482"/>
      <c r="B4002" s="485"/>
      <c r="C4002" s="485"/>
      <c r="D4002" s="485"/>
      <c r="E4002" s="485"/>
      <c r="F4002" s="485"/>
    </row>
    <row r="4003" spans="1:6">
      <c r="A4003" s="482"/>
      <c r="B4003" s="485"/>
      <c r="C4003" s="485"/>
      <c r="D4003" s="485"/>
      <c r="E4003" s="485"/>
      <c r="F4003" s="485"/>
    </row>
    <row r="4004" spans="1:6">
      <c r="A4004" s="482"/>
      <c r="B4004" s="485"/>
      <c r="C4004" s="485"/>
      <c r="D4004" s="485"/>
      <c r="E4004" s="485"/>
      <c r="F4004" s="485"/>
    </row>
    <row r="4005" spans="1:6">
      <c r="A4005" s="482"/>
      <c r="B4005" s="485"/>
      <c r="C4005" s="485"/>
      <c r="D4005" s="485"/>
      <c r="E4005" s="485"/>
      <c r="F4005" s="485"/>
    </row>
    <row r="4006" spans="1:6">
      <c r="A4006" s="482"/>
      <c r="B4006" s="485"/>
      <c r="C4006" s="485"/>
      <c r="D4006" s="485"/>
      <c r="E4006" s="485"/>
      <c r="F4006" s="485"/>
    </row>
    <row r="4007" spans="1:6">
      <c r="A4007" s="482"/>
      <c r="B4007" s="485"/>
      <c r="C4007" s="485"/>
      <c r="D4007" s="485"/>
      <c r="E4007" s="485"/>
      <c r="F4007" s="485"/>
    </row>
    <row r="4008" spans="1:6">
      <c r="A4008" s="482"/>
      <c r="B4008" s="485"/>
      <c r="C4008" s="485"/>
      <c r="D4008" s="485"/>
      <c r="E4008" s="485"/>
      <c r="F4008" s="485"/>
    </row>
    <row r="4009" spans="1:6">
      <c r="A4009" s="482"/>
      <c r="B4009" s="485"/>
      <c r="C4009" s="485"/>
      <c r="D4009" s="485"/>
      <c r="E4009" s="485"/>
      <c r="F4009" s="485"/>
    </row>
    <row r="4010" spans="1:6">
      <c r="A4010" s="482"/>
      <c r="B4010" s="485"/>
      <c r="C4010" s="485"/>
      <c r="D4010" s="485"/>
      <c r="E4010" s="485"/>
      <c r="F4010" s="485"/>
    </row>
    <row r="4011" spans="1:6">
      <c r="A4011" s="482"/>
      <c r="B4011" s="485"/>
      <c r="C4011" s="485"/>
      <c r="D4011" s="485"/>
      <c r="E4011" s="485"/>
      <c r="F4011" s="485"/>
    </row>
    <row r="4012" spans="1:6">
      <c r="A4012" s="482"/>
      <c r="B4012" s="485"/>
      <c r="C4012" s="485"/>
      <c r="D4012" s="485"/>
      <c r="E4012" s="485"/>
      <c r="F4012" s="485"/>
    </row>
    <row r="4013" spans="1:6">
      <c r="A4013" s="482"/>
      <c r="B4013" s="485"/>
      <c r="C4013" s="485"/>
      <c r="D4013" s="485"/>
      <c r="E4013" s="485"/>
      <c r="F4013" s="485"/>
    </row>
    <row r="4014" spans="1:6">
      <c r="A4014" s="482"/>
      <c r="B4014" s="485"/>
      <c r="C4014" s="485"/>
      <c r="D4014" s="485"/>
      <c r="E4014" s="485"/>
      <c r="F4014" s="485"/>
    </row>
    <row r="4015" spans="1:6">
      <c r="A4015" s="482"/>
      <c r="B4015" s="485"/>
      <c r="C4015" s="485"/>
      <c r="D4015" s="485"/>
      <c r="E4015" s="485"/>
      <c r="F4015" s="485"/>
    </row>
    <row r="4016" spans="1:6">
      <c r="A4016" s="482"/>
      <c r="B4016" s="485"/>
      <c r="C4016" s="485"/>
      <c r="D4016" s="485"/>
      <c r="E4016" s="485"/>
      <c r="F4016" s="485"/>
    </row>
    <row r="4017" spans="1:6">
      <c r="A4017" s="482"/>
      <c r="B4017" s="485"/>
      <c r="C4017" s="485"/>
      <c r="D4017" s="485"/>
      <c r="E4017" s="485"/>
      <c r="F4017" s="485"/>
    </row>
    <row r="4018" spans="1:6">
      <c r="A4018" s="482"/>
      <c r="B4018" s="485"/>
      <c r="C4018" s="485"/>
      <c r="D4018" s="485"/>
      <c r="E4018" s="485"/>
      <c r="F4018" s="485"/>
    </row>
    <row r="4019" spans="1:6">
      <c r="A4019" s="482"/>
      <c r="B4019" s="485"/>
      <c r="C4019" s="485"/>
      <c r="D4019" s="485"/>
      <c r="E4019" s="485"/>
      <c r="F4019" s="485"/>
    </row>
    <row r="4020" spans="1:6">
      <c r="A4020" s="482"/>
      <c r="B4020" s="485"/>
      <c r="C4020" s="485"/>
      <c r="D4020" s="485"/>
      <c r="E4020" s="485"/>
      <c r="F4020" s="485"/>
    </row>
    <row r="4021" spans="1:6">
      <c r="A4021" s="482"/>
      <c r="B4021" s="485"/>
      <c r="C4021" s="485"/>
      <c r="D4021" s="485"/>
      <c r="E4021" s="485"/>
      <c r="F4021" s="485"/>
    </row>
    <row r="4022" spans="1:6">
      <c r="A4022" s="482"/>
      <c r="B4022" s="485"/>
      <c r="C4022" s="485"/>
      <c r="D4022" s="485"/>
      <c r="E4022" s="485"/>
      <c r="F4022" s="485"/>
    </row>
    <row r="4023" spans="1:6">
      <c r="A4023" s="482"/>
      <c r="B4023" s="485"/>
      <c r="C4023" s="485"/>
      <c r="D4023" s="485"/>
      <c r="E4023" s="485"/>
      <c r="F4023" s="485"/>
    </row>
    <row r="4024" spans="1:6">
      <c r="A4024" s="482"/>
      <c r="B4024" s="485"/>
      <c r="C4024" s="485"/>
      <c r="D4024" s="485"/>
      <c r="E4024" s="485"/>
      <c r="F4024" s="485"/>
    </row>
    <row r="4025" spans="1:6">
      <c r="A4025" s="482"/>
      <c r="B4025" s="485"/>
      <c r="C4025" s="485"/>
      <c r="D4025" s="485"/>
      <c r="E4025" s="485"/>
      <c r="F4025" s="485"/>
    </row>
    <row r="4026" spans="1:6">
      <c r="A4026" s="482"/>
      <c r="B4026" s="485"/>
      <c r="C4026" s="485"/>
      <c r="D4026" s="485"/>
      <c r="E4026" s="485"/>
      <c r="F4026" s="485"/>
    </row>
    <row r="4027" spans="1:6">
      <c r="A4027" s="482"/>
      <c r="B4027" s="485"/>
      <c r="C4027" s="485"/>
      <c r="D4027" s="485"/>
      <c r="E4027" s="485"/>
      <c r="F4027" s="485"/>
    </row>
    <row r="4028" spans="1:6">
      <c r="A4028" s="482"/>
      <c r="B4028" s="485"/>
      <c r="C4028" s="485"/>
      <c r="D4028" s="485"/>
      <c r="E4028" s="485"/>
      <c r="F4028" s="485"/>
    </row>
    <row r="4029" spans="1:6">
      <c r="A4029" s="482"/>
      <c r="B4029" s="485"/>
      <c r="C4029" s="485"/>
      <c r="D4029" s="485"/>
      <c r="E4029" s="485"/>
      <c r="F4029" s="485"/>
    </row>
    <row r="4030" spans="1:6">
      <c r="A4030" s="482"/>
      <c r="B4030" s="485"/>
      <c r="C4030" s="485"/>
      <c r="D4030" s="485"/>
      <c r="E4030" s="485"/>
      <c r="F4030" s="485"/>
    </row>
    <row r="4031" spans="1:6">
      <c r="A4031" s="482"/>
      <c r="B4031" s="485"/>
      <c r="C4031" s="485"/>
      <c r="D4031" s="485"/>
      <c r="E4031" s="485"/>
      <c r="F4031" s="485"/>
    </row>
    <row r="4032" spans="1:6">
      <c r="A4032" s="482"/>
      <c r="B4032" s="485"/>
      <c r="C4032" s="485"/>
      <c r="D4032" s="485"/>
      <c r="E4032" s="485"/>
      <c r="F4032" s="485"/>
    </row>
    <row r="4033" spans="1:6">
      <c r="A4033" s="482"/>
      <c r="B4033" s="485"/>
      <c r="C4033" s="485"/>
      <c r="D4033" s="485"/>
      <c r="E4033" s="485"/>
      <c r="F4033" s="485"/>
    </row>
    <row r="4034" spans="1:6">
      <c r="A4034" s="482"/>
      <c r="B4034" s="485"/>
      <c r="C4034" s="485"/>
      <c r="D4034" s="485"/>
      <c r="E4034" s="485"/>
      <c r="F4034" s="485"/>
    </row>
    <row r="4035" spans="1:6">
      <c r="A4035" s="482"/>
      <c r="B4035" s="485"/>
      <c r="C4035" s="485"/>
      <c r="D4035" s="485"/>
      <c r="E4035" s="485"/>
      <c r="F4035" s="485"/>
    </row>
    <row r="4036" spans="1:6">
      <c r="A4036" s="482"/>
      <c r="B4036" s="485"/>
      <c r="C4036" s="485"/>
      <c r="D4036" s="485"/>
      <c r="E4036" s="485"/>
      <c r="F4036" s="485"/>
    </row>
    <row r="4037" spans="1:6">
      <c r="A4037" s="482"/>
      <c r="B4037" s="485"/>
      <c r="C4037" s="485"/>
      <c r="D4037" s="485"/>
      <c r="E4037" s="485"/>
      <c r="F4037" s="485"/>
    </row>
    <row r="4038" spans="1:6">
      <c r="A4038" s="482"/>
      <c r="B4038" s="485"/>
      <c r="C4038" s="485"/>
      <c r="D4038" s="485"/>
      <c r="E4038" s="485"/>
      <c r="F4038" s="485"/>
    </row>
    <row r="4039" spans="1:6">
      <c r="A4039" s="482"/>
      <c r="B4039" s="483"/>
      <c r="C4039" s="483"/>
      <c r="D4039" s="193"/>
      <c r="E4039" s="483"/>
      <c r="F4039" s="483"/>
    </row>
    <row r="4040" spans="1:6">
      <c r="A4040" s="482"/>
      <c r="B4040" s="193"/>
      <c r="C4040" s="193"/>
      <c r="D4040" s="193"/>
      <c r="E4040" s="193"/>
      <c r="F4040" s="193"/>
    </row>
    <row r="4041" spans="1:6">
      <c r="A4041" s="482"/>
      <c r="B4041" s="193"/>
      <c r="C4041" s="193"/>
      <c r="D4041" s="193"/>
      <c r="E4041" s="193"/>
      <c r="F4041" s="193"/>
    </row>
    <row r="4042" spans="1:6">
      <c r="A4042" s="482"/>
      <c r="B4042" s="193"/>
      <c r="C4042" s="193"/>
      <c r="D4042" s="193"/>
      <c r="E4042" s="193"/>
      <c r="F4042" s="193"/>
    </row>
    <row r="4043" spans="1:6">
      <c r="A4043" s="482"/>
      <c r="B4043" s="193"/>
      <c r="C4043" s="193"/>
      <c r="D4043" s="193"/>
      <c r="E4043" s="193"/>
      <c r="F4043" s="193"/>
    </row>
    <row r="4044" spans="1:6">
      <c r="A4044" s="482"/>
      <c r="B4044" s="193"/>
      <c r="C4044" s="193"/>
      <c r="D4044" s="193"/>
      <c r="E4044" s="193"/>
      <c r="F4044" s="193"/>
    </row>
    <row r="4045" spans="1:6">
      <c r="A4045" s="482"/>
      <c r="B4045" s="193"/>
      <c r="C4045" s="193"/>
      <c r="D4045" s="193"/>
      <c r="E4045" s="193"/>
      <c r="F4045" s="193"/>
    </row>
    <row r="4046" spans="1:6">
      <c r="A4046" s="482"/>
      <c r="B4046" s="193"/>
      <c r="C4046" s="193"/>
      <c r="D4046" s="193"/>
      <c r="E4046" s="193"/>
      <c r="F4046" s="193"/>
    </row>
    <row r="4047" spans="1:6">
      <c r="A4047" s="482"/>
      <c r="B4047" s="193"/>
      <c r="C4047" s="193"/>
      <c r="D4047" s="193"/>
      <c r="E4047" s="193"/>
      <c r="F4047" s="193"/>
    </row>
    <row r="4048" spans="1:6">
      <c r="A4048" s="482"/>
      <c r="B4048" s="193"/>
      <c r="C4048" s="193"/>
      <c r="D4048" s="193"/>
      <c r="E4048" s="193"/>
      <c r="F4048" s="193"/>
    </row>
    <row r="4049" spans="1:6">
      <c r="A4049" s="482"/>
      <c r="B4049" s="193"/>
      <c r="C4049" s="193"/>
      <c r="D4049" s="193"/>
      <c r="E4049" s="193"/>
      <c r="F4049" s="193"/>
    </row>
    <row r="4050" spans="1:6">
      <c r="A4050" s="482"/>
      <c r="B4050" s="193"/>
      <c r="C4050" s="193"/>
      <c r="D4050" s="193"/>
      <c r="E4050" s="193"/>
      <c r="F4050" s="193"/>
    </row>
    <row r="4051" spans="1:6">
      <c r="A4051" s="482"/>
      <c r="B4051" s="193"/>
      <c r="C4051" s="193"/>
      <c r="D4051" s="193"/>
      <c r="E4051" s="193"/>
      <c r="F4051" s="193"/>
    </row>
    <row r="4052" spans="1:6">
      <c r="A4052" s="482"/>
      <c r="B4052" s="193"/>
      <c r="C4052" s="193"/>
      <c r="D4052" s="193"/>
      <c r="E4052" s="193"/>
      <c r="F4052" s="193"/>
    </row>
    <row r="4053" spans="1:6">
      <c r="A4053" s="482"/>
      <c r="B4053" s="193"/>
      <c r="C4053" s="193"/>
      <c r="D4053" s="193"/>
      <c r="E4053" s="193"/>
      <c r="F4053" s="193"/>
    </row>
    <row r="4054" spans="1:6">
      <c r="A4054" s="482"/>
      <c r="B4054" s="193"/>
      <c r="C4054" s="193"/>
      <c r="D4054" s="193"/>
      <c r="E4054" s="193"/>
      <c r="F4054" s="193"/>
    </row>
    <row r="4055" spans="1:6">
      <c r="A4055" s="482"/>
      <c r="B4055" s="193"/>
      <c r="C4055" s="193"/>
      <c r="D4055" s="193"/>
      <c r="E4055" s="193"/>
      <c r="F4055" s="193"/>
    </row>
    <row r="4056" spans="1:6">
      <c r="A4056" s="482"/>
      <c r="B4056" s="193"/>
      <c r="C4056" s="193"/>
      <c r="D4056" s="193"/>
      <c r="E4056" s="193"/>
      <c r="F4056" s="193"/>
    </row>
    <row r="4057" spans="1:6">
      <c r="A4057" s="482"/>
      <c r="B4057" s="193"/>
      <c r="C4057" s="193"/>
      <c r="D4057" s="193"/>
      <c r="E4057" s="193"/>
      <c r="F4057" s="193"/>
    </row>
    <row r="4058" spans="1:6">
      <c r="A4058" s="482"/>
      <c r="B4058" s="193"/>
      <c r="C4058" s="193"/>
      <c r="D4058" s="193"/>
      <c r="E4058" s="193"/>
      <c r="F4058" s="193"/>
    </row>
    <row r="4059" spans="1:6">
      <c r="A4059" s="482"/>
      <c r="B4059" s="193"/>
      <c r="C4059" s="193"/>
      <c r="D4059" s="193"/>
      <c r="E4059" s="193"/>
      <c r="F4059" s="193"/>
    </row>
    <row r="4060" spans="1:6">
      <c r="A4060" s="482"/>
      <c r="B4060" s="193"/>
      <c r="C4060" s="193"/>
      <c r="D4060" s="193"/>
      <c r="E4060" s="193"/>
      <c r="F4060" s="193"/>
    </row>
    <row r="4061" spans="1:6">
      <c r="A4061" s="482"/>
      <c r="B4061" s="193"/>
      <c r="C4061" s="193"/>
      <c r="D4061" s="193"/>
      <c r="E4061" s="193"/>
      <c r="F4061" s="193"/>
    </row>
    <row r="4062" spans="1:6">
      <c r="A4062" s="482"/>
      <c r="B4062" s="193"/>
      <c r="C4062" s="193"/>
      <c r="D4062" s="193"/>
      <c r="E4062" s="193"/>
      <c r="F4062" s="193"/>
    </row>
    <row r="4063" spans="1:6">
      <c r="A4063" s="482"/>
      <c r="B4063" s="193"/>
      <c r="C4063" s="193"/>
      <c r="D4063" s="193"/>
      <c r="E4063" s="193"/>
      <c r="F4063" s="193"/>
    </row>
    <row r="4064" spans="1:6">
      <c r="A4064" s="482"/>
      <c r="B4064" s="193"/>
      <c r="C4064" s="193"/>
      <c r="D4064" s="193"/>
      <c r="E4064" s="193"/>
      <c r="F4064" s="193"/>
    </row>
    <row r="4065" spans="1:6">
      <c r="A4065" s="482"/>
      <c r="B4065" s="193"/>
      <c r="C4065" s="193"/>
      <c r="D4065" s="193"/>
      <c r="E4065" s="193"/>
      <c r="F4065" s="193"/>
    </row>
    <row r="4066" spans="1:6">
      <c r="A4066" s="482"/>
      <c r="B4066" s="193"/>
      <c r="C4066" s="193"/>
      <c r="D4066" s="193"/>
      <c r="E4066" s="193"/>
      <c r="F4066" s="193"/>
    </row>
    <row r="4067" spans="1:6">
      <c r="A4067" s="482"/>
      <c r="B4067" s="193"/>
      <c r="C4067" s="193"/>
      <c r="D4067" s="193"/>
      <c r="E4067" s="193"/>
      <c r="F4067" s="193"/>
    </row>
    <row r="4068" spans="1:6">
      <c r="A4068" s="482"/>
      <c r="B4068" s="193"/>
      <c r="C4068" s="193"/>
      <c r="D4068" s="193"/>
      <c r="E4068" s="193"/>
      <c r="F4068" s="193"/>
    </row>
    <row r="4069" spans="1:6">
      <c r="A4069" s="482"/>
      <c r="B4069" s="193"/>
      <c r="C4069" s="193"/>
      <c r="D4069" s="193"/>
      <c r="E4069" s="193"/>
      <c r="F4069" s="193"/>
    </row>
    <row r="4070" spans="1:6">
      <c r="A4070" s="482"/>
      <c r="B4070" s="193"/>
      <c r="C4070" s="193"/>
      <c r="D4070" s="193"/>
      <c r="E4070" s="193"/>
      <c r="F4070" s="193"/>
    </row>
    <row r="4071" spans="1:6">
      <c r="A4071" s="482"/>
      <c r="B4071" s="193"/>
      <c r="C4071" s="193"/>
      <c r="D4071" s="193"/>
      <c r="E4071" s="193"/>
      <c r="F4071" s="193"/>
    </row>
    <row r="4072" spans="1:6">
      <c r="A4072" s="482"/>
      <c r="B4072" s="193"/>
      <c r="C4072" s="193"/>
      <c r="D4072" s="193"/>
      <c r="E4072" s="193"/>
      <c r="F4072" s="193"/>
    </row>
    <row r="4073" spans="1:6">
      <c r="A4073" s="482"/>
      <c r="B4073" s="193"/>
      <c r="C4073" s="193"/>
      <c r="D4073" s="193"/>
      <c r="E4073" s="193"/>
      <c r="F4073" s="193"/>
    </row>
    <row r="4074" spans="1:6">
      <c r="A4074" s="482"/>
      <c r="B4074" s="193"/>
      <c r="C4074" s="193"/>
      <c r="D4074" s="193"/>
      <c r="E4074" s="193"/>
      <c r="F4074" s="193"/>
    </row>
    <row r="4075" spans="1:6">
      <c r="A4075" s="482"/>
      <c r="B4075" s="193"/>
      <c r="C4075" s="193"/>
      <c r="D4075" s="193"/>
      <c r="E4075" s="193"/>
      <c r="F4075" s="193"/>
    </row>
    <row r="4076" spans="1:6">
      <c r="A4076" s="482"/>
      <c r="B4076" s="193"/>
      <c r="C4076" s="193"/>
      <c r="D4076" s="193"/>
      <c r="E4076" s="193"/>
      <c r="F4076" s="193"/>
    </row>
    <row r="4077" spans="1:6">
      <c r="A4077" s="482"/>
      <c r="B4077" s="193"/>
      <c r="C4077" s="193"/>
      <c r="D4077" s="193"/>
      <c r="E4077" s="193"/>
      <c r="F4077" s="193"/>
    </row>
    <row r="4078" spans="1:6">
      <c r="A4078" s="482"/>
      <c r="B4078" s="193"/>
      <c r="C4078" s="193"/>
      <c r="D4078" s="193"/>
      <c r="E4078" s="193"/>
      <c r="F4078" s="193"/>
    </row>
    <row r="4079" spans="1:6">
      <c r="A4079" s="482"/>
      <c r="B4079" s="193"/>
      <c r="C4079" s="193"/>
      <c r="D4079" s="193"/>
      <c r="E4079" s="193"/>
      <c r="F4079" s="193"/>
    </row>
    <row r="4080" spans="1:6">
      <c r="A4080" s="482"/>
      <c r="B4080" s="193"/>
      <c r="C4080" s="193"/>
      <c r="D4080" s="193"/>
      <c r="E4080" s="193"/>
      <c r="F4080" s="193"/>
    </row>
    <row r="4081" spans="1:6">
      <c r="A4081" s="482"/>
      <c r="B4081" s="193"/>
      <c r="C4081" s="193"/>
      <c r="D4081" s="193"/>
      <c r="E4081" s="193"/>
      <c r="F4081" s="193"/>
    </row>
    <row r="4082" spans="1:6">
      <c r="A4082" s="482"/>
      <c r="B4082" s="193"/>
      <c r="C4082" s="193"/>
      <c r="D4082" s="193"/>
      <c r="E4082" s="193"/>
      <c r="F4082" s="193"/>
    </row>
    <row r="4083" spans="1:6">
      <c r="A4083" s="482"/>
      <c r="B4083" s="193"/>
      <c r="C4083" s="193"/>
      <c r="D4083" s="193"/>
      <c r="E4083" s="193"/>
      <c r="F4083" s="193"/>
    </row>
    <row r="4084" spans="1:6">
      <c r="A4084" s="482"/>
      <c r="B4084" s="193"/>
      <c r="C4084" s="193"/>
      <c r="D4084" s="193"/>
      <c r="E4084" s="193"/>
      <c r="F4084" s="193"/>
    </row>
    <row r="4085" spans="1:6">
      <c r="A4085" s="482"/>
      <c r="B4085" s="193"/>
      <c r="C4085" s="193"/>
      <c r="D4085" s="193"/>
      <c r="E4085" s="193"/>
      <c r="F4085" s="193"/>
    </row>
    <row r="4086" spans="1:6">
      <c r="A4086" s="482"/>
      <c r="B4086" s="193"/>
      <c r="C4086" s="193"/>
      <c r="D4086" s="193"/>
      <c r="E4086" s="193"/>
      <c r="F4086" s="193"/>
    </row>
    <row r="4087" spans="1:6">
      <c r="A4087" s="482"/>
      <c r="B4087" s="193"/>
      <c r="C4087" s="193"/>
      <c r="D4087" s="193"/>
      <c r="E4087" s="193"/>
      <c r="F4087" s="193"/>
    </row>
    <row r="4088" spans="1:6">
      <c r="A4088" s="482"/>
      <c r="B4088" s="193"/>
      <c r="C4088" s="193"/>
      <c r="D4088" s="193"/>
      <c r="E4088" s="193"/>
      <c r="F4088" s="193"/>
    </row>
    <row r="4089" spans="1:6">
      <c r="A4089" s="482"/>
      <c r="B4089" s="193"/>
      <c r="C4089" s="193"/>
      <c r="D4089" s="193"/>
      <c r="E4089" s="193"/>
      <c r="F4089" s="193"/>
    </row>
    <row r="4090" spans="1:6">
      <c r="A4090" s="482"/>
      <c r="B4090" s="193"/>
      <c r="C4090" s="193"/>
      <c r="D4090" s="193"/>
      <c r="E4090" s="193"/>
      <c r="F4090" s="193"/>
    </row>
    <row r="4091" spans="1:6">
      <c r="A4091" s="482"/>
      <c r="B4091" s="193"/>
      <c r="C4091" s="193"/>
      <c r="D4091" s="193"/>
      <c r="E4091" s="193"/>
      <c r="F4091" s="193"/>
    </row>
    <row r="4092" spans="1:6">
      <c r="A4092" s="482"/>
      <c r="B4092" s="193"/>
      <c r="C4092" s="193"/>
      <c r="D4092" s="193"/>
      <c r="E4092" s="193"/>
      <c r="F4092" s="193"/>
    </row>
    <row r="4093" spans="1:6">
      <c r="A4093" s="482"/>
      <c r="B4093" s="193"/>
      <c r="C4093" s="193"/>
      <c r="D4093" s="193"/>
      <c r="E4093" s="193"/>
      <c r="F4093" s="193"/>
    </row>
    <row r="4094" spans="1:6">
      <c r="A4094" s="482"/>
      <c r="B4094" s="193"/>
      <c r="C4094" s="193"/>
      <c r="D4094" s="193"/>
      <c r="E4094" s="193"/>
      <c r="F4094" s="193"/>
    </row>
    <row r="4095" spans="1:6">
      <c r="A4095" s="482"/>
      <c r="B4095" s="193"/>
      <c r="C4095" s="193"/>
      <c r="D4095" s="193"/>
      <c r="E4095" s="193"/>
      <c r="F4095" s="193"/>
    </row>
    <row r="4096" spans="1:6">
      <c r="A4096" s="482"/>
      <c r="B4096" s="193"/>
      <c r="C4096" s="193"/>
      <c r="D4096" s="193"/>
      <c r="E4096" s="193"/>
      <c r="F4096" s="193"/>
    </row>
    <row r="4097" spans="1:6">
      <c r="A4097" s="482"/>
      <c r="B4097" s="193"/>
      <c r="C4097" s="193"/>
      <c r="D4097" s="193"/>
      <c r="E4097" s="193"/>
      <c r="F4097" s="193"/>
    </row>
    <row r="4098" spans="1:6">
      <c r="A4098" s="482"/>
      <c r="B4098" s="193"/>
      <c r="C4098" s="193"/>
      <c r="D4098" s="193"/>
      <c r="E4098" s="193"/>
      <c r="F4098" s="193"/>
    </row>
    <row r="4099" spans="1:6">
      <c r="A4099" s="482"/>
      <c r="B4099" s="193"/>
      <c r="C4099" s="193"/>
      <c r="D4099" s="193"/>
      <c r="E4099" s="193"/>
      <c r="F4099" s="193"/>
    </row>
    <row r="4100" spans="1:6">
      <c r="A4100" s="482"/>
      <c r="B4100" s="193"/>
      <c r="C4100" s="193"/>
      <c r="D4100" s="193"/>
      <c r="E4100" s="193"/>
      <c r="F4100" s="193"/>
    </row>
    <row r="4101" spans="1:6">
      <c r="A4101" s="482"/>
      <c r="B4101" s="193"/>
      <c r="C4101" s="193"/>
      <c r="D4101" s="193"/>
      <c r="E4101" s="193"/>
      <c r="F4101" s="193"/>
    </row>
    <row r="4102" spans="1:6">
      <c r="A4102" s="482"/>
      <c r="B4102" s="193"/>
      <c r="C4102" s="193"/>
      <c r="D4102" s="193"/>
      <c r="E4102" s="193"/>
      <c r="F4102" s="193"/>
    </row>
    <row r="4103" spans="1:6">
      <c r="A4103" s="482"/>
      <c r="B4103" s="193"/>
      <c r="C4103" s="193"/>
      <c r="D4103" s="193"/>
      <c r="E4103" s="193"/>
      <c r="F4103" s="193"/>
    </row>
    <row r="4104" spans="1:6">
      <c r="A4104" s="482"/>
      <c r="B4104" s="193"/>
      <c r="C4104" s="193"/>
      <c r="D4104" s="193"/>
      <c r="E4104" s="193"/>
      <c r="F4104" s="193"/>
    </row>
    <row r="4105" spans="1:6">
      <c r="A4105" s="482"/>
      <c r="B4105" s="193"/>
      <c r="C4105" s="193"/>
      <c r="D4105" s="193"/>
      <c r="E4105" s="193"/>
      <c r="F4105" s="193"/>
    </row>
    <row r="4106" spans="1:6">
      <c r="A4106" s="482"/>
      <c r="B4106" s="193"/>
      <c r="C4106" s="193"/>
      <c r="D4106" s="193"/>
      <c r="E4106" s="193"/>
      <c r="F4106" s="193"/>
    </row>
    <row r="4107" spans="1:6">
      <c r="A4107" s="482"/>
      <c r="B4107" s="193"/>
      <c r="C4107" s="193"/>
      <c r="D4107" s="193"/>
      <c r="E4107" s="193"/>
      <c r="F4107" s="193"/>
    </row>
    <row r="4108" spans="1:6">
      <c r="A4108" s="482"/>
      <c r="B4108" s="193"/>
      <c r="C4108" s="193"/>
      <c r="D4108" s="193"/>
      <c r="E4108" s="193"/>
      <c r="F4108" s="193"/>
    </row>
    <row r="4109" spans="1:6">
      <c r="A4109" s="482"/>
      <c r="B4109" s="193"/>
      <c r="C4109" s="193"/>
      <c r="D4109" s="193"/>
      <c r="E4109" s="193"/>
      <c r="F4109" s="193"/>
    </row>
    <row r="4110" spans="1:6">
      <c r="A4110" s="482"/>
      <c r="B4110" s="193"/>
      <c r="C4110" s="193"/>
      <c r="D4110" s="193"/>
      <c r="E4110" s="193"/>
      <c r="F4110" s="193"/>
    </row>
    <row r="4111" spans="1:6">
      <c r="A4111" s="482"/>
      <c r="B4111" s="193"/>
      <c r="C4111" s="193"/>
      <c r="D4111" s="193"/>
      <c r="E4111" s="193"/>
      <c r="F4111" s="193"/>
    </row>
    <row r="4112" spans="1:6">
      <c r="A4112" s="482"/>
      <c r="B4112" s="193"/>
      <c r="C4112" s="193"/>
      <c r="D4112" s="193"/>
      <c r="E4112" s="193"/>
      <c r="F4112" s="193"/>
    </row>
    <row r="4113" spans="1:6">
      <c r="A4113" s="482"/>
      <c r="B4113" s="193"/>
      <c r="C4113" s="193"/>
      <c r="D4113" s="193"/>
      <c r="E4113" s="193"/>
      <c r="F4113" s="193"/>
    </row>
    <row r="4114" spans="1:6">
      <c r="A4114" s="482"/>
      <c r="B4114" s="193"/>
      <c r="C4114" s="193"/>
      <c r="D4114" s="193"/>
      <c r="E4114" s="193"/>
      <c r="F4114" s="193"/>
    </row>
    <row r="4115" spans="1:6">
      <c r="A4115" s="482"/>
      <c r="B4115" s="193"/>
      <c r="C4115" s="193"/>
      <c r="D4115" s="193"/>
      <c r="E4115" s="193"/>
      <c r="F4115" s="193"/>
    </row>
    <row r="4116" spans="1:6">
      <c r="A4116" s="482"/>
      <c r="B4116" s="193"/>
      <c r="C4116" s="193"/>
      <c r="D4116" s="193"/>
      <c r="E4116" s="193"/>
      <c r="F4116" s="193"/>
    </row>
    <row r="4117" spans="1:6">
      <c r="A4117" s="482"/>
      <c r="B4117" s="193"/>
      <c r="C4117" s="193"/>
      <c r="D4117" s="193"/>
      <c r="E4117" s="193"/>
      <c r="F4117" s="193"/>
    </row>
    <row r="4118" spans="1:6">
      <c r="A4118" s="482"/>
      <c r="B4118" s="193"/>
      <c r="C4118" s="193"/>
      <c r="D4118" s="193"/>
      <c r="E4118" s="193"/>
      <c r="F4118" s="193"/>
    </row>
    <row r="4119" spans="1:6">
      <c r="A4119" s="482"/>
      <c r="B4119" s="193"/>
      <c r="C4119" s="193"/>
      <c r="D4119" s="193"/>
      <c r="E4119" s="193"/>
      <c r="F4119" s="193"/>
    </row>
    <row r="4120" spans="1:6">
      <c r="A4120" s="482"/>
      <c r="B4120" s="193"/>
      <c r="C4120" s="193"/>
      <c r="D4120" s="193"/>
      <c r="E4120" s="193"/>
      <c r="F4120" s="193"/>
    </row>
    <row r="4121" spans="1:6">
      <c r="A4121" s="482"/>
      <c r="B4121" s="193"/>
      <c r="C4121" s="193"/>
      <c r="D4121" s="193"/>
      <c r="E4121" s="193"/>
      <c r="F4121" s="193"/>
    </row>
    <row r="4122" spans="1:6">
      <c r="A4122" s="482"/>
      <c r="B4122" s="193"/>
      <c r="C4122" s="193"/>
      <c r="D4122" s="193"/>
      <c r="E4122" s="193"/>
      <c r="F4122" s="193"/>
    </row>
    <row r="4123" spans="1:6">
      <c r="A4123" s="482"/>
      <c r="B4123" s="193"/>
      <c r="C4123" s="193"/>
      <c r="D4123" s="193"/>
      <c r="E4123" s="193"/>
      <c r="F4123" s="193"/>
    </row>
    <row r="4124" spans="1:6">
      <c r="A4124" s="482"/>
      <c r="B4124" s="193"/>
      <c r="C4124" s="193"/>
      <c r="D4124" s="193"/>
      <c r="E4124" s="193"/>
      <c r="F4124" s="193"/>
    </row>
    <row r="4125" spans="1:6">
      <c r="A4125" s="482"/>
      <c r="B4125" s="193"/>
      <c r="C4125" s="193"/>
      <c r="D4125" s="193"/>
      <c r="E4125" s="193"/>
      <c r="F4125" s="193"/>
    </row>
    <row r="4126" spans="1:6">
      <c r="A4126" s="482"/>
      <c r="B4126" s="193"/>
      <c r="C4126" s="193"/>
      <c r="D4126" s="193"/>
      <c r="E4126" s="193"/>
      <c r="F4126" s="193"/>
    </row>
    <row r="4127" spans="1:6">
      <c r="A4127" s="482"/>
      <c r="B4127" s="193"/>
      <c r="C4127" s="193"/>
      <c r="D4127" s="193"/>
      <c r="E4127" s="193"/>
      <c r="F4127" s="193"/>
    </row>
    <row r="4128" spans="1:6">
      <c r="A4128" s="482"/>
      <c r="B4128" s="193"/>
      <c r="C4128" s="193"/>
      <c r="D4128" s="193"/>
      <c r="E4128" s="193"/>
      <c r="F4128" s="193"/>
    </row>
    <row r="4129" spans="1:6">
      <c r="A4129" s="482"/>
      <c r="B4129" s="193"/>
      <c r="C4129" s="193"/>
      <c r="D4129" s="193"/>
      <c r="E4129" s="193"/>
      <c r="F4129" s="193"/>
    </row>
    <row r="4130" spans="1:6">
      <c r="A4130" s="482"/>
      <c r="B4130" s="193"/>
      <c r="C4130" s="193"/>
      <c r="D4130" s="193"/>
      <c r="E4130" s="193"/>
      <c r="F4130" s="193"/>
    </row>
    <row r="4131" spans="1:6">
      <c r="A4131" s="482"/>
      <c r="B4131" s="193"/>
      <c r="C4131" s="193"/>
      <c r="D4131" s="193"/>
      <c r="E4131" s="193"/>
      <c r="F4131" s="193"/>
    </row>
    <row r="4132" spans="1:6">
      <c r="A4132" s="482"/>
      <c r="B4132" s="193"/>
      <c r="C4132" s="193"/>
      <c r="D4132" s="193"/>
      <c r="E4132" s="193"/>
      <c r="F4132" s="193"/>
    </row>
    <row r="4133" spans="1:6">
      <c r="A4133" s="482"/>
      <c r="B4133" s="193"/>
      <c r="C4133" s="193"/>
      <c r="D4133" s="193"/>
      <c r="E4133" s="193"/>
      <c r="F4133" s="193"/>
    </row>
    <row r="4134" spans="1:6">
      <c r="A4134" s="482"/>
      <c r="B4134" s="193"/>
      <c r="C4134" s="193"/>
      <c r="D4134" s="193"/>
      <c r="E4134" s="193"/>
      <c r="F4134" s="193"/>
    </row>
    <row r="4135" spans="1:6">
      <c r="A4135" s="482"/>
      <c r="B4135" s="193"/>
      <c r="C4135" s="193"/>
      <c r="D4135" s="193"/>
      <c r="E4135" s="193"/>
      <c r="F4135" s="193"/>
    </row>
    <row r="4136" spans="1:6">
      <c r="A4136" s="482"/>
      <c r="B4136" s="193"/>
      <c r="C4136" s="193"/>
      <c r="D4136" s="193"/>
      <c r="E4136" s="193"/>
      <c r="F4136" s="193"/>
    </row>
    <row r="4137" spans="1:6">
      <c r="A4137" s="482"/>
      <c r="B4137" s="193"/>
      <c r="C4137" s="193"/>
      <c r="D4137" s="193"/>
      <c r="E4137" s="193"/>
      <c r="F4137" s="193"/>
    </row>
    <row r="4138" spans="1:6">
      <c r="A4138" s="482"/>
      <c r="B4138" s="193"/>
      <c r="C4138" s="193"/>
      <c r="D4138" s="193"/>
      <c r="E4138" s="193"/>
      <c r="F4138" s="193"/>
    </row>
    <row r="4139" spans="1:6">
      <c r="A4139" s="482"/>
      <c r="B4139" s="193"/>
      <c r="C4139" s="193"/>
      <c r="D4139" s="193"/>
      <c r="E4139" s="193"/>
      <c r="F4139" s="193"/>
    </row>
    <row r="4140" spans="1:6">
      <c r="A4140" s="482"/>
      <c r="B4140" s="193"/>
      <c r="C4140" s="193"/>
      <c r="D4140" s="193"/>
      <c r="E4140" s="193"/>
      <c r="F4140" s="193"/>
    </row>
    <row r="4141" spans="1:6">
      <c r="A4141" s="482"/>
      <c r="B4141" s="193"/>
      <c r="C4141" s="193"/>
      <c r="D4141" s="193"/>
      <c r="E4141" s="193"/>
      <c r="F4141" s="193"/>
    </row>
    <row r="4142" spans="1:6">
      <c r="A4142" s="482"/>
      <c r="B4142" s="193"/>
      <c r="C4142" s="193"/>
      <c r="D4142" s="193"/>
      <c r="E4142" s="193"/>
      <c r="F4142" s="193"/>
    </row>
    <row r="4143" spans="1:6">
      <c r="A4143" s="482"/>
      <c r="B4143" s="193"/>
      <c r="C4143" s="193"/>
      <c r="D4143" s="193"/>
      <c r="E4143" s="193"/>
      <c r="F4143" s="193"/>
    </row>
    <row r="4144" spans="1:6">
      <c r="A4144" s="482"/>
      <c r="B4144" s="193"/>
      <c r="C4144" s="193"/>
      <c r="D4144" s="193"/>
      <c r="E4144" s="193"/>
      <c r="F4144" s="193"/>
    </row>
    <row r="4145" spans="1:6">
      <c r="A4145" s="482"/>
      <c r="B4145" s="193"/>
      <c r="C4145" s="193"/>
      <c r="D4145" s="193"/>
      <c r="E4145" s="193"/>
      <c r="F4145" s="193"/>
    </row>
    <row r="4146" spans="1:6">
      <c r="A4146" s="482"/>
      <c r="B4146" s="193"/>
      <c r="C4146" s="193"/>
      <c r="D4146" s="193"/>
      <c r="E4146" s="193"/>
      <c r="F4146" s="193"/>
    </row>
    <row r="4147" spans="1:6">
      <c r="A4147" s="482"/>
      <c r="B4147" s="193"/>
      <c r="C4147" s="193"/>
      <c r="D4147" s="193"/>
      <c r="E4147" s="193"/>
      <c r="F4147" s="193"/>
    </row>
    <row r="4148" spans="1:6">
      <c r="A4148" s="482"/>
      <c r="B4148" s="193"/>
      <c r="C4148" s="193"/>
      <c r="D4148" s="193"/>
      <c r="E4148" s="193"/>
      <c r="F4148" s="193"/>
    </row>
    <row r="4149" spans="1:6">
      <c r="A4149" s="482"/>
      <c r="B4149" s="193"/>
      <c r="C4149" s="193"/>
      <c r="D4149" s="193"/>
      <c r="E4149" s="193"/>
      <c r="F4149" s="193"/>
    </row>
    <row r="4150" spans="1:6">
      <c r="A4150" s="482"/>
      <c r="B4150" s="193"/>
      <c r="C4150" s="193"/>
      <c r="D4150" s="193"/>
      <c r="E4150" s="193"/>
      <c r="F4150" s="193"/>
    </row>
    <row r="4151" spans="1:6">
      <c r="A4151" s="482"/>
      <c r="B4151" s="193"/>
      <c r="C4151" s="193"/>
      <c r="D4151" s="193"/>
      <c r="E4151" s="193"/>
      <c r="F4151" s="193"/>
    </row>
    <row r="4152" spans="1:6">
      <c r="A4152" s="482"/>
      <c r="B4152" s="193"/>
      <c r="C4152" s="193"/>
      <c r="D4152" s="193"/>
      <c r="E4152" s="193"/>
      <c r="F4152" s="193"/>
    </row>
    <row r="4153" spans="1:6">
      <c r="A4153" s="482"/>
      <c r="B4153" s="193"/>
      <c r="C4153" s="193"/>
      <c r="D4153" s="193"/>
      <c r="E4153" s="193"/>
      <c r="F4153" s="193"/>
    </row>
    <row r="4154" spans="1:6">
      <c r="A4154" s="482"/>
      <c r="B4154" s="193"/>
      <c r="C4154" s="193"/>
      <c r="D4154" s="193"/>
      <c r="E4154" s="193"/>
      <c r="F4154" s="193"/>
    </row>
    <row r="4155" spans="1:6">
      <c r="A4155" s="482"/>
      <c r="B4155" s="193"/>
      <c r="C4155" s="193"/>
      <c r="D4155" s="193"/>
      <c r="E4155" s="193"/>
      <c r="F4155" s="193"/>
    </row>
    <row r="4156" spans="1:6">
      <c r="A4156" s="482"/>
      <c r="B4156" s="193"/>
      <c r="C4156" s="193"/>
      <c r="D4156" s="193"/>
      <c r="E4156" s="193"/>
      <c r="F4156" s="193"/>
    </row>
    <row r="4157" spans="1:6">
      <c r="A4157" s="482"/>
      <c r="B4157" s="193"/>
      <c r="C4157" s="193"/>
      <c r="D4157" s="193"/>
      <c r="E4157" s="193"/>
      <c r="F4157" s="193"/>
    </row>
    <row r="4158" spans="1:6">
      <c r="A4158" s="482"/>
      <c r="B4158" s="193"/>
      <c r="C4158" s="193"/>
      <c r="D4158" s="193"/>
      <c r="E4158" s="193"/>
      <c r="F4158" s="193"/>
    </row>
    <row r="4159" spans="1:6">
      <c r="A4159" s="482"/>
      <c r="B4159" s="193"/>
      <c r="C4159" s="193"/>
      <c r="D4159" s="193"/>
      <c r="E4159" s="193"/>
      <c r="F4159" s="193"/>
    </row>
    <row r="4160" spans="1:6">
      <c r="A4160" s="482"/>
      <c r="B4160" s="193"/>
      <c r="C4160" s="193"/>
      <c r="D4160" s="193"/>
      <c r="E4160" s="193"/>
      <c r="F4160" s="193"/>
    </row>
    <row r="4161" spans="1:6">
      <c r="A4161" s="482"/>
      <c r="B4161" s="193"/>
      <c r="C4161" s="193"/>
      <c r="D4161" s="193"/>
      <c r="E4161" s="193"/>
      <c r="F4161" s="193"/>
    </row>
    <row r="4162" spans="1:6">
      <c r="A4162" s="482"/>
      <c r="B4162" s="193"/>
      <c r="C4162" s="193"/>
      <c r="D4162" s="193"/>
      <c r="E4162" s="193"/>
      <c r="F4162" s="193"/>
    </row>
    <row r="4163" spans="1:6">
      <c r="A4163" s="482"/>
      <c r="B4163" s="193"/>
      <c r="C4163" s="193"/>
      <c r="D4163" s="193"/>
      <c r="E4163" s="193"/>
      <c r="F4163" s="193"/>
    </row>
    <row r="4164" spans="1:6">
      <c r="A4164" s="482"/>
      <c r="B4164" s="193"/>
      <c r="C4164" s="193"/>
      <c r="D4164" s="193"/>
      <c r="E4164" s="193"/>
      <c r="F4164" s="193"/>
    </row>
    <row r="4165" spans="1:6">
      <c r="A4165" s="482"/>
      <c r="B4165" s="193"/>
      <c r="C4165" s="193"/>
      <c r="D4165" s="193"/>
      <c r="E4165" s="193"/>
      <c r="F4165" s="193"/>
    </row>
    <row r="4166" spans="1:6">
      <c r="A4166" s="482"/>
      <c r="B4166" s="193"/>
      <c r="C4166" s="193"/>
      <c r="D4166" s="193"/>
      <c r="E4166" s="193"/>
      <c r="F4166" s="193"/>
    </row>
    <row r="4167" spans="1:6">
      <c r="A4167" s="482"/>
      <c r="B4167" s="193"/>
      <c r="C4167" s="193"/>
      <c r="D4167" s="193"/>
      <c r="E4167" s="193"/>
      <c r="F4167" s="193"/>
    </row>
    <row r="4168" spans="1:6">
      <c r="A4168" s="482"/>
      <c r="B4168" s="193"/>
      <c r="C4168" s="193"/>
      <c r="D4168" s="193"/>
      <c r="E4168" s="193"/>
      <c r="F4168" s="193"/>
    </row>
    <row r="4169" spans="1:6">
      <c r="A4169" s="482"/>
      <c r="B4169" s="193"/>
      <c r="C4169" s="193"/>
      <c r="D4169" s="193"/>
      <c r="E4169" s="193"/>
      <c r="F4169" s="193"/>
    </row>
    <row r="4170" spans="1:6">
      <c r="A4170" s="482"/>
      <c r="B4170" s="193"/>
      <c r="C4170" s="193"/>
      <c r="D4170" s="193"/>
      <c r="E4170" s="193"/>
      <c r="F4170" s="193"/>
    </row>
    <row r="4171" spans="1:6">
      <c r="A4171" s="482"/>
      <c r="B4171" s="193"/>
      <c r="C4171" s="193"/>
      <c r="D4171" s="193"/>
      <c r="E4171" s="193"/>
      <c r="F4171" s="193"/>
    </row>
    <row r="4172" spans="1:6">
      <c r="A4172" s="482"/>
      <c r="B4172" s="193"/>
      <c r="C4172" s="193"/>
      <c r="D4172" s="193"/>
      <c r="E4172" s="193"/>
      <c r="F4172" s="193"/>
    </row>
    <row r="4173" spans="1:6">
      <c r="A4173" s="482"/>
      <c r="B4173" s="193"/>
      <c r="C4173" s="193"/>
      <c r="D4173" s="193"/>
      <c r="E4173" s="193"/>
      <c r="F4173" s="193"/>
    </row>
    <row r="4174" spans="1:6">
      <c r="A4174" s="482"/>
      <c r="B4174" s="193"/>
      <c r="C4174" s="193"/>
      <c r="D4174" s="193"/>
      <c r="E4174" s="193"/>
      <c r="F4174" s="193"/>
    </row>
    <row r="4175" spans="1:6">
      <c r="A4175" s="482"/>
      <c r="B4175" s="193"/>
      <c r="C4175" s="193"/>
      <c r="D4175" s="193"/>
      <c r="E4175" s="193"/>
      <c r="F4175" s="193"/>
    </row>
    <row r="4176" spans="1:6">
      <c r="A4176" s="482"/>
      <c r="B4176" s="193"/>
      <c r="C4176" s="193"/>
      <c r="D4176" s="193"/>
      <c r="E4176" s="193"/>
      <c r="F4176" s="193"/>
    </row>
    <row r="4177" spans="1:6">
      <c r="A4177" s="482"/>
      <c r="B4177" s="193"/>
      <c r="C4177" s="193"/>
      <c r="D4177" s="193"/>
      <c r="E4177" s="193"/>
      <c r="F4177" s="193"/>
    </row>
    <row r="4178" spans="1:6">
      <c r="A4178" s="482"/>
      <c r="B4178" s="193"/>
      <c r="C4178" s="193"/>
      <c r="D4178" s="193"/>
      <c r="E4178" s="193"/>
      <c r="F4178" s="193"/>
    </row>
    <row r="4179" spans="1:6">
      <c r="A4179" s="482"/>
      <c r="B4179" s="193"/>
      <c r="C4179" s="193"/>
      <c r="D4179" s="193"/>
      <c r="E4179" s="193"/>
      <c r="F4179" s="193"/>
    </row>
    <row r="4180" spans="1:6">
      <c r="A4180" s="482"/>
      <c r="B4180" s="193"/>
      <c r="C4180" s="193"/>
      <c r="D4180" s="193"/>
      <c r="E4180" s="193"/>
      <c r="F4180" s="193"/>
    </row>
    <row r="4181" spans="1:6">
      <c r="A4181" s="482"/>
      <c r="B4181" s="193"/>
      <c r="C4181" s="193"/>
      <c r="D4181" s="193"/>
      <c r="E4181" s="193"/>
      <c r="F4181" s="193"/>
    </row>
    <row r="4182" spans="1:6">
      <c r="A4182" s="482"/>
      <c r="B4182" s="193"/>
      <c r="C4182" s="193"/>
      <c r="D4182" s="193"/>
      <c r="E4182" s="193"/>
      <c r="F4182" s="193"/>
    </row>
    <row r="4183" spans="1:6">
      <c r="A4183" s="482"/>
      <c r="B4183" s="193"/>
      <c r="C4183" s="193"/>
      <c r="D4183" s="193"/>
      <c r="E4183" s="193"/>
      <c r="F4183" s="193"/>
    </row>
    <row r="4184" spans="1:6">
      <c r="A4184" s="482"/>
      <c r="B4184" s="193"/>
      <c r="C4184" s="193"/>
      <c r="D4184" s="193"/>
      <c r="E4184" s="193"/>
      <c r="F4184" s="193"/>
    </row>
    <row r="4185" spans="1:6">
      <c r="A4185" s="482"/>
      <c r="B4185" s="193"/>
      <c r="C4185" s="193"/>
      <c r="D4185" s="193"/>
      <c r="E4185" s="193"/>
      <c r="F4185" s="193"/>
    </row>
    <row r="4186" spans="1:6">
      <c r="A4186" s="482"/>
      <c r="B4186" s="193"/>
      <c r="C4186" s="193"/>
      <c r="D4186" s="193"/>
      <c r="E4186" s="193"/>
      <c r="F4186" s="193"/>
    </row>
    <row r="4187" spans="1:6">
      <c r="A4187" s="482"/>
      <c r="B4187" s="193"/>
      <c r="C4187" s="193"/>
      <c r="D4187" s="193"/>
      <c r="E4187" s="193"/>
      <c r="F4187" s="193"/>
    </row>
    <row r="4188" spans="1:6">
      <c r="A4188" s="482"/>
      <c r="B4188" s="193"/>
      <c r="C4188" s="193"/>
      <c r="D4188" s="193"/>
      <c r="E4188" s="193"/>
      <c r="F4188" s="193"/>
    </row>
    <row r="4189" spans="1:6">
      <c r="A4189" s="482"/>
      <c r="B4189" s="193"/>
      <c r="C4189" s="193"/>
      <c r="D4189" s="193"/>
      <c r="E4189" s="193"/>
      <c r="F4189" s="193"/>
    </row>
    <row r="4190" spans="1:6">
      <c r="A4190" s="482"/>
      <c r="B4190" s="193"/>
      <c r="C4190" s="193"/>
      <c r="D4190" s="193"/>
      <c r="E4190" s="193"/>
      <c r="F4190" s="193"/>
    </row>
    <row r="4191" spans="1:6">
      <c r="A4191" s="482"/>
      <c r="B4191" s="193"/>
      <c r="C4191" s="193"/>
      <c r="D4191" s="193"/>
      <c r="E4191" s="193"/>
      <c r="F4191" s="193"/>
    </row>
    <row r="4192" spans="1:6">
      <c r="A4192" s="482"/>
      <c r="B4192" s="193"/>
      <c r="C4192" s="193"/>
      <c r="D4192" s="193"/>
      <c r="E4192" s="193"/>
      <c r="F4192" s="193"/>
    </row>
    <row r="4193" spans="1:6">
      <c r="A4193" s="482"/>
      <c r="B4193" s="193"/>
      <c r="C4193" s="193"/>
      <c r="D4193" s="193"/>
      <c r="E4193" s="193"/>
      <c r="F4193" s="193"/>
    </row>
    <row r="4194" spans="1:6">
      <c r="A4194" s="482"/>
      <c r="B4194" s="193"/>
      <c r="C4194" s="193"/>
      <c r="D4194" s="193"/>
      <c r="E4194" s="193"/>
      <c r="F4194" s="193"/>
    </row>
    <row r="4195" spans="1:6">
      <c r="A4195" s="482"/>
      <c r="B4195" s="193"/>
      <c r="C4195" s="193"/>
      <c r="D4195" s="193"/>
      <c r="E4195" s="193"/>
      <c r="F4195" s="193"/>
    </row>
    <row r="4196" spans="1:6">
      <c r="A4196" s="482"/>
      <c r="B4196" s="193"/>
      <c r="C4196" s="193"/>
      <c r="D4196" s="193"/>
      <c r="E4196" s="193"/>
      <c r="F4196" s="193"/>
    </row>
    <row r="4197" spans="1:6">
      <c r="A4197" s="482"/>
      <c r="B4197" s="193"/>
      <c r="C4197" s="193"/>
      <c r="D4197" s="193"/>
      <c r="E4197" s="193"/>
      <c r="F4197" s="193"/>
    </row>
    <row r="4198" spans="1:6">
      <c r="A4198" s="482"/>
      <c r="B4198" s="193"/>
      <c r="C4198" s="193"/>
      <c r="D4198" s="193"/>
      <c r="E4198" s="193"/>
      <c r="F4198" s="193"/>
    </row>
    <row r="4199" spans="1:6">
      <c r="A4199" s="482"/>
      <c r="B4199" s="193"/>
      <c r="C4199" s="193"/>
      <c r="D4199" s="193"/>
      <c r="E4199" s="193"/>
      <c r="F4199" s="193"/>
    </row>
    <row r="4200" spans="1:6">
      <c r="A4200" s="482"/>
      <c r="B4200" s="193"/>
      <c r="C4200" s="193"/>
      <c r="D4200" s="193"/>
      <c r="E4200" s="193"/>
      <c r="F4200" s="193"/>
    </row>
    <row r="4201" spans="1:6">
      <c r="A4201" s="482"/>
      <c r="B4201" s="193"/>
      <c r="C4201" s="193"/>
      <c r="D4201" s="193"/>
      <c r="E4201" s="193"/>
      <c r="F4201" s="193"/>
    </row>
    <row r="4202" spans="1:6">
      <c r="A4202" s="482"/>
      <c r="B4202" s="193"/>
      <c r="C4202" s="193"/>
      <c r="D4202" s="193"/>
      <c r="E4202" s="193"/>
      <c r="F4202" s="193"/>
    </row>
    <row r="4203" spans="1:6">
      <c r="A4203" s="482"/>
      <c r="B4203" s="193"/>
      <c r="C4203" s="193"/>
      <c r="D4203" s="193"/>
      <c r="E4203" s="193"/>
      <c r="F4203" s="193"/>
    </row>
    <row r="4204" spans="1:6">
      <c r="A4204" s="482"/>
      <c r="B4204" s="193"/>
      <c r="C4204" s="193"/>
      <c r="D4204" s="193"/>
      <c r="E4204" s="193"/>
      <c r="F4204" s="193"/>
    </row>
    <row r="4205" spans="1:6">
      <c r="A4205" s="482"/>
      <c r="B4205" s="193"/>
      <c r="C4205" s="193"/>
      <c r="D4205" s="193"/>
      <c r="E4205" s="193"/>
      <c r="F4205" s="193"/>
    </row>
    <row r="4206" spans="1:6">
      <c r="A4206" s="482"/>
      <c r="B4206" s="193"/>
      <c r="C4206" s="193"/>
      <c r="D4206" s="193"/>
      <c r="E4206" s="193"/>
      <c r="F4206" s="193"/>
    </row>
    <row r="4207" spans="1:6">
      <c r="A4207" s="482"/>
      <c r="B4207" s="193"/>
      <c r="C4207" s="193"/>
      <c r="D4207" s="193"/>
      <c r="E4207" s="193"/>
      <c r="F4207" s="193"/>
    </row>
    <row r="4208" spans="1:6">
      <c r="A4208" s="482"/>
      <c r="B4208" s="193"/>
      <c r="C4208" s="193"/>
      <c r="D4208" s="193"/>
      <c r="E4208" s="193"/>
      <c r="F4208" s="193"/>
    </row>
    <row r="4209" spans="1:6">
      <c r="A4209" s="482"/>
      <c r="B4209" s="193"/>
      <c r="C4209" s="193"/>
      <c r="D4209" s="193"/>
      <c r="E4209" s="193"/>
      <c r="F4209" s="193"/>
    </row>
    <row r="4210" spans="1:6">
      <c r="A4210" s="482"/>
      <c r="B4210" s="193"/>
      <c r="C4210" s="193"/>
      <c r="D4210" s="193"/>
      <c r="E4210" s="193"/>
      <c r="F4210" s="193"/>
    </row>
    <row r="4211" spans="1:6">
      <c r="A4211" s="482"/>
      <c r="B4211" s="193"/>
      <c r="C4211" s="193"/>
      <c r="D4211" s="193"/>
      <c r="E4211" s="193"/>
      <c r="F4211" s="193"/>
    </row>
    <row r="4212" spans="1:6">
      <c r="A4212" s="482"/>
      <c r="B4212" s="193"/>
      <c r="C4212" s="193"/>
      <c r="D4212" s="193"/>
      <c r="E4212" s="193"/>
      <c r="F4212" s="193"/>
    </row>
    <row r="4213" spans="1:6">
      <c r="A4213" s="482"/>
      <c r="B4213" s="193"/>
      <c r="C4213" s="193"/>
      <c r="D4213" s="193"/>
      <c r="E4213" s="193"/>
      <c r="F4213" s="193"/>
    </row>
    <row r="4214" spans="1:6">
      <c r="A4214" s="482"/>
      <c r="B4214" s="193"/>
      <c r="C4214" s="193"/>
      <c r="D4214" s="193"/>
      <c r="E4214" s="193"/>
      <c r="F4214" s="193"/>
    </row>
    <row r="4215" spans="1:6">
      <c r="A4215" s="482"/>
      <c r="B4215" s="193"/>
      <c r="C4215" s="193"/>
      <c r="D4215" s="193"/>
      <c r="E4215" s="193"/>
      <c r="F4215" s="193"/>
    </row>
    <row r="4216" spans="1:6">
      <c r="A4216" s="482"/>
      <c r="B4216" s="193"/>
      <c r="C4216" s="193"/>
      <c r="D4216" s="193"/>
      <c r="E4216" s="193"/>
      <c r="F4216" s="193"/>
    </row>
    <row r="4217" spans="1:6">
      <c r="A4217" s="482"/>
      <c r="B4217" s="193"/>
      <c r="C4217" s="193"/>
      <c r="D4217" s="193"/>
      <c r="E4217" s="193"/>
      <c r="F4217" s="193"/>
    </row>
    <row r="4218" spans="1:6">
      <c r="A4218" s="482"/>
      <c r="B4218" s="193"/>
      <c r="C4218" s="193"/>
      <c r="D4218" s="193"/>
      <c r="E4218" s="193"/>
      <c r="F4218" s="193"/>
    </row>
    <row r="4219" spans="1:6">
      <c r="A4219" s="482"/>
      <c r="B4219" s="193"/>
      <c r="C4219" s="193"/>
      <c r="D4219" s="193"/>
      <c r="E4219" s="193"/>
      <c r="F4219" s="193"/>
    </row>
    <row r="4220" spans="1:6">
      <c r="A4220" s="482"/>
      <c r="B4220" s="193"/>
      <c r="C4220" s="193"/>
      <c r="D4220" s="193"/>
      <c r="E4220" s="193"/>
      <c r="F4220" s="193"/>
    </row>
    <row r="4221" spans="1:6">
      <c r="A4221" s="482"/>
      <c r="B4221" s="193"/>
      <c r="C4221" s="193"/>
      <c r="D4221" s="193"/>
      <c r="E4221" s="193"/>
      <c r="F4221" s="193"/>
    </row>
    <row r="4222" spans="1:6">
      <c r="A4222" s="482"/>
      <c r="B4222" s="193"/>
      <c r="C4222" s="193"/>
      <c r="D4222" s="193"/>
      <c r="E4222" s="193"/>
      <c r="F4222" s="193"/>
    </row>
    <row r="4223" spans="1:6">
      <c r="A4223" s="482"/>
      <c r="B4223" s="193"/>
      <c r="C4223" s="193"/>
      <c r="D4223" s="193"/>
      <c r="E4223" s="193"/>
      <c r="F4223" s="193"/>
    </row>
    <row r="4224" spans="1:6">
      <c r="A4224" s="482"/>
      <c r="B4224" s="193"/>
      <c r="C4224" s="193"/>
      <c r="D4224" s="193"/>
      <c r="E4224" s="193"/>
      <c r="F4224" s="193"/>
    </row>
    <row r="4225" spans="1:6">
      <c r="A4225" s="482"/>
      <c r="B4225" s="193"/>
      <c r="C4225" s="193"/>
      <c r="D4225" s="193"/>
      <c r="E4225" s="193"/>
      <c r="F4225" s="193"/>
    </row>
    <row r="4226" spans="1:6">
      <c r="A4226" s="482"/>
      <c r="B4226" s="193"/>
      <c r="C4226" s="193"/>
      <c r="D4226" s="193"/>
      <c r="E4226" s="193"/>
      <c r="F4226" s="193"/>
    </row>
    <row r="4227" spans="1:6">
      <c r="A4227" s="482"/>
      <c r="B4227" s="193"/>
      <c r="C4227" s="193"/>
      <c r="D4227" s="193"/>
      <c r="E4227" s="193"/>
      <c r="F4227" s="193"/>
    </row>
    <row r="4228" spans="1:6">
      <c r="A4228" s="482"/>
      <c r="B4228" s="193"/>
      <c r="C4228" s="193"/>
      <c r="D4228" s="193"/>
      <c r="E4228" s="193"/>
      <c r="F4228" s="193"/>
    </row>
    <row r="4229" spans="1:6">
      <c r="A4229" s="482"/>
      <c r="B4229" s="193"/>
      <c r="C4229" s="193"/>
      <c r="D4229" s="193"/>
      <c r="E4229" s="193"/>
      <c r="F4229" s="193"/>
    </row>
    <row r="4230" spans="1:6">
      <c r="A4230" s="482"/>
      <c r="B4230" s="193"/>
      <c r="C4230" s="193"/>
      <c r="D4230" s="193"/>
      <c r="E4230" s="193"/>
      <c r="F4230" s="193"/>
    </row>
    <row r="4231" spans="1:6">
      <c r="A4231" s="482"/>
      <c r="B4231" s="193"/>
      <c r="C4231" s="193"/>
      <c r="D4231" s="193"/>
      <c r="E4231" s="193"/>
      <c r="F4231" s="193"/>
    </row>
    <row r="4232" spans="1:6">
      <c r="A4232" s="482"/>
      <c r="B4232" s="193"/>
      <c r="C4232" s="193"/>
      <c r="D4232" s="193"/>
      <c r="E4232" s="193"/>
      <c r="F4232" s="193"/>
    </row>
    <row r="4233" spans="1:6">
      <c r="A4233" s="482"/>
      <c r="B4233" s="193"/>
      <c r="C4233" s="193"/>
      <c r="D4233" s="193"/>
      <c r="E4233" s="193"/>
      <c r="F4233" s="193"/>
    </row>
    <row r="4234" spans="1:6">
      <c r="A4234" s="482"/>
      <c r="B4234" s="193"/>
      <c r="C4234" s="193"/>
      <c r="D4234" s="193"/>
      <c r="E4234" s="193"/>
      <c r="F4234" s="193"/>
    </row>
    <row r="4235" spans="1:6">
      <c r="A4235" s="482"/>
      <c r="B4235" s="193"/>
      <c r="C4235" s="193"/>
      <c r="D4235" s="193"/>
      <c r="E4235" s="193"/>
      <c r="F4235" s="193"/>
    </row>
    <row r="4236" spans="1:6">
      <c r="A4236" s="482"/>
      <c r="B4236" s="193"/>
      <c r="C4236" s="193"/>
      <c r="D4236" s="193"/>
      <c r="E4236" s="193"/>
      <c r="F4236" s="193"/>
    </row>
    <row r="4237" spans="1:6">
      <c r="A4237" s="482"/>
      <c r="B4237" s="193"/>
      <c r="C4237" s="193"/>
      <c r="D4237" s="193"/>
      <c r="E4237" s="193"/>
      <c r="F4237" s="193"/>
    </row>
    <row r="4238" spans="1:6">
      <c r="A4238" s="482"/>
      <c r="B4238" s="193"/>
      <c r="C4238" s="193"/>
      <c r="D4238" s="193"/>
      <c r="E4238" s="193"/>
      <c r="F4238" s="193"/>
    </row>
    <row r="4239" spans="1:6">
      <c r="A4239" s="482"/>
      <c r="B4239" s="193"/>
      <c r="C4239" s="193"/>
      <c r="D4239" s="193"/>
      <c r="E4239" s="193"/>
      <c r="F4239" s="193"/>
    </row>
    <row r="4240" spans="1:6">
      <c r="A4240" s="482"/>
      <c r="B4240" s="193"/>
      <c r="C4240" s="193"/>
      <c r="D4240" s="193"/>
      <c r="E4240" s="193"/>
      <c r="F4240" s="193"/>
    </row>
    <row r="4241" spans="1:6">
      <c r="A4241" s="482"/>
      <c r="B4241" s="193"/>
      <c r="C4241" s="193"/>
      <c r="D4241" s="193"/>
      <c r="E4241" s="193"/>
      <c r="F4241" s="193"/>
    </row>
    <row r="4242" spans="1:6">
      <c r="A4242" s="482"/>
      <c r="B4242" s="193"/>
      <c r="C4242" s="193"/>
      <c r="D4242" s="193"/>
      <c r="E4242" s="193"/>
      <c r="F4242" s="193"/>
    </row>
    <row r="4243" spans="1:6">
      <c r="A4243" s="482"/>
      <c r="B4243" s="193"/>
      <c r="C4243" s="193"/>
      <c r="D4243" s="193"/>
      <c r="E4243" s="193"/>
      <c r="F4243" s="193"/>
    </row>
    <row r="4244" spans="1:6">
      <c r="A4244" s="482"/>
      <c r="B4244" s="193"/>
      <c r="C4244" s="193"/>
      <c r="D4244" s="193"/>
      <c r="E4244" s="193"/>
      <c r="F4244" s="193"/>
    </row>
    <row r="4245" spans="1:6">
      <c r="A4245" s="482"/>
      <c r="B4245" s="193"/>
      <c r="C4245" s="193"/>
      <c r="D4245" s="193"/>
      <c r="E4245" s="193"/>
      <c r="F4245" s="193"/>
    </row>
    <row r="4246" spans="1:6">
      <c r="A4246" s="482"/>
      <c r="B4246" s="193"/>
      <c r="C4246" s="193"/>
      <c r="D4246" s="193"/>
      <c r="E4246" s="193"/>
      <c r="F4246" s="193"/>
    </row>
    <row r="4247" spans="1:6">
      <c r="A4247" s="482"/>
      <c r="B4247" s="193"/>
      <c r="C4247" s="193"/>
      <c r="D4247" s="193"/>
      <c r="E4247" s="193"/>
      <c r="F4247" s="193"/>
    </row>
    <row r="4248" spans="1:6">
      <c r="A4248" s="482"/>
      <c r="B4248" s="193"/>
      <c r="C4248" s="193"/>
      <c r="D4248" s="193"/>
      <c r="E4248" s="193"/>
      <c r="F4248" s="193"/>
    </row>
    <row r="4249" spans="1:6">
      <c r="A4249" s="482"/>
      <c r="B4249" s="193"/>
      <c r="C4249" s="193"/>
      <c r="D4249" s="193"/>
      <c r="E4249" s="193"/>
      <c r="F4249" s="193"/>
    </row>
    <row r="4250" spans="1:6">
      <c r="A4250" s="482"/>
      <c r="B4250" s="193"/>
      <c r="C4250" s="193"/>
      <c r="D4250" s="193"/>
      <c r="E4250" s="193"/>
      <c r="F4250" s="193"/>
    </row>
    <row r="4251" spans="1:6">
      <c r="A4251" s="482"/>
      <c r="B4251" s="193"/>
      <c r="C4251" s="193"/>
      <c r="D4251" s="193"/>
      <c r="E4251" s="193"/>
      <c r="F4251" s="193"/>
    </row>
    <row r="4252" spans="1:6">
      <c r="A4252" s="482"/>
      <c r="B4252" s="193"/>
      <c r="C4252" s="193"/>
      <c r="D4252" s="193"/>
      <c r="E4252" s="193"/>
      <c r="F4252" s="193"/>
    </row>
    <row r="4253" spans="1:6">
      <c r="A4253" s="482"/>
      <c r="B4253" s="193"/>
      <c r="C4253" s="193"/>
      <c r="D4253" s="193"/>
      <c r="E4253" s="193"/>
      <c r="F4253" s="193"/>
    </row>
    <row r="4254" spans="1:6">
      <c r="A4254" s="482"/>
      <c r="B4254" s="193"/>
      <c r="C4254" s="193"/>
      <c r="D4254" s="193"/>
      <c r="E4254" s="193"/>
      <c r="F4254" s="193"/>
    </row>
    <row r="4255" spans="1:6">
      <c r="A4255" s="482"/>
      <c r="B4255" s="193"/>
      <c r="C4255" s="193"/>
      <c r="D4255" s="193"/>
      <c r="E4255" s="193"/>
      <c r="F4255" s="193"/>
    </row>
    <row r="4256" spans="1:6">
      <c r="A4256" s="482"/>
      <c r="B4256" s="193"/>
      <c r="C4256" s="193"/>
      <c r="D4256" s="193"/>
      <c r="E4256" s="193"/>
      <c r="F4256" s="193"/>
    </row>
    <row r="4257" spans="1:6">
      <c r="A4257" s="482"/>
      <c r="B4257" s="193"/>
      <c r="C4257" s="193"/>
      <c r="D4257" s="193"/>
      <c r="E4257" s="193"/>
      <c r="F4257" s="193"/>
    </row>
    <row r="4258" spans="1:6">
      <c r="A4258" s="482"/>
      <c r="B4258" s="193"/>
      <c r="C4258" s="193"/>
      <c r="D4258" s="193"/>
      <c r="E4258" s="193"/>
      <c r="F4258" s="193"/>
    </row>
    <row r="4259" spans="1:6">
      <c r="A4259" s="482"/>
      <c r="B4259" s="193"/>
      <c r="C4259" s="193"/>
      <c r="D4259" s="193"/>
      <c r="E4259" s="193"/>
      <c r="F4259" s="193"/>
    </row>
    <row r="4260" spans="1:6">
      <c r="A4260" s="482"/>
      <c r="B4260" s="193"/>
      <c r="C4260" s="193"/>
      <c r="D4260" s="193"/>
      <c r="E4260" s="193"/>
      <c r="F4260" s="193"/>
    </row>
    <row r="4261" spans="1:6">
      <c r="A4261" s="482"/>
      <c r="B4261" s="193"/>
      <c r="C4261" s="193"/>
      <c r="D4261" s="193"/>
      <c r="E4261" s="193"/>
      <c r="F4261" s="193"/>
    </row>
    <row r="4262" spans="1:6">
      <c r="A4262" s="482"/>
      <c r="B4262" s="193"/>
      <c r="C4262" s="193"/>
      <c r="D4262" s="193"/>
      <c r="E4262" s="193"/>
      <c r="F4262" s="193"/>
    </row>
    <row r="4263" spans="1:6">
      <c r="A4263" s="482"/>
      <c r="B4263" s="193"/>
      <c r="C4263" s="193"/>
      <c r="D4263" s="193"/>
      <c r="E4263" s="193"/>
      <c r="F4263" s="193"/>
    </row>
    <row r="4264" spans="1:6">
      <c r="A4264" s="482"/>
      <c r="B4264" s="193"/>
      <c r="C4264" s="193"/>
      <c r="D4264" s="193"/>
      <c r="E4264" s="193"/>
      <c r="F4264" s="193"/>
    </row>
    <row r="4265" spans="1:6">
      <c r="A4265" s="482"/>
      <c r="B4265" s="193"/>
      <c r="C4265" s="193"/>
      <c r="D4265" s="193"/>
      <c r="E4265" s="193"/>
      <c r="F4265" s="193"/>
    </row>
    <row r="4266" spans="1:6">
      <c r="A4266" s="482"/>
      <c r="B4266" s="193"/>
      <c r="C4266" s="193"/>
      <c r="D4266" s="193"/>
      <c r="E4266" s="193"/>
      <c r="F4266" s="193"/>
    </row>
    <row r="4267" spans="1:6">
      <c r="A4267" s="482"/>
      <c r="B4267" s="193"/>
      <c r="C4267" s="193"/>
      <c r="D4267" s="193"/>
      <c r="E4267" s="193"/>
      <c r="F4267" s="193"/>
    </row>
    <row r="4268" spans="1:6">
      <c r="A4268" s="482"/>
      <c r="B4268" s="193"/>
      <c r="C4268" s="193"/>
      <c r="D4268" s="193"/>
      <c r="E4268" s="193"/>
      <c r="F4268" s="193"/>
    </row>
    <row r="4269" spans="1:6">
      <c r="A4269" s="482"/>
      <c r="B4269" s="193"/>
      <c r="C4269" s="193"/>
      <c r="D4269" s="193"/>
      <c r="E4269" s="193"/>
      <c r="F4269" s="193"/>
    </row>
    <row r="4270" spans="1:6">
      <c r="A4270" s="482"/>
      <c r="B4270" s="193"/>
      <c r="C4270" s="193"/>
      <c r="D4270" s="193"/>
      <c r="E4270" s="193"/>
      <c r="F4270" s="193"/>
    </row>
    <row r="4271" spans="1:6">
      <c r="A4271" s="482"/>
      <c r="B4271" s="193"/>
      <c r="C4271" s="193"/>
      <c r="D4271" s="193"/>
      <c r="E4271" s="193"/>
      <c r="F4271" s="193"/>
    </row>
    <row r="4272" spans="1:6">
      <c r="A4272" s="482"/>
      <c r="B4272" s="193"/>
      <c r="C4272" s="193"/>
      <c r="D4272" s="193"/>
      <c r="E4272" s="193"/>
      <c r="F4272" s="193"/>
    </row>
    <row r="4273" spans="1:6">
      <c r="A4273" s="482"/>
      <c r="B4273" s="193"/>
      <c r="C4273" s="193"/>
      <c r="D4273" s="193"/>
      <c r="E4273" s="193"/>
      <c r="F4273" s="193"/>
    </row>
    <row r="4274" spans="1:6">
      <c r="A4274" s="482"/>
      <c r="B4274" s="193"/>
      <c r="C4274" s="193"/>
      <c r="D4274" s="193"/>
      <c r="E4274" s="193"/>
      <c r="F4274" s="193"/>
    </row>
    <row r="4275" spans="1:6">
      <c r="A4275" s="482"/>
      <c r="B4275" s="193"/>
      <c r="C4275" s="193"/>
      <c r="D4275" s="193"/>
      <c r="E4275" s="193"/>
      <c r="F4275" s="193"/>
    </row>
    <row r="4276" spans="1:6">
      <c r="A4276" s="482"/>
      <c r="B4276" s="193"/>
      <c r="C4276" s="193"/>
      <c r="D4276" s="193"/>
      <c r="E4276" s="193"/>
      <c r="F4276" s="193"/>
    </row>
    <row r="4277" spans="1:6">
      <c r="A4277" s="482"/>
      <c r="B4277" s="193"/>
      <c r="C4277" s="193"/>
      <c r="D4277" s="193"/>
      <c r="E4277" s="193"/>
      <c r="F4277" s="193"/>
    </row>
    <row r="4278" spans="1:6">
      <c r="A4278" s="482"/>
      <c r="B4278" s="193"/>
      <c r="C4278" s="193"/>
      <c r="D4278" s="193"/>
      <c r="E4278" s="193"/>
      <c r="F4278" s="193"/>
    </row>
    <row r="4279" spans="1:6">
      <c r="A4279" s="482"/>
      <c r="B4279" s="193"/>
      <c r="C4279" s="193"/>
      <c r="D4279" s="193"/>
      <c r="E4279" s="193"/>
      <c r="F4279" s="193"/>
    </row>
    <row r="4280" spans="1:6">
      <c r="A4280" s="482"/>
      <c r="B4280" s="193"/>
      <c r="C4280" s="193"/>
      <c r="D4280" s="193"/>
      <c r="E4280" s="193"/>
      <c r="F4280" s="193"/>
    </row>
    <row r="4281" spans="1:6">
      <c r="A4281" s="482"/>
      <c r="B4281" s="193"/>
      <c r="C4281" s="193"/>
      <c r="D4281" s="193"/>
      <c r="E4281" s="193"/>
      <c r="F4281" s="193"/>
    </row>
    <row r="4282" spans="1:6">
      <c r="A4282" s="482"/>
      <c r="B4282" s="193"/>
      <c r="C4282" s="193"/>
      <c r="D4282" s="193"/>
      <c r="E4282" s="193"/>
      <c r="F4282" s="193"/>
    </row>
    <row r="4283" spans="1:6">
      <c r="A4283" s="482"/>
      <c r="B4283" s="193"/>
      <c r="C4283" s="193"/>
      <c r="D4283" s="193"/>
      <c r="E4283" s="193"/>
      <c r="F4283" s="193"/>
    </row>
    <row r="4284" spans="1:6">
      <c r="A4284" s="482"/>
      <c r="B4284" s="193"/>
      <c r="C4284" s="193"/>
      <c r="D4284" s="193"/>
      <c r="E4284" s="193"/>
      <c r="F4284" s="193"/>
    </row>
    <row r="4285" spans="1:6">
      <c r="A4285" s="482"/>
      <c r="B4285" s="193"/>
      <c r="C4285" s="193"/>
      <c r="D4285" s="193"/>
      <c r="E4285" s="193"/>
      <c r="F4285" s="193"/>
    </row>
    <row r="4286" spans="1:6">
      <c r="A4286" s="482"/>
      <c r="B4286" s="193"/>
      <c r="C4286" s="193"/>
      <c r="D4286" s="193"/>
      <c r="E4286" s="193"/>
      <c r="F4286" s="193"/>
    </row>
    <row r="4287" spans="1:6">
      <c r="A4287" s="482"/>
      <c r="B4287" s="193"/>
      <c r="C4287" s="193"/>
      <c r="D4287" s="193"/>
      <c r="E4287" s="193"/>
      <c r="F4287" s="193"/>
    </row>
    <row r="4288" spans="1:6">
      <c r="A4288" s="482"/>
      <c r="B4288" s="193"/>
      <c r="C4288" s="193"/>
      <c r="D4288" s="193"/>
      <c r="E4288" s="193"/>
      <c r="F4288" s="193"/>
    </row>
    <row r="4289" spans="1:6">
      <c r="A4289" s="482"/>
      <c r="B4289" s="193"/>
      <c r="C4289" s="193"/>
      <c r="D4289" s="193"/>
      <c r="E4289" s="193"/>
      <c r="F4289" s="193"/>
    </row>
    <row r="4290" spans="1:6">
      <c r="A4290" s="482"/>
      <c r="B4290" s="193"/>
      <c r="C4290" s="193"/>
      <c r="D4290" s="193"/>
      <c r="E4290" s="193"/>
      <c r="F4290" s="193"/>
    </row>
    <row r="4291" spans="1:6">
      <c r="A4291" s="482"/>
      <c r="B4291" s="193"/>
      <c r="C4291" s="193"/>
      <c r="D4291" s="193"/>
      <c r="E4291" s="193"/>
      <c r="F4291" s="193"/>
    </row>
    <row r="4292" spans="1:6">
      <c r="A4292" s="482"/>
      <c r="B4292" s="193"/>
      <c r="C4292" s="193"/>
      <c r="D4292" s="193"/>
      <c r="E4292" s="193"/>
      <c r="F4292" s="193"/>
    </row>
    <row r="4293" spans="1:6">
      <c r="A4293" s="482"/>
      <c r="B4293" s="193"/>
      <c r="C4293" s="193"/>
      <c r="D4293" s="193"/>
      <c r="E4293" s="193"/>
      <c r="F4293" s="193"/>
    </row>
    <row r="4294" spans="1:6">
      <c r="A4294" s="482"/>
      <c r="B4294" s="193"/>
      <c r="C4294" s="193"/>
      <c r="D4294" s="193"/>
      <c r="E4294" s="193"/>
      <c r="F4294" s="193"/>
    </row>
    <row r="4295" spans="1:6">
      <c r="A4295" s="482"/>
      <c r="B4295" s="193"/>
      <c r="C4295" s="193"/>
      <c r="D4295" s="193"/>
      <c r="E4295" s="193"/>
      <c r="F4295" s="193"/>
    </row>
    <row r="4296" spans="1:6">
      <c r="A4296" s="482"/>
      <c r="B4296" s="193"/>
      <c r="C4296" s="193"/>
      <c r="D4296" s="193"/>
      <c r="E4296" s="193"/>
      <c r="F4296" s="193"/>
    </row>
    <row r="4297" spans="1:6">
      <c r="A4297" s="482"/>
      <c r="B4297" s="193"/>
      <c r="C4297" s="193"/>
      <c r="D4297" s="193"/>
      <c r="E4297" s="193"/>
      <c r="F4297" s="193"/>
    </row>
    <row r="4298" spans="1:6">
      <c r="A4298" s="482"/>
      <c r="B4298" s="193"/>
      <c r="C4298" s="193"/>
      <c r="D4298" s="193"/>
      <c r="E4298" s="193"/>
      <c r="F4298" s="193"/>
    </row>
    <row r="4299" spans="1:6">
      <c r="A4299" s="482"/>
      <c r="B4299" s="193"/>
      <c r="C4299" s="193"/>
      <c r="D4299" s="193"/>
      <c r="E4299" s="193"/>
      <c r="F4299" s="193"/>
    </row>
    <row r="4300" spans="1:6">
      <c r="A4300" s="482"/>
      <c r="B4300" s="193"/>
      <c r="C4300" s="193"/>
      <c r="D4300" s="193"/>
      <c r="E4300" s="193"/>
      <c r="F4300" s="193"/>
    </row>
    <row r="4301" spans="1:6">
      <c r="A4301" s="482"/>
      <c r="B4301" s="193"/>
      <c r="C4301" s="193"/>
      <c r="D4301" s="193"/>
      <c r="E4301" s="193"/>
      <c r="F4301" s="193"/>
    </row>
    <row r="4302" spans="1:6">
      <c r="A4302" s="482"/>
      <c r="B4302" s="193"/>
      <c r="C4302" s="193"/>
      <c r="D4302" s="193"/>
      <c r="E4302" s="193"/>
      <c r="F4302" s="193"/>
    </row>
    <row r="4303" spans="1:6">
      <c r="A4303" s="482"/>
      <c r="B4303" s="484"/>
      <c r="C4303" s="484"/>
      <c r="D4303" s="485"/>
      <c r="E4303" s="484"/>
      <c r="F4303" s="484"/>
    </row>
    <row r="4304" spans="1:6">
      <c r="A4304" s="482"/>
      <c r="B4304" s="485"/>
      <c r="C4304" s="485"/>
      <c r="D4304" s="485"/>
      <c r="E4304" s="485"/>
      <c r="F4304" s="485"/>
    </row>
    <row r="4305" spans="1:6">
      <c r="A4305" s="482"/>
      <c r="B4305" s="485"/>
      <c r="C4305" s="485"/>
      <c r="D4305" s="485"/>
      <c r="E4305" s="485"/>
      <c r="F4305" s="485"/>
    </row>
    <row r="4306" spans="1:6">
      <c r="A4306" s="482"/>
      <c r="B4306" s="485"/>
      <c r="C4306" s="485"/>
      <c r="D4306" s="485"/>
      <c r="E4306" s="485"/>
      <c r="F4306" s="485"/>
    </row>
    <row r="4307" spans="1:6">
      <c r="A4307" s="482"/>
      <c r="B4307" s="485"/>
      <c r="C4307" s="485"/>
      <c r="D4307" s="485"/>
      <c r="E4307" s="485"/>
      <c r="F4307" s="485"/>
    </row>
    <row r="4308" spans="1:6">
      <c r="A4308" s="482"/>
      <c r="B4308" s="485"/>
      <c r="C4308" s="485"/>
      <c r="D4308" s="485"/>
      <c r="E4308" s="485"/>
      <c r="F4308" s="485"/>
    </row>
    <row r="4309" spans="1:6">
      <c r="A4309" s="482"/>
      <c r="B4309" s="485"/>
      <c r="C4309" s="485"/>
      <c r="D4309" s="485"/>
      <c r="E4309" s="485"/>
      <c r="F4309" s="485"/>
    </row>
    <row r="4310" spans="1:6">
      <c r="A4310" s="482"/>
      <c r="B4310" s="485"/>
      <c r="C4310" s="485"/>
      <c r="D4310" s="485"/>
      <c r="E4310" s="485"/>
      <c r="F4310" s="485"/>
    </row>
    <row r="4311" spans="1:6">
      <c r="A4311" s="482"/>
      <c r="B4311" s="485"/>
      <c r="C4311" s="485"/>
      <c r="D4311" s="485"/>
      <c r="E4311" s="485"/>
      <c r="F4311" s="485"/>
    </row>
    <row r="4312" spans="1:6">
      <c r="A4312" s="482"/>
      <c r="B4312" s="485"/>
      <c r="C4312" s="485"/>
      <c r="D4312" s="485"/>
      <c r="E4312" s="485"/>
      <c r="F4312" s="485"/>
    </row>
    <row r="4313" spans="1:6">
      <c r="A4313" s="482"/>
      <c r="B4313" s="485"/>
      <c r="C4313" s="485"/>
      <c r="D4313" s="485"/>
      <c r="E4313" s="485"/>
      <c r="F4313" s="485"/>
    </row>
    <row r="4314" spans="1:6">
      <c r="A4314" s="482"/>
      <c r="B4314" s="485"/>
      <c r="C4314" s="485"/>
      <c r="D4314" s="485"/>
      <c r="E4314" s="485"/>
      <c r="F4314" s="485"/>
    </row>
    <row r="4315" spans="1:6">
      <c r="A4315" s="482"/>
      <c r="B4315" s="485"/>
      <c r="C4315" s="485"/>
      <c r="D4315" s="485"/>
      <c r="E4315" s="485"/>
      <c r="F4315" s="485"/>
    </row>
    <row r="4316" spans="1:6">
      <c r="A4316" s="482"/>
      <c r="B4316" s="485"/>
      <c r="C4316" s="485"/>
      <c r="D4316" s="485"/>
      <c r="E4316" s="485"/>
      <c r="F4316" s="485"/>
    </row>
    <row r="4317" spans="1:6">
      <c r="A4317" s="482"/>
      <c r="B4317" s="485"/>
      <c r="C4317" s="485"/>
      <c r="D4317" s="485"/>
      <c r="E4317" s="485"/>
      <c r="F4317" s="485"/>
    </row>
    <row r="4318" spans="1:6">
      <c r="A4318" s="482"/>
      <c r="B4318" s="485"/>
      <c r="C4318" s="485"/>
      <c r="D4318" s="485"/>
      <c r="E4318" s="485"/>
      <c r="F4318" s="485"/>
    </row>
    <row r="4319" spans="1:6">
      <c r="A4319" s="482"/>
      <c r="B4319" s="485"/>
      <c r="C4319" s="485"/>
      <c r="D4319" s="485"/>
      <c r="E4319" s="485"/>
      <c r="F4319" s="485"/>
    </row>
    <row r="4320" spans="1:6">
      <c r="A4320" s="482"/>
      <c r="B4320" s="485"/>
      <c r="C4320" s="485"/>
      <c r="D4320" s="485"/>
      <c r="E4320" s="485"/>
      <c r="F4320" s="485"/>
    </row>
    <row r="4321" spans="1:6">
      <c r="A4321" s="482"/>
      <c r="B4321" s="485"/>
      <c r="C4321" s="485"/>
      <c r="D4321" s="485"/>
      <c r="E4321" s="485"/>
      <c r="F4321" s="485"/>
    </row>
    <row r="4322" spans="1:6">
      <c r="A4322" s="482"/>
      <c r="B4322" s="485"/>
      <c r="C4322" s="485"/>
      <c r="D4322" s="485"/>
      <c r="E4322" s="485"/>
      <c r="F4322" s="485"/>
    </row>
    <row r="4323" spans="1:6">
      <c r="A4323" s="482"/>
      <c r="B4323" s="485"/>
      <c r="C4323" s="485"/>
      <c r="D4323" s="485"/>
      <c r="E4323" s="485"/>
      <c r="F4323" s="485"/>
    </row>
    <row r="4324" spans="1:6">
      <c r="A4324" s="482"/>
      <c r="B4324" s="485"/>
      <c r="C4324" s="485"/>
      <c r="D4324" s="485"/>
      <c r="E4324" s="485"/>
      <c r="F4324" s="485"/>
    </row>
    <row r="4325" spans="1:6">
      <c r="A4325" s="482"/>
      <c r="B4325" s="485"/>
      <c r="C4325" s="485"/>
      <c r="D4325" s="485"/>
      <c r="E4325" s="485"/>
      <c r="F4325" s="485"/>
    </row>
    <row r="4326" spans="1:6">
      <c r="A4326" s="482"/>
      <c r="B4326" s="485"/>
      <c r="C4326" s="485"/>
      <c r="D4326" s="485"/>
      <c r="E4326" s="485"/>
      <c r="F4326" s="485"/>
    </row>
    <row r="4327" spans="1:6">
      <c r="A4327" s="482"/>
      <c r="B4327" s="485"/>
      <c r="C4327" s="485"/>
      <c r="D4327" s="485"/>
      <c r="E4327" s="485"/>
      <c r="F4327" s="485"/>
    </row>
    <row r="4328" spans="1:6">
      <c r="A4328" s="482"/>
      <c r="B4328" s="485"/>
      <c r="C4328" s="485"/>
      <c r="D4328" s="485"/>
      <c r="E4328" s="485"/>
      <c r="F4328" s="485"/>
    </row>
    <row r="4329" spans="1:6">
      <c r="A4329" s="482"/>
      <c r="B4329" s="485"/>
      <c r="C4329" s="485"/>
      <c r="D4329" s="485"/>
      <c r="E4329" s="485"/>
      <c r="F4329" s="485"/>
    </row>
    <row r="4330" spans="1:6">
      <c r="A4330" s="482"/>
      <c r="B4330" s="485"/>
      <c r="C4330" s="485"/>
      <c r="D4330" s="485"/>
      <c r="E4330" s="485"/>
      <c r="F4330" s="485"/>
    </row>
    <row r="4331" spans="1:6">
      <c r="A4331" s="482"/>
      <c r="B4331" s="485"/>
      <c r="C4331" s="485"/>
      <c r="D4331" s="485"/>
      <c r="E4331" s="485"/>
      <c r="F4331" s="485"/>
    </row>
    <row r="4332" spans="1:6">
      <c r="A4332" s="482"/>
      <c r="B4332" s="485"/>
      <c r="C4332" s="485"/>
      <c r="D4332" s="485"/>
      <c r="E4332" s="485"/>
      <c r="F4332" s="485"/>
    </row>
    <row r="4333" spans="1:6">
      <c r="A4333" s="482"/>
      <c r="B4333" s="485"/>
      <c r="C4333" s="485"/>
      <c r="D4333" s="485"/>
      <c r="E4333" s="485"/>
      <c r="F4333" s="485"/>
    </row>
    <row r="4334" spans="1:6">
      <c r="A4334" s="482"/>
      <c r="B4334" s="485"/>
      <c r="C4334" s="485"/>
      <c r="D4334" s="485"/>
      <c r="E4334" s="485"/>
      <c r="F4334" s="485"/>
    </row>
    <row r="4335" spans="1:6">
      <c r="A4335" s="482"/>
      <c r="B4335" s="485"/>
      <c r="C4335" s="485"/>
      <c r="D4335" s="485"/>
      <c r="E4335" s="485"/>
      <c r="F4335" s="485"/>
    </row>
    <row r="4336" spans="1:6">
      <c r="A4336" s="482"/>
      <c r="B4336" s="485"/>
      <c r="C4336" s="485"/>
      <c r="D4336" s="485"/>
      <c r="E4336" s="485"/>
      <c r="F4336" s="485"/>
    </row>
    <row r="4337" spans="1:6">
      <c r="A4337" s="482"/>
      <c r="B4337" s="485"/>
      <c r="C4337" s="485"/>
      <c r="D4337" s="485"/>
      <c r="E4337" s="485"/>
      <c r="F4337" s="485"/>
    </row>
    <row r="4338" spans="1:6">
      <c r="A4338" s="482"/>
      <c r="B4338" s="485"/>
      <c r="C4338" s="485"/>
      <c r="D4338" s="485"/>
      <c r="E4338" s="485"/>
      <c r="F4338" s="485"/>
    </row>
    <row r="4339" spans="1:6">
      <c r="A4339" s="482"/>
      <c r="B4339" s="485"/>
      <c r="C4339" s="485"/>
      <c r="D4339" s="485"/>
      <c r="E4339" s="485"/>
      <c r="F4339" s="485"/>
    </row>
    <row r="4340" spans="1:6">
      <c r="A4340" s="482"/>
      <c r="B4340" s="485"/>
      <c r="C4340" s="485"/>
      <c r="D4340" s="485"/>
      <c r="E4340" s="485"/>
      <c r="F4340" s="485"/>
    </row>
    <row r="4341" spans="1:6">
      <c r="A4341" s="482"/>
      <c r="B4341" s="485"/>
      <c r="C4341" s="485"/>
      <c r="D4341" s="485"/>
      <c r="E4341" s="485"/>
      <c r="F4341" s="485"/>
    </row>
    <row r="4342" spans="1:6">
      <c r="A4342" s="482"/>
      <c r="B4342" s="485"/>
      <c r="C4342" s="485"/>
      <c r="D4342" s="485"/>
      <c r="E4342" s="485"/>
      <c r="F4342" s="485"/>
    </row>
    <row r="4343" spans="1:6">
      <c r="A4343" s="482"/>
      <c r="B4343" s="485"/>
      <c r="C4343" s="485"/>
      <c r="D4343" s="485"/>
      <c r="E4343" s="485"/>
      <c r="F4343" s="485"/>
    </row>
    <row r="4344" spans="1:6">
      <c r="A4344" s="482"/>
      <c r="B4344" s="485"/>
      <c r="C4344" s="485"/>
      <c r="D4344" s="485"/>
      <c r="E4344" s="485"/>
      <c r="F4344" s="485"/>
    </row>
    <row r="4345" spans="1:6">
      <c r="A4345" s="482"/>
      <c r="B4345" s="485"/>
      <c r="C4345" s="485"/>
      <c r="D4345" s="485"/>
      <c r="E4345" s="485"/>
      <c r="F4345" s="485"/>
    </row>
    <row r="4346" spans="1:6">
      <c r="A4346" s="482"/>
      <c r="B4346" s="485"/>
      <c r="C4346" s="485"/>
      <c r="D4346" s="485"/>
      <c r="E4346" s="485"/>
      <c r="F4346" s="485"/>
    </row>
    <row r="4347" spans="1:6">
      <c r="A4347" s="482"/>
      <c r="B4347" s="485"/>
      <c r="C4347" s="485"/>
      <c r="D4347" s="485"/>
      <c r="E4347" s="485"/>
      <c r="F4347" s="485"/>
    </row>
    <row r="4348" spans="1:6">
      <c r="A4348" s="482"/>
      <c r="B4348" s="485"/>
      <c r="C4348" s="485"/>
      <c r="D4348" s="485"/>
      <c r="E4348" s="485"/>
      <c r="F4348" s="485"/>
    </row>
    <row r="4349" spans="1:6">
      <c r="A4349" s="482"/>
      <c r="B4349" s="485"/>
      <c r="C4349" s="485"/>
      <c r="D4349" s="485"/>
      <c r="E4349" s="485"/>
      <c r="F4349" s="485"/>
    </row>
    <row r="4350" spans="1:6">
      <c r="A4350" s="482"/>
      <c r="B4350" s="485"/>
      <c r="C4350" s="485"/>
      <c r="D4350" s="485"/>
      <c r="E4350" s="485"/>
      <c r="F4350" s="485"/>
    </row>
    <row r="4351" spans="1:6">
      <c r="A4351" s="482"/>
      <c r="B4351" s="485"/>
      <c r="C4351" s="485"/>
      <c r="D4351" s="485"/>
      <c r="E4351" s="485"/>
      <c r="F4351" s="485"/>
    </row>
    <row r="4352" spans="1:6">
      <c r="A4352" s="482"/>
      <c r="B4352" s="485"/>
      <c r="C4352" s="485"/>
      <c r="D4352" s="485"/>
      <c r="E4352" s="485"/>
      <c r="F4352" s="485"/>
    </row>
    <row r="4353" spans="1:6">
      <c r="A4353" s="482"/>
      <c r="B4353" s="485"/>
      <c r="C4353" s="485"/>
      <c r="D4353" s="485"/>
      <c r="E4353" s="485"/>
      <c r="F4353" s="485"/>
    </row>
    <row r="4354" spans="1:6">
      <c r="A4354" s="482"/>
      <c r="B4354" s="485"/>
      <c r="C4354" s="485"/>
      <c r="D4354" s="485"/>
      <c r="E4354" s="485"/>
      <c r="F4354" s="485"/>
    </row>
    <row r="4355" spans="1:6">
      <c r="A4355" s="482"/>
      <c r="B4355" s="485"/>
      <c r="C4355" s="485"/>
      <c r="D4355" s="485"/>
      <c r="E4355" s="485"/>
      <c r="F4355" s="485"/>
    </row>
    <row r="4356" spans="1:6">
      <c r="A4356" s="482"/>
      <c r="B4356" s="485"/>
      <c r="C4356" s="485"/>
      <c r="D4356" s="485"/>
      <c r="E4356" s="485"/>
      <c r="F4356" s="485"/>
    </row>
    <row r="4357" spans="1:6">
      <c r="A4357" s="482"/>
      <c r="B4357" s="485"/>
      <c r="C4357" s="485"/>
      <c r="D4357" s="485"/>
      <c r="E4357" s="485"/>
      <c r="F4357" s="485"/>
    </row>
    <row r="4358" spans="1:6">
      <c r="A4358" s="482"/>
      <c r="B4358" s="485"/>
      <c r="C4358" s="485"/>
      <c r="D4358" s="485"/>
      <c r="E4358" s="485"/>
      <c r="F4358" s="485"/>
    </row>
    <row r="4359" spans="1:6">
      <c r="A4359" s="482"/>
      <c r="B4359" s="485"/>
      <c r="C4359" s="485"/>
      <c r="D4359" s="485"/>
      <c r="E4359" s="485"/>
      <c r="F4359" s="485"/>
    </row>
    <row r="4360" spans="1:6">
      <c r="A4360" s="482"/>
      <c r="B4360" s="485"/>
      <c r="C4360" s="485"/>
      <c r="D4360" s="485"/>
      <c r="E4360" s="485"/>
      <c r="F4360" s="485"/>
    </row>
    <row r="4361" spans="1:6">
      <c r="A4361" s="482"/>
      <c r="B4361" s="485"/>
      <c r="C4361" s="485"/>
      <c r="D4361" s="485"/>
      <c r="E4361" s="485"/>
      <c r="F4361" s="485"/>
    </row>
    <row r="4362" spans="1:6">
      <c r="A4362" s="482"/>
      <c r="B4362" s="485"/>
      <c r="C4362" s="485"/>
      <c r="D4362" s="485"/>
      <c r="E4362" s="485"/>
      <c r="F4362" s="485"/>
    </row>
    <row r="4363" spans="1:6">
      <c r="A4363" s="482"/>
      <c r="B4363" s="485"/>
      <c r="C4363" s="485"/>
      <c r="D4363" s="485"/>
      <c r="E4363" s="485"/>
      <c r="F4363" s="485"/>
    </row>
    <row r="4364" spans="1:6">
      <c r="A4364" s="482"/>
      <c r="B4364" s="485"/>
      <c r="C4364" s="485"/>
      <c r="D4364" s="485"/>
      <c r="E4364" s="485"/>
      <c r="F4364" s="485"/>
    </row>
    <row r="4365" spans="1:6">
      <c r="A4365" s="482"/>
      <c r="B4365" s="485"/>
      <c r="C4365" s="485"/>
      <c r="D4365" s="485"/>
      <c r="E4365" s="485"/>
      <c r="F4365" s="485"/>
    </row>
    <row r="4366" spans="1:6">
      <c r="A4366" s="482"/>
      <c r="B4366" s="485"/>
      <c r="C4366" s="485"/>
      <c r="D4366" s="485"/>
      <c r="E4366" s="485"/>
      <c r="F4366" s="485"/>
    </row>
    <row r="4367" spans="1:6">
      <c r="A4367" s="482"/>
      <c r="B4367" s="485"/>
      <c r="C4367" s="485"/>
      <c r="D4367" s="485"/>
      <c r="E4367" s="485"/>
      <c r="F4367" s="485"/>
    </row>
    <row r="4368" spans="1:6">
      <c r="A4368" s="482"/>
      <c r="B4368" s="485"/>
      <c r="C4368" s="485"/>
      <c r="D4368" s="485"/>
      <c r="E4368" s="485"/>
      <c r="F4368" s="485"/>
    </row>
    <row r="4369" spans="1:6">
      <c r="A4369" s="482"/>
      <c r="B4369" s="485"/>
      <c r="C4369" s="485"/>
      <c r="D4369" s="485"/>
      <c r="E4369" s="485"/>
      <c r="F4369" s="485"/>
    </row>
    <row r="4370" spans="1:6">
      <c r="A4370" s="482"/>
      <c r="B4370" s="485"/>
      <c r="C4370" s="485"/>
      <c r="D4370" s="485"/>
      <c r="E4370" s="485"/>
      <c r="F4370" s="485"/>
    </row>
    <row r="4371" spans="1:6">
      <c r="A4371" s="482"/>
      <c r="B4371" s="485"/>
      <c r="C4371" s="485"/>
      <c r="D4371" s="485"/>
      <c r="E4371" s="485"/>
      <c r="F4371" s="485"/>
    </row>
    <row r="4372" spans="1:6">
      <c r="A4372" s="482"/>
      <c r="B4372" s="485"/>
      <c r="C4372" s="485"/>
      <c r="D4372" s="485"/>
      <c r="E4372" s="485"/>
      <c r="F4372" s="485"/>
    </row>
    <row r="4373" spans="1:6">
      <c r="A4373" s="482"/>
      <c r="B4373" s="485"/>
      <c r="C4373" s="485"/>
      <c r="D4373" s="485"/>
      <c r="E4373" s="485"/>
      <c r="F4373" s="485"/>
    </row>
    <row r="4374" spans="1:6">
      <c r="A4374" s="482"/>
      <c r="B4374" s="485"/>
      <c r="C4374" s="485"/>
      <c r="D4374" s="485"/>
      <c r="E4374" s="485"/>
      <c r="F4374" s="485"/>
    </row>
    <row r="4375" spans="1:6">
      <c r="A4375" s="482"/>
      <c r="B4375" s="485"/>
      <c r="C4375" s="485"/>
      <c r="D4375" s="485"/>
      <c r="E4375" s="485"/>
      <c r="F4375" s="485"/>
    </row>
    <row r="4376" spans="1:6">
      <c r="A4376" s="482"/>
      <c r="B4376" s="485"/>
      <c r="C4376" s="485"/>
      <c r="D4376" s="485"/>
      <c r="E4376" s="485"/>
      <c r="F4376" s="485"/>
    </row>
    <row r="4377" spans="1:6">
      <c r="A4377" s="482"/>
      <c r="B4377" s="485"/>
      <c r="C4377" s="485"/>
      <c r="D4377" s="485"/>
      <c r="E4377" s="485"/>
      <c r="F4377" s="485"/>
    </row>
    <row r="4378" spans="1:6">
      <c r="A4378" s="482"/>
      <c r="B4378" s="485"/>
      <c r="C4378" s="485"/>
      <c r="D4378" s="485"/>
      <c r="E4378" s="485"/>
      <c r="F4378" s="485"/>
    </row>
    <row r="4379" spans="1:6">
      <c r="A4379" s="482"/>
      <c r="B4379" s="485"/>
      <c r="C4379" s="485"/>
      <c r="D4379" s="485"/>
      <c r="E4379" s="485"/>
      <c r="F4379" s="485"/>
    </row>
    <row r="4380" spans="1:6">
      <c r="A4380" s="482"/>
      <c r="B4380" s="485"/>
      <c r="C4380" s="485"/>
      <c r="D4380" s="485"/>
      <c r="E4380" s="485"/>
      <c r="F4380" s="485"/>
    </row>
    <row r="4381" spans="1:6">
      <c r="A4381" s="482"/>
      <c r="B4381" s="485"/>
      <c r="C4381" s="485"/>
      <c r="D4381" s="485"/>
      <c r="E4381" s="485"/>
      <c r="F4381" s="485"/>
    </row>
    <row r="4382" spans="1:6">
      <c r="A4382" s="482"/>
      <c r="B4382" s="485"/>
      <c r="C4382" s="485"/>
      <c r="D4382" s="485"/>
      <c r="E4382" s="485"/>
      <c r="F4382" s="485"/>
    </row>
    <row r="4383" spans="1:6">
      <c r="A4383" s="482"/>
      <c r="B4383" s="485"/>
      <c r="C4383" s="485"/>
      <c r="D4383" s="485"/>
      <c r="E4383" s="485"/>
      <c r="F4383" s="485"/>
    </row>
    <row r="4384" spans="1:6">
      <c r="A4384" s="482"/>
      <c r="B4384" s="485"/>
      <c r="C4384" s="485"/>
      <c r="D4384" s="485"/>
      <c r="E4384" s="485"/>
      <c r="F4384" s="485"/>
    </row>
    <row r="4385" spans="1:6">
      <c r="A4385" s="482"/>
      <c r="B4385" s="485"/>
      <c r="C4385" s="485"/>
      <c r="D4385" s="485"/>
      <c r="E4385" s="485"/>
      <c r="F4385" s="485"/>
    </row>
    <row r="4386" spans="1:6">
      <c r="A4386" s="482"/>
      <c r="B4386" s="485"/>
      <c r="C4386" s="485"/>
      <c r="D4386" s="485"/>
      <c r="E4386" s="485"/>
      <c r="F4386" s="485"/>
    </row>
    <row r="4387" spans="1:6">
      <c r="A4387" s="482"/>
      <c r="B4387" s="485"/>
      <c r="C4387" s="485"/>
      <c r="D4387" s="485"/>
      <c r="E4387" s="485"/>
      <c r="F4387" s="485"/>
    </row>
    <row r="4388" spans="1:6">
      <c r="A4388" s="482"/>
      <c r="B4388" s="485"/>
      <c r="C4388" s="485"/>
      <c r="D4388" s="485"/>
      <c r="E4388" s="485"/>
      <c r="F4388" s="485"/>
    </row>
    <row r="4389" spans="1:6">
      <c r="A4389" s="482"/>
      <c r="B4389" s="485"/>
      <c r="C4389" s="485"/>
      <c r="D4389" s="485"/>
      <c r="E4389" s="485"/>
      <c r="F4389" s="485"/>
    </row>
    <row r="4390" spans="1:6">
      <c r="A4390" s="482"/>
      <c r="B4390" s="485"/>
      <c r="C4390" s="485"/>
      <c r="D4390" s="485"/>
      <c r="E4390" s="485"/>
      <c r="F4390" s="485"/>
    </row>
    <row r="4391" spans="1:6">
      <c r="A4391" s="482"/>
      <c r="B4391" s="485"/>
      <c r="C4391" s="485"/>
      <c r="D4391" s="485"/>
      <c r="E4391" s="485"/>
      <c r="F4391" s="485"/>
    </row>
    <row r="4392" spans="1:6">
      <c r="A4392" s="482"/>
      <c r="B4392" s="485"/>
      <c r="C4392" s="485"/>
      <c r="D4392" s="485"/>
      <c r="E4392" s="485"/>
      <c r="F4392" s="485"/>
    </row>
    <row r="4393" spans="1:6">
      <c r="A4393" s="482"/>
      <c r="B4393" s="485"/>
      <c r="C4393" s="485"/>
      <c r="D4393" s="485"/>
      <c r="E4393" s="485"/>
      <c r="F4393" s="485"/>
    </row>
    <row r="4394" spans="1:6">
      <c r="A4394" s="482"/>
      <c r="B4394" s="485"/>
      <c r="C4394" s="485"/>
      <c r="D4394" s="485"/>
      <c r="E4394" s="485"/>
      <c r="F4394" s="485"/>
    </row>
    <row r="4395" spans="1:6">
      <c r="A4395" s="482"/>
      <c r="B4395" s="485"/>
      <c r="C4395" s="485"/>
      <c r="D4395" s="485"/>
      <c r="E4395" s="485"/>
      <c r="F4395" s="485"/>
    </row>
    <row r="4396" spans="1:6">
      <c r="A4396" s="482"/>
      <c r="B4396" s="485"/>
      <c r="C4396" s="485"/>
      <c r="D4396" s="485"/>
      <c r="E4396" s="485"/>
      <c r="F4396" s="485"/>
    </row>
    <row r="4397" spans="1:6">
      <c r="A4397" s="482"/>
      <c r="B4397" s="485"/>
      <c r="C4397" s="485"/>
      <c r="D4397" s="485"/>
      <c r="E4397" s="485"/>
      <c r="F4397" s="485"/>
    </row>
    <row r="4398" spans="1:6">
      <c r="A4398" s="482"/>
      <c r="B4398" s="485"/>
      <c r="C4398" s="485"/>
      <c r="D4398" s="485"/>
      <c r="E4398" s="485"/>
      <c r="F4398" s="485"/>
    </row>
    <row r="4399" spans="1:6">
      <c r="A4399" s="482"/>
      <c r="B4399" s="485"/>
      <c r="C4399" s="485"/>
      <c r="D4399" s="485"/>
      <c r="E4399" s="485"/>
      <c r="F4399" s="485"/>
    </row>
    <row r="4400" spans="1:6">
      <c r="A4400" s="482"/>
      <c r="B4400" s="485"/>
      <c r="C4400" s="485"/>
      <c r="D4400" s="485"/>
      <c r="E4400" s="485"/>
      <c r="F4400" s="485"/>
    </row>
    <row r="4401" spans="1:6">
      <c r="A4401" s="482"/>
      <c r="B4401" s="485"/>
      <c r="C4401" s="485"/>
      <c r="D4401" s="485"/>
      <c r="E4401" s="485"/>
      <c r="F4401" s="485"/>
    </row>
    <row r="4402" spans="1:6">
      <c r="A4402" s="482"/>
      <c r="B4402" s="485"/>
      <c r="C4402" s="485"/>
      <c r="D4402" s="485"/>
      <c r="E4402" s="485"/>
      <c r="F4402" s="485"/>
    </row>
    <row r="4403" spans="1:6">
      <c r="A4403" s="482"/>
      <c r="B4403" s="485"/>
      <c r="C4403" s="485"/>
      <c r="D4403" s="485"/>
      <c r="E4403" s="485"/>
      <c r="F4403" s="485"/>
    </row>
    <row r="4404" spans="1:6">
      <c r="A4404" s="482"/>
      <c r="B4404" s="485"/>
      <c r="C4404" s="485"/>
      <c r="D4404" s="485"/>
      <c r="E4404" s="485"/>
      <c r="F4404" s="485"/>
    </row>
    <row r="4405" spans="1:6">
      <c r="A4405" s="482"/>
      <c r="B4405" s="485"/>
      <c r="C4405" s="485"/>
      <c r="D4405" s="485"/>
      <c r="E4405" s="485"/>
      <c r="F4405" s="485"/>
    </row>
    <row r="4406" spans="1:6">
      <c r="A4406" s="482"/>
      <c r="B4406" s="485"/>
      <c r="C4406" s="485"/>
      <c r="D4406" s="485"/>
      <c r="E4406" s="485"/>
      <c r="F4406" s="485"/>
    </row>
    <row r="4407" spans="1:6">
      <c r="A4407" s="482"/>
      <c r="B4407" s="485"/>
      <c r="C4407" s="485"/>
      <c r="D4407" s="485"/>
      <c r="E4407" s="485"/>
      <c r="F4407" s="485"/>
    </row>
    <row r="4408" spans="1:6">
      <c r="A4408" s="482"/>
      <c r="B4408" s="485"/>
      <c r="C4408" s="485"/>
      <c r="D4408" s="485"/>
      <c r="E4408" s="485"/>
      <c r="F4408" s="485"/>
    </row>
    <row r="4409" spans="1:6">
      <c r="A4409" s="482"/>
      <c r="B4409" s="485"/>
      <c r="C4409" s="485"/>
      <c r="D4409" s="485"/>
      <c r="E4409" s="485"/>
      <c r="F4409" s="485"/>
    </row>
    <row r="4410" spans="1:6">
      <c r="A4410" s="482"/>
      <c r="B4410" s="485"/>
      <c r="C4410" s="485"/>
      <c r="D4410" s="485"/>
      <c r="E4410" s="485"/>
      <c r="F4410" s="485"/>
    </row>
    <row r="4411" spans="1:6">
      <c r="A4411" s="482"/>
      <c r="B4411" s="485"/>
      <c r="C4411" s="485"/>
      <c r="D4411" s="485"/>
      <c r="E4411" s="485"/>
      <c r="F4411" s="485"/>
    </row>
    <row r="4412" spans="1:6">
      <c r="A4412" s="482"/>
      <c r="B4412" s="485"/>
      <c r="C4412" s="485"/>
      <c r="D4412" s="485"/>
      <c r="E4412" s="485"/>
      <c r="F4412" s="485"/>
    </row>
    <row r="4413" spans="1:6">
      <c r="A4413" s="482"/>
      <c r="B4413" s="485"/>
      <c r="C4413" s="485"/>
      <c r="D4413" s="485"/>
      <c r="E4413" s="485"/>
      <c r="F4413" s="485"/>
    </row>
    <row r="4414" spans="1:6">
      <c r="A4414" s="482"/>
      <c r="B4414" s="485"/>
      <c r="C4414" s="485"/>
      <c r="D4414" s="485"/>
      <c r="E4414" s="485"/>
      <c r="F4414" s="485"/>
    </row>
    <row r="4415" spans="1:6">
      <c r="A4415" s="482"/>
      <c r="B4415" s="485"/>
      <c r="C4415" s="485"/>
      <c r="D4415" s="485"/>
      <c r="E4415" s="485"/>
      <c r="F4415" s="485"/>
    </row>
    <row r="4416" spans="1:6">
      <c r="A4416" s="482"/>
      <c r="B4416" s="485"/>
      <c r="C4416" s="485"/>
      <c r="D4416" s="485"/>
      <c r="E4416" s="485"/>
      <c r="F4416" s="485"/>
    </row>
    <row r="4417" spans="1:6">
      <c r="A4417" s="482"/>
      <c r="B4417" s="485"/>
      <c r="C4417" s="485"/>
      <c r="D4417" s="485"/>
      <c r="E4417" s="485"/>
      <c r="F4417" s="485"/>
    </row>
    <row r="4418" spans="1:6">
      <c r="A4418" s="482"/>
      <c r="B4418" s="485"/>
      <c r="C4418" s="485"/>
      <c r="D4418" s="485"/>
      <c r="E4418" s="485"/>
      <c r="F4418" s="485"/>
    </row>
    <row r="4419" spans="1:6">
      <c r="A4419" s="482"/>
      <c r="B4419" s="485"/>
      <c r="C4419" s="485"/>
      <c r="D4419" s="485"/>
      <c r="E4419" s="485"/>
      <c r="F4419" s="485"/>
    </row>
    <row r="4420" spans="1:6">
      <c r="A4420" s="482"/>
      <c r="B4420" s="485"/>
      <c r="C4420" s="485"/>
      <c r="D4420" s="485"/>
      <c r="E4420" s="485"/>
      <c r="F4420" s="485"/>
    </row>
    <row r="4421" spans="1:6">
      <c r="A4421" s="482"/>
      <c r="B4421" s="485"/>
      <c r="C4421" s="485"/>
      <c r="D4421" s="485"/>
      <c r="E4421" s="485"/>
      <c r="F4421" s="485"/>
    </row>
    <row r="4422" spans="1:6">
      <c r="A4422" s="482"/>
      <c r="B4422" s="485"/>
      <c r="C4422" s="485"/>
      <c r="D4422" s="485"/>
      <c r="E4422" s="485"/>
      <c r="F4422" s="485"/>
    </row>
    <row r="4423" spans="1:6">
      <c r="A4423" s="482"/>
      <c r="B4423" s="485"/>
      <c r="C4423" s="485"/>
      <c r="D4423" s="485"/>
      <c r="E4423" s="485"/>
      <c r="F4423" s="485"/>
    </row>
    <row r="4424" spans="1:6">
      <c r="A4424" s="482"/>
      <c r="B4424" s="485"/>
      <c r="C4424" s="485"/>
      <c r="D4424" s="485"/>
      <c r="E4424" s="485"/>
      <c r="F4424" s="485"/>
    </row>
    <row r="4425" spans="1:6">
      <c r="A4425" s="482"/>
      <c r="B4425" s="485"/>
      <c r="C4425" s="485"/>
      <c r="D4425" s="485"/>
      <c r="E4425" s="485"/>
      <c r="F4425" s="485"/>
    </row>
    <row r="4426" spans="1:6">
      <c r="A4426" s="482"/>
      <c r="B4426" s="485"/>
      <c r="C4426" s="485"/>
      <c r="D4426" s="485"/>
      <c r="E4426" s="485"/>
      <c r="F4426" s="485"/>
    </row>
    <row r="4427" spans="1:6">
      <c r="A4427" s="482"/>
      <c r="B4427" s="485"/>
      <c r="C4427" s="485"/>
      <c r="D4427" s="485"/>
      <c r="E4427" s="485"/>
      <c r="F4427" s="485"/>
    </row>
    <row r="4428" spans="1:6">
      <c r="A4428" s="482"/>
      <c r="B4428" s="485"/>
      <c r="C4428" s="485"/>
      <c r="D4428" s="485"/>
      <c r="E4428" s="485"/>
      <c r="F4428" s="485"/>
    </row>
    <row r="4429" spans="1:6">
      <c r="A4429" s="482"/>
      <c r="B4429" s="485"/>
      <c r="C4429" s="485"/>
      <c r="D4429" s="485"/>
      <c r="E4429" s="485"/>
      <c r="F4429" s="485"/>
    </row>
    <row r="4430" spans="1:6">
      <c r="A4430" s="482"/>
      <c r="B4430" s="485"/>
      <c r="C4430" s="485"/>
      <c r="D4430" s="485"/>
      <c r="E4430" s="485"/>
      <c r="F4430" s="485"/>
    </row>
    <row r="4431" spans="1:6">
      <c r="A4431" s="482"/>
      <c r="B4431" s="485"/>
      <c r="C4431" s="485"/>
      <c r="D4431" s="485"/>
      <c r="E4431" s="485"/>
      <c r="F4431" s="485"/>
    </row>
    <row r="4432" spans="1:6">
      <c r="A4432" s="482"/>
      <c r="B4432" s="485"/>
      <c r="C4432" s="485"/>
      <c r="D4432" s="485"/>
      <c r="E4432" s="485"/>
      <c r="F4432" s="485"/>
    </row>
    <row r="4433" spans="1:6">
      <c r="A4433" s="482"/>
      <c r="B4433" s="485"/>
      <c r="C4433" s="485"/>
      <c r="D4433" s="485"/>
      <c r="E4433" s="485"/>
      <c r="F4433" s="485"/>
    </row>
    <row r="4434" spans="1:6">
      <c r="A4434" s="482"/>
      <c r="B4434" s="485"/>
      <c r="C4434" s="485"/>
      <c r="D4434" s="485"/>
      <c r="E4434" s="485"/>
      <c r="F4434" s="485"/>
    </row>
    <row r="4435" spans="1:6">
      <c r="A4435" s="482"/>
      <c r="B4435" s="485"/>
      <c r="C4435" s="485"/>
      <c r="D4435" s="485"/>
      <c r="E4435" s="485"/>
      <c r="F4435" s="485"/>
    </row>
    <row r="4436" spans="1:6">
      <c r="A4436" s="482"/>
      <c r="B4436" s="485"/>
      <c r="C4436" s="485"/>
      <c r="D4436" s="485"/>
      <c r="E4436" s="485"/>
      <c r="F4436" s="485"/>
    </row>
    <row r="4437" spans="1:6">
      <c r="A4437" s="482"/>
      <c r="B4437" s="485"/>
      <c r="C4437" s="485"/>
      <c r="D4437" s="485"/>
      <c r="E4437" s="485"/>
      <c r="F4437" s="485"/>
    </row>
    <row r="4438" spans="1:6">
      <c r="A4438" s="482"/>
      <c r="B4438" s="485"/>
      <c r="C4438" s="485"/>
      <c r="D4438" s="485"/>
      <c r="E4438" s="485"/>
      <c r="F4438" s="485"/>
    </row>
    <row r="4439" spans="1:6">
      <c r="A4439" s="482"/>
      <c r="B4439" s="485"/>
      <c r="C4439" s="485"/>
      <c r="D4439" s="485"/>
      <c r="E4439" s="485"/>
      <c r="F4439" s="485"/>
    </row>
    <row r="4440" spans="1:6">
      <c r="A4440" s="482"/>
      <c r="B4440" s="485"/>
      <c r="C4440" s="485"/>
      <c r="D4440" s="485"/>
      <c r="E4440" s="485"/>
      <c r="F4440" s="485"/>
    </row>
    <row r="4441" spans="1:6">
      <c r="A4441" s="482"/>
      <c r="B4441" s="485"/>
      <c r="C4441" s="485"/>
      <c r="D4441" s="485"/>
      <c r="E4441" s="485"/>
      <c r="F4441" s="485"/>
    </row>
    <row r="4442" spans="1:6">
      <c r="A4442" s="482"/>
      <c r="B4442" s="485"/>
      <c r="C4442" s="485"/>
      <c r="D4442" s="485"/>
      <c r="E4442" s="485"/>
      <c r="F4442" s="485"/>
    </row>
    <row r="4443" spans="1:6">
      <c r="A4443" s="482"/>
      <c r="B4443" s="485"/>
      <c r="C4443" s="485"/>
      <c r="D4443" s="485"/>
      <c r="E4443" s="485"/>
      <c r="F4443" s="485"/>
    </row>
    <row r="4444" spans="1:6">
      <c r="A4444" s="482"/>
      <c r="B4444" s="485"/>
      <c r="C4444" s="485"/>
      <c r="D4444" s="485"/>
      <c r="E4444" s="485"/>
      <c r="F4444" s="485"/>
    </row>
    <row r="4445" spans="1:6">
      <c r="A4445" s="482"/>
      <c r="B4445" s="485"/>
      <c r="C4445" s="485"/>
      <c r="D4445" s="485"/>
      <c r="E4445" s="485"/>
      <c r="F4445" s="485"/>
    </row>
    <row r="4446" spans="1:6">
      <c r="A4446" s="482"/>
      <c r="B4446" s="485"/>
      <c r="C4446" s="485"/>
      <c r="D4446" s="485"/>
      <c r="E4446" s="485"/>
      <c r="F4446" s="485"/>
    </row>
    <row r="4447" spans="1:6">
      <c r="A4447" s="482"/>
      <c r="B4447" s="485"/>
      <c r="C4447" s="485"/>
      <c r="D4447" s="485"/>
      <c r="E4447" s="485"/>
      <c r="F4447" s="485"/>
    </row>
    <row r="4448" spans="1:6">
      <c r="A4448" s="482"/>
      <c r="B4448" s="485"/>
      <c r="C4448" s="485"/>
      <c r="D4448" s="485"/>
      <c r="E4448" s="485"/>
      <c r="F4448" s="485"/>
    </row>
    <row r="4449" spans="1:6">
      <c r="A4449" s="482"/>
      <c r="B4449" s="485"/>
      <c r="C4449" s="485"/>
      <c r="D4449" s="485"/>
      <c r="E4449" s="485"/>
      <c r="F4449" s="485"/>
    </row>
    <row r="4450" spans="1:6">
      <c r="A4450" s="482"/>
      <c r="B4450" s="485"/>
      <c r="C4450" s="485"/>
      <c r="D4450" s="485"/>
      <c r="E4450" s="485"/>
      <c r="F4450" s="485"/>
    </row>
    <row r="4451" spans="1:6">
      <c r="A4451" s="482"/>
      <c r="B4451" s="485"/>
      <c r="C4451" s="485"/>
      <c r="D4451" s="485"/>
      <c r="E4451" s="485"/>
      <c r="F4451" s="485"/>
    </row>
    <row r="4452" spans="1:6">
      <c r="A4452" s="482"/>
      <c r="B4452" s="485"/>
      <c r="C4452" s="485"/>
      <c r="D4452" s="485"/>
      <c r="E4452" s="485"/>
      <c r="F4452" s="485"/>
    </row>
    <row r="4453" spans="1:6">
      <c r="A4453" s="482"/>
      <c r="B4453" s="485"/>
      <c r="C4453" s="485"/>
      <c r="D4453" s="485"/>
      <c r="E4453" s="485"/>
      <c r="F4453" s="485"/>
    </row>
    <row r="4454" spans="1:6">
      <c r="A4454" s="482"/>
      <c r="B4454" s="485"/>
      <c r="C4454" s="485"/>
      <c r="D4454" s="485"/>
      <c r="E4454" s="485"/>
      <c r="F4454" s="485"/>
    </row>
    <row r="4455" spans="1:6">
      <c r="A4455" s="482"/>
      <c r="B4455" s="485"/>
      <c r="C4455" s="485"/>
      <c r="D4455" s="485"/>
      <c r="E4455" s="485"/>
      <c r="F4455" s="485"/>
    </row>
    <row r="4456" spans="1:6">
      <c r="A4456" s="482"/>
      <c r="B4456" s="485"/>
      <c r="C4456" s="485"/>
      <c r="D4456" s="485"/>
      <c r="E4456" s="485"/>
      <c r="F4456" s="485"/>
    </row>
    <row r="4457" spans="1:6">
      <c r="A4457" s="482"/>
      <c r="B4457" s="485"/>
      <c r="C4457" s="485"/>
      <c r="D4457" s="485"/>
      <c r="E4457" s="485"/>
      <c r="F4457" s="485"/>
    </row>
    <row r="4458" spans="1:6">
      <c r="A4458" s="482"/>
      <c r="B4458" s="485"/>
      <c r="C4458" s="485"/>
      <c r="D4458" s="485"/>
      <c r="E4458" s="485"/>
      <c r="F4458" s="485"/>
    </row>
    <row r="4459" spans="1:6">
      <c r="A4459" s="482"/>
      <c r="B4459" s="485"/>
      <c r="C4459" s="485"/>
      <c r="D4459" s="485"/>
      <c r="E4459" s="485"/>
      <c r="F4459" s="485"/>
    </row>
    <row r="4460" spans="1:6">
      <c r="A4460" s="482"/>
      <c r="B4460" s="485"/>
      <c r="C4460" s="485"/>
      <c r="D4460" s="485"/>
      <c r="E4460" s="485"/>
      <c r="F4460" s="485"/>
    </row>
    <row r="4461" spans="1:6">
      <c r="A4461" s="482"/>
      <c r="B4461" s="485"/>
      <c r="C4461" s="485"/>
      <c r="D4461" s="485"/>
      <c r="E4461" s="485"/>
      <c r="F4461" s="485"/>
    </row>
    <row r="4462" spans="1:6">
      <c r="A4462" s="482"/>
      <c r="B4462" s="485"/>
      <c r="C4462" s="485"/>
      <c r="D4462" s="485"/>
      <c r="E4462" s="485"/>
      <c r="F4462" s="485"/>
    </row>
    <row r="4463" spans="1:6">
      <c r="A4463" s="482"/>
      <c r="B4463" s="485"/>
      <c r="C4463" s="485"/>
      <c r="D4463" s="485"/>
      <c r="E4463" s="485"/>
      <c r="F4463" s="485"/>
    </row>
    <row r="4464" spans="1:6">
      <c r="A4464" s="482"/>
      <c r="B4464" s="485"/>
      <c r="C4464" s="485"/>
      <c r="D4464" s="485"/>
      <c r="E4464" s="485"/>
      <c r="F4464" s="485"/>
    </row>
    <row r="4465" spans="1:6">
      <c r="A4465" s="482"/>
      <c r="B4465" s="485"/>
      <c r="C4465" s="485"/>
      <c r="D4465" s="485"/>
      <c r="E4465" s="485"/>
      <c r="F4465" s="485"/>
    </row>
    <row r="4466" spans="1:6">
      <c r="A4466" s="482"/>
      <c r="B4466" s="485"/>
      <c r="C4466" s="485"/>
      <c r="D4466" s="485"/>
      <c r="E4466" s="485"/>
      <c r="F4466" s="485"/>
    </row>
    <row r="4467" spans="1:6">
      <c r="A4467" s="482"/>
      <c r="B4467" s="485"/>
      <c r="C4467" s="485"/>
      <c r="D4467" s="485"/>
      <c r="E4467" s="485"/>
      <c r="F4467" s="485"/>
    </row>
    <row r="4468" spans="1:6">
      <c r="A4468" s="482"/>
      <c r="B4468" s="485"/>
      <c r="C4468" s="485"/>
      <c r="D4468" s="485"/>
      <c r="E4468" s="485"/>
      <c r="F4468" s="485"/>
    </row>
    <row r="4469" spans="1:6">
      <c r="A4469" s="482"/>
      <c r="B4469" s="485"/>
      <c r="C4469" s="485"/>
      <c r="D4469" s="485"/>
      <c r="E4469" s="485"/>
      <c r="F4469" s="485"/>
    </row>
    <row r="4470" spans="1:6">
      <c r="A4470" s="482"/>
      <c r="B4470" s="485"/>
      <c r="C4470" s="485"/>
      <c r="D4470" s="485"/>
      <c r="E4470" s="485"/>
      <c r="F4470" s="485"/>
    </row>
    <row r="4471" spans="1:6">
      <c r="A4471" s="482"/>
      <c r="B4471" s="485"/>
      <c r="C4471" s="485"/>
      <c r="D4471" s="485"/>
      <c r="E4471" s="485"/>
      <c r="F4471" s="485"/>
    </row>
    <row r="4472" spans="1:6">
      <c r="A4472" s="482"/>
      <c r="B4472" s="485"/>
      <c r="C4472" s="485"/>
      <c r="D4472" s="485"/>
      <c r="E4472" s="485"/>
      <c r="F4472" s="485"/>
    </row>
    <row r="4473" spans="1:6">
      <c r="A4473" s="482"/>
      <c r="B4473" s="485"/>
      <c r="C4473" s="485"/>
      <c r="D4473" s="485"/>
      <c r="E4473" s="485"/>
      <c r="F4473" s="485"/>
    </row>
    <row r="4474" spans="1:6">
      <c r="A4474" s="482"/>
      <c r="B4474" s="485"/>
      <c r="C4474" s="485"/>
      <c r="D4474" s="485"/>
      <c r="E4474" s="485"/>
      <c r="F4474" s="485"/>
    </row>
    <row r="4475" spans="1:6">
      <c r="A4475" s="482"/>
      <c r="B4475" s="485"/>
      <c r="C4475" s="485"/>
      <c r="D4475" s="485"/>
      <c r="E4475" s="485"/>
      <c r="F4475" s="485"/>
    </row>
    <row r="4476" spans="1:6">
      <c r="A4476" s="482"/>
      <c r="B4476" s="485"/>
      <c r="C4476" s="485"/>
      <c r="D4476" s="485"/>
      <c r="E4476" s="485"/>
      <c r="F4476" s="485"/>
    </row>
    <row r="4477" spans="1:6">
      <c r="A4477" s="482"/>
      <c r="B4477" s="485"/>
      <c r="C4477" s="485"/>
      <c r="D4477" s="485"/>
      <c r="E4477" s="485"/>
      <c r="F4477" s="485"/>
    </row>
    <row r="4478" spans="1:6">
      <c r="A4478" s="482"/>
      <c r="B4478" s="485"/>
      <c r="C4478" s="485"/>
      <c r="D4478" s="485"/>
      <c r="E4478" s="485"/>
      <c r="F4478" s="485"/>
    </row>
    <row r="4479" spans="1:6">
      <c r="A4479" s="482"/>
      <c r="B4479" s="485"/>
      <c r="C4479" s="485"/>
      <c r="D4479" s="485"/>
      <c r="E4479" s="485"/>
      <c r="F4479" s="485"/>
    </row>
    <row r="4480" spans="1:6">
      <c r="A4480" s="482"/>
      <c r="B4480" s="485"/>
      <c r="C4480" s="485"/>
      <c r="D4480" s="485"/>
      <c r="E4480" s="485"/>
      <c r="F4480" s="485"/>
    </row>
    <row r="4481" spans="1:6">
      <c r="A4481" s="482"/>
      <c r="B4481" s="485"/>
      <c r="C4481" s="485"/>
      <c r="D4481" s="485"/>
      <c r="E4481" s="485"/>
      <c r="F4481" s="485"/>
    </row>
    <row r="4482" spans="1:6">
      <c r="A4482" s="482"/>
      <c r="B4482" s="485"/>
      <c r="C4482" s="485"/>
      <c r="D4482" s="485"/>
      <c r="E4482" s="485"/>
      <c r="F4482" s="485"/>
    </row>
    <row r="4483" spans="1:6">
      <c r="A4483" s="482"/>
      <c r="B4483" s="485"/>
      <c r="C4483" s="485"/>
      <c r="D4483" s="485"/>
      <c r="E4483" s="485"/>
      <c r="F4483" s="485"/>
    </row>
    <row r="4484" spans="1:6">
      <c r="A4484" s="482"/>
      <c r="B4484" s="485"/>
      <c r="C4484" s="485"/>
      <c r="D4484" s="485"/>
      <c r="E4484" s="485"/>
      <c r="F4484" s="485"/>
    </row>
    <row r="4485" spans="1:6">
      <c r="A4485" s="482"/>
      <c r="B4485" s="485"/>
      <c r="C4485" s="485"/>
      <c r="D4485" s="485"/>
      <c r="E4485" s="485"/>
      <c r="F4485" s="485"/>
    </row>
    <row r="4486" spans="1:6">
      <c r="A4486" s="482"/>
      <c r="B4486" s="485"/>
      <c r="C4486" s="485"/>
      <c r="D4486" s="485"/>
      <c r="E4486" s="485"/>
      <c r="F4486" s="485"/>
    </row>
    <row r="4487" spans="1:6">
      <c r="A4487" s="482"/>
      <c r="B4487" s="485"/>
      <c r="C4487" s="485"/>
      <c r="D4487" s="485"/>
      <c r="E4487" s="485"/>
      <c r="F4487" s="485"/>
    </row>
    <row r="4488" spans="1:6">
      <c r="A4488" s="482"/>
      <c r="B4488" s="485"/>
      <c r="C4488" s="485"/>
      <c r="D4488" s="485"/>
      <c r="E4488" s="485"/>
      <c r="F4488" s="485"/>
    </row>
    <row r="4489" spans="1:6">
      <c r="A4489" s="482"/>
      <c r="B4489" s="485"/>
      <c r="C4489" s="485"/>
      <c r="D4489" s="485"/>
      <c r="E4489" s="485"/>
      <c r="F4489" s="485"/>
    </row>
    <row r="4490" spans="1:6">
      <c r="A4490" s="482"/>
      <c r="B4490" s="485"/>
      <c r="C4490" s="485"/>
      <c r="D4490" s="485"/>
      <c r="E4490" s="485"/>
      <c r="F4490" s="485"/>
    </row>
    <row r="4491" spans="1:6">
      <c r="A4491" s="482"/>
      <c r="B4491" s="485"/>
      <c r="C4491" s="485"/>
      <c r="D4491" s="485"/>
      <c r="E4491" s="485"/>
      <c r="F4491" s="485"/>
    </row>
    <row r="4492" spans="1:6">
      <c r="A4492" s="482"/>
      <c r="B4492" s="485"/>
      <c r="C4492" s="485"/>
      <c r="D4492" s="485"/>
      <c r="E4492" s="485"/>
      <c r="F4492" s="485"/>
    </row>
    <row r="4493" spans="1:6">
      <c r="A4493" s="482"/>
      <c r="B4493" s="485"/>
      <c r="C4493" s="485"/>
      <c r="D4493" s="485"/>
      <c r="E4493" s="485"/>
      <c r="F4493" s="485"/>
    </row>
    <row r="4494" spans="1:6">
      <c r="A4494" s="482"/>
      <c r="B4494" s="485"/>
      <c r="C4494" s="485"/>
      <c r="D4494" s="485"/>
      <c r="E4494" s="485"/>
      <c r="F4494" s="485"/>
    </row>
    <row r="4495" spans="1:6">
      <c r="A4495" s="482"/>
      <c r="B4495" s="483"/>
      <c r="C4495" s="483"/>
      <c r="D4495" s="193"/>
      <c r="E4495" s="483"/>
      <c r="F4495" s="483"/>
    </row>
    <row r="4496" spans="1:6">
      <c r="A4496" s="482"/>
      <c r="B4496" s="193"/>
      <c r="C4496" s="193"/>
      <c r="D4496" s="193"/>
      <c r="E4496" s="193"/>
      <c r="F4496" s="193"/>
    </row>
    <row r="4497" spans="1:6">
      <c r="A4497" s="482"/>
      <c r="B4497" s="193"/>
      <c r="C4497" s="193"/>
      <c r="D4497" s="193"/>
      <c r="E4497" s="193"/>
      <c r="F4497" s="193"/>
    </row>
    <row r="4498" spans="1:6">
      <c r="A4498" s="482"/>
      <c r="B4498" s="193"/>
      <c r="C4498" s="193"/>
      <c r="D4498" s="193"/>
      <c r="E4498" s="193"/>
      <c r="F4498" s="193"/>
    </row>
    <row r="4499" spans="1:6">
      <c r="A4499" s="482"/>
      <c r="B4499" s="193"/>
      <c r="C4499" s="193"/>
      <c r="D4499" s="193"/>
      <c r="E4499" s="193"/>
      <c r="F4499" s="193"/>
    </row>
    <row r="4500" spans="1:6">
      <c r="A4500" s="482"/>
      <c r="B4500" s="193"/>
      <c r="C4500" s="193"/>
      <c r="D4500" s="193"/>
      <c r="E4500" s="193"/>
      <c r="F4500" s="193"/>
    </row>
    <row r="4501" spans="1:6">
      <c r="A4501" s="482"/>
      <c r="B4501" s="193"/>
      <c r="C4501" s="193"/>
      <c r="D4501" s="193"/>
      <c r="E4501" s="193"/>
      <c r="F4501" s="193"/>
    </row>
    <row r="4502" spans="1:6">
      <c r="A4502" s="482"/>
      <c r="B4502" s="193"/>
      <c r="C4502" s="193"/>
      <c r="D4502" s="193"/>
      <c r="E4502" s="193"/>
      <c r="F4502" s="193"/>
    </row>
    <row r="4503" spans="1:6">
      <c r="A4503" s="482"/>
      <c r="B4503" s="193"/>
      <c r="C4503" s="193"/>
      <c r="D4503" s="193"/>
      <c r="E4503" s="193"/>
      <c r="F4503" s="193"/>
    </row>
    <row r="4504" spans="1:6">
      <c r="A4504" s="482"/>
      <c r="B4504" s="193"/>
      <c r="C4504" s="193"/>
      <c r="D4504" s="193"/>
      <c r="E4504" s="193"/>
      <c r="F4504" s="193"/>
    </row>
    <row r="4505" spans="1:6">
      <c r="A4505" s="482"/>
      <c r="B4505" s="193"/>
      <c r="C4505" s="193"/>
      <c r="D4505" s="193"/>
      <c r="E4505" s="193"/>
      <c r="F4505" s="193"/>
    </row>
    <row r="4506" spans="1:6">
      <c r="A4506" s="482"/>
      <c r="B4506" s="193"/>
      <c r="C4506" s="193"/>
      <c r="D4506" s="193"/>
      <c r="E4506" s="193"/>
      <c r="F4506" s="193"/>
    </row>
    <row r="4507" spans="1:6">
      <c r="A4507" s="482"/>
      <c r="B4507" s="193"/>
      <c r="C4507" s="193"/>
      <c r="D4507" s="193"/>
      <c r="E4507" s="193"/>
      <c r="F4507" s="193"/>
    </row>
    <row r="4508" spans="1:6">
      <c r="A4508" s="482"/>
      <c r="B4508" s="193"/>
      <c r="C4508" s="193"/>
      <c r="D4508" s="193"/>
      <c r="E4508" s="193"/>
      <c r="F4508" s="193"/>
    </row>
    <row r="4509" spans="1:6">
      <c r="A4509" s="482"/>
      <c r="B4509" s="193"/>
      <c r="C4509" s="193"/>
      <c r="D4509" s="193"/>
      <c r="E4509" s="193"/>
      <c r="F4509" s="193"/>
    </row>
    <row r="4510" spans="1:6">
      <c r="A4510" s="482"/>
      <c r="B4510" s="193"/>
      <c r="C4510" s="193"/>
      <c r="D4510" s="193"/>
      <c r="E4510" s="193"/>
      <c r="F4510" s="193"/>
    </row>
    <row r="4511" spans="1:6">
      <c r="A4511" s="482"/>
      <c r="B4511" s="193"/>
      <c r="C4511" s="193"/>
      <c r="D4511" s="193"/>
      <c r="E4511" s="193"/>
      <c r="F4511" s="193"/>
    </row>
    <row r="4512" spans="1:6">
      <c r="A4512" s="482"/>
      <c r="B4512" s="193"/>
      <c r="C4512" s="193"/>
      <c r="D4512" s="193"/>
      <c r="E4512" s="193"/>
      <c r="F4512" s="193"/>
    </row>
    <row r="4513" spans="1:6">
      <c r="A4513" s="482"/>
      <c r="B4513" s="193"/>
      <c r="C4513" s="193"/>
      <c r="D4513" s="193"/>
      <c r="E4513" s="193"/>
      <c r="F4513" s="193"/>
    </row>
    <row r="4514" spans="1:6">
      <c r="A4514" s="482"/>
      <c r="B4514" s="193"/>
      <c r="C4514" s="193"/>
      <c r="D4514" s="193"/>
      <c r="E4514" s="193"/>
      <c r="F4514" s="193"/>
    </row>
    <row r="4515" spans="1:6">
      <c r="A4515" s="482"/>
      <c r="B4515" s="193"/>
      <c r="C4515" s="193"/>
      <c r="D4515" s="193"/>
      <c r="E4515" s="193"/>
      <c r="F4515" s="193"/>
    </row>
    <row r="4516" spans="1:6">
      <c r="A4516" s="482"/>
      <c r="B4516" s="193"/>
      <c r="C4516" s="193"/>
      <c r="D4516" s="193"/>
      <c r="E4516" s="193"/>
      <c r="F4516" s="193"/>
    </row>
    <row r="4517" spans="1:6">
      <c r="A4517" s="482"/>
      <c r="B4517" s="193"/>
      <c r="C4517" s="193"/>
      <c r="D4517" s="193"/>
      <c r="E4517" s="193"/>
      <c r="F4517" s="193"/>
    </row>
    <row r="4518" spans="1:6">
      <c r="A4518" s="482"/>
      <c r="B4518" s="193"/>
      <c r="C4518" s="193"/>
      <c r="D4518" s="193"/>
      <c r="E4518" s="193"/>
      <c r="F4518" s="193"/>
    </row>
    <row r="4519" spans="1:6">
      <c r="A4519" s="482"/>
      <c r="B4519" s="193"/>
      <c r="C4519" s="193"/>
      <c r="D4519" s="193"/>
      <c r="E4519" s="193"/>
      <c r="F4519" s="193"/>
    </row>
    <row r="4520" spans="1:6">
      <c r="A4520" s="482"/>
      <c r="B4520" s="193"/>
      <c r="C4520" s="193"/>
      <c r="D4520" s="193"/>
      <c r="E4520" s="193"/>
      <c r="F4520" s="193"/>
    </row>
    <row r="4521" spans="1:6">
      <c r="A4521" s="482"/>
      <c r="B4521" s="193"/>
      <c r="C4521" s="193"/>
      <c r="D4521" s="193"/>
      <c r="E4521" s="193"/>
      <c r="F4521" s="193"/>
    </row>
    <row r="4522" spans="1:6">
      <c r="A4522" s="482"/>
      <c r="B4522" s="193"/>
      <c r="C4522" s="193"/>
      <c r="D4522" s="193"/>
      <c r="E4522" s="193"/>
      <c r="F4522" s="193"/>
    </row>
    <row r="4523" spans="1:6">
      <c r="A4523" s="482"/>
      <c r="B4523" s="193"/>
      <c r="C4523" s="193"/>
      <c r="D4523" s="193"/>
      <c r="E4523" s="193"/>
      <c r="F4523" s="193"/>
    </row>
    <row r="4524" spans="1:6">
      <c r="A4524" s="482"/>
      <c r="B4524" s="193"/>
      <c r="C4524" s="193"/>
      <c r="D4524" s="193"/>
      <c r="E4524" s="193"/>
      <c r="F4524" s="193"/>
    </row>
    <row r="4525" spans="1:6">
      <c r="A4525" s="482"/>
      <c r="B4525" s="193"/>
      <c r="C4525" s="193"/>
      <c r="D4525" s="193"/>
      <c r="E4525" s="193"/>
      <c r="F4525" s="193"/>
    </row>
    <row r="4526" spans="1:6">
      <c r="A4526" s="482"/>
      <c r="B4526" s="193"/>
      <c r="C4526" s="193"/>
      <c r="D4526" s="193"/>
      <c r="E4526" s="193"/>
      <c r="F4526" s="193"/>
    </row>
    <row r="4527" spans="1:6">
      <c r="A4527" s="482"/>
      <c r="B4527" s="193"/>
      <c r="C4527" s="193"/>
      <c r="D4527" s="193"/>
      <c r="E4527" s="193"/>
      <c r="F4527" s="193"/>
    </row>
    <row r="4528" spans="1:6">
      <c r="A4528" s="482"/>
      <c r="B4528" s="193"/>
      <c r="C4528" s="193"/>
      <c r="D4528" s="193"/>
      <c r="E4528" s="193"/>
      <c r="F4528" s="193"/>
    </row>
    <row r="4529" spans="1:6">
      <c r="A4529" s="482"/>
      <c r="B4529" s="193"/>
      <c r="C4529" s="193"/>
      <c r="D4529" s="193"/>
      <c r="E4529" s="193"/>
      <c r="F4529" s="193"/>
    </row>
    <row r="4530" spans="1:6">
      <c r="A4530" s="482"/>
      <c r="B4530" s="193"/>
      <c r="C4530" s="193"/>
      <c r="D4530" s="193"/>
      <c r="E4530" s="193"/>
      <c r="F4530" s="193"/>
    </row>
    <row r="4531" spans="1:6">
      <c r="A4531" s="482"/>
      <c r="B4531" s="193"/>
      <c r="C4531" s="193"/>
      <c r="D4531" s="193"/>
      <c r="E4531" s="193"/>
      <c r="F4531" s="193"/>
    </row>
    <row r="4532" spans="1:6">
      <c r="A4532" s="482"/>
      <c r="B4532" s="193"/>
      <c r="C4532" s="193"/>
      <c r="D4532" s="193"/>
      <c r="E4532" s="193"/>
      <c r="F4532" s="193"/>
    </row>
    <row r="4533" spans="1:6">
      <c r="A4533" s="482"/>
      <c r="B4533" s="193"/>
      <c r="C4533" s="193"/>
      <c r="D4533" s="193"/>
      <c r="E4533" s="193"/>
      <c r="F4533" s="193"/>
    </row>
    <row r="4534" spans="1:6">
      <c r="A4534" s="482"/>
      <c r="B4534" s="193"/>
      <c r="C4534" s="193"/>
      <c r="D4534" s="193"/>
      <c r="E4534" s="193"/>
      <c r="F4534" s="193"/>
    </row>
    <row r="4535" spans="1:6">
      <c r="A4535" s="482"/>
      <c r="B4535" s="193"/>
      <c r="C4535" s="193"/>
      <c r="D4535" s="193"/>
      <c r="E4535" s="193"/>
      <c r="F4535" s="193"/>
    </row>
    <row r="4536" spans="1:6">
      <c r="A4536" s="482"/>
      <c r="B4536" s="193"/>
      <c r="C4536" s="193"/>
      <c r="D4536" s="193"/>
      <c r="E4536" s="193"/>
      <c r="F4536" s="193"/>
    </row>
    <row r="4537" spans="1:6">
      <c r="A4537" s="482"/>
      <c r="B4537" s="193"/>
      <c r="C4537" s="193"/>
      <c r="D4537" s="193"/>
      <c r="E4537" s="193"/>
      <c r="F4537" s="193"/>
    </row>
    <row r="4538" spans="1:6">
      <c r="A4538" s="482"/>
      <c r="B4538" s="193"/>
      <c r="C4538" s="193"/>
      <c r="D4538" s="193"/>
      <c r="E4538" s="193"/>
      <c r="F4538" s="193"/>
    </row>
    <row r="4539" spans="1:6">
      <c r="A4539" s="482"/>
      <c r="B4539" s="193"/>
      <c r="C4539" s="193"/>
      <c r="D4539" s="193"/>
      <c r="E4539" s="193"/>
      <c r="F4539" s="193"/>
    </row>
    <row r="4540" spans="1:6">
      <c r="A4540" s="482"/>
      <c r="B4540" s="193"/>
      <c r="C4540" s="193"/>
      <c r="D4540" s="193"/>
      <c r="E4540" s="193"/>
      <c r="F4540" s="193"/>
    </row>
    <row r="4541" spans="1:6">
      <c r="A4541" s="482"/>
      <c r="B4541" s="193"/>
      <c r="C4541" s="193"/>
      <c r="D4541" s="193"/>
      <c r="E4541" s="193"/>
      <c r="F4541" s="193"/>
    </row>
    <row r="4542" spans="1:6">
      <c r="A4542" s="482"/>
      <c r="B4542" s="193"/>
      <c r="C4542" s="193"/>
      <c r="D4542" s="193"/>
      <c r="E4542" s="193"/>
      <c r="F4542" s="193"/>
    </row>
    <row r="4543" spans="1:6">
      <c r="A4543" s="482"/>
      <c r="B4543" s="193"/>
      <c r="C4543" s="193"/>
      <c r="D4543" s="193"/>
      <c r="E4543" s="193"/>
      <c r="F4543" s="193"/>
    </row>
    <row r="4544" spans="1:6">
      <c r="A4544" s="482"/>
      <c r="B4544" s="193"/>
      <c r="C4544" s="193"/>
      <c r="D4544" s="193"/>
      <c r="E4544" s="193"/>
      <c r="F4544" s="193"/>
    </row>
    <row r="4545" spans="1:6">
      <c r="A4545" s="482"/>
      <c r="B4545" s="193"/>
      <c r="C4545" s="193"/>
      <c r="D4545" s="193"/>
      <c r="E4545" s="193"/>
      <c r="F4545" s="193"/>
    </row>
    <row r="4546" spans="1:6">
      <c r="A4546" s="482"/>
      <c r="B4546" s="193"/>
      <c r="C4546" s="193"/>
      <c r="D4546" s="193"/>
      <c r="E4546" s="193"/>
      <c r="F4546" s="193"/>
    </row>
    <row r="4547" spans="1:6">
      <c r="A4547" s="482"/>
      <c r="B4547" s="193"/>
      <c r="C4547" s="193"/>
      <c r="D4547" s="193"/>
      <c r="E4547" s="193"/>
      <c r="F4547" s="193"/>
    </row>
    <row r="4548" spans="1:6">
      <c r="A4548" s="482"/>
      <c r="B4548" s="193"/>
      <c r="C4548" s="193"/>
      <c r="D4548" s="193"/>
      <c r="E4548" s="193"/>
      <c r="F4548" s="193"/>
    </row>
    <row r="4549" spans="1:6">
      <c r="A4549" s="482"/>
      <c r="B4549" s="193"/>
      <c r="C4549" s="193"/>
      <c r="D4549" s="193"/>
      <c r="E4549" s="193"/>
      <c r="F4549" s="193"/>
    </row>
    <row r="4550" spans="1:6">
      <c r="A4550" s="482"/>
      <c r="B4550" s="193"/>
      <c r="C4550" s="193"/>
      <c r="D4550" s="193"/>
      <c r="E4550" s="193"/>
      <c r="F4550" s="193"/>
    </row>
    <row r="4551" spans="1:6">
      <c r="A4551" s="482"/>
      <c r="B4551" s="193"/>
      <c r="C4551" s="193"/>
      <c r="D4551" s="193"/>
      <c r="E4551" s="193"/>
      <c r="F4551" s="193"/>
    </row>
    <row r="4552" spans="1:6">
      <c r="A4552" s="482"/>
      <c r="B4552" s="193"/>
      <c r="C4552" s="193"/>
      <c r="D4552" s="193"/>
      <c r="E4552" s="193"/>
      <c r="F4552" s="193"/>
    </row>
    <row r="4553" spans="1:6">
      <c r="A4553" s="482"/>
      <c r="B4553" s="193"/>
      <c r="C4553" s="193"/>
      <c r="D4553" s="193"/>
      <c r="E4553" s="193"/>
      <c r="F4553" s="193"/>
    </row>
    <row r="4554" spans="1:6">
      <c r="A4554" s="482"/>
      <c r="B4554" s="193"/>
      <c r="C4554" s="193"/>
      <c r="D4554" s="193"/>
      <c r="E4554" s="193"/>
      <c r="F4554" s="193"/>
    </row>
    <row r="4555" spans="1:6">
      <c r="A4555" s="482"/>
      <c r="B4555" s="193"/>
      <c r="C4555" s="193"/>
      <c r="D4555" s="193"/>
      <c r="E4555" s="193"/>
      <c r="F4555" s="193"/>
    </row>
    <row r="4556" spans="1:6">
      <c r="A4556" s="482"/>
      <c r="B4556" s="193"/>
      <c r="C4556" s="193"/>
      <c r="D4556" s="193"/>
      <c r="E4556" s="193"/>
      <c r="F4556" s="193"/>
    </row>
    <row r="4557" spans="1:6">
      <c r="A4557" s="482"/>
      <c r="B4557" s="193"/>
      <c r="C4557" s="193"/>
      <c r="D4557" s="193"/>
      <c r="E4557" s="193"/>
      <c r="F4557" s="193"/>
    </row>
    <row r="4558" spans="1:6">
      <c r="A4558" s="482"/>
      <c r="B4558" s="193"/>
      <c r="C4558" s="193"/>
      <c r="D4558" s="193"/>
      <c r="E4558" s="193"/>
      <c r="F4558" s="193"/>
    </row>
    <row r="4559" spans="1:6">
      <c r="A4559" s="482"/>
      <c r="B4559" s="193"/>
      <c r="C4559" s="193"/>
      <c r="D4559" s="193"/>
      <c r="E4559" s="193"/>
      <c r="F4559" s="193"/>
    </row>
    <row r="4560" spans="1:6">
      <c r="A4560" s="482"/>
      <c r="B4560" s="193"/>
      <c r="C4560" s="193"/>
      <c r="D4560" s="193"/>
      <c r="E4560" s="193"/>
      <c r="F4560" s="193"/>
    </row>
    <row r="4561" spans="1:6">
      <c r="A4561" s="482"/>
      <c r="B4561" s="193"/>
      <c r="C4561" s="193"/>
      <c r="D4561" s="193"/>
      <c r="E4561" s="193"/>
      <c r="F4561" s="193"/>
    </row>
    <row r="4562" spans="1:6">
      <c r="A4562" s="482"/>
      <c r="B4562" s="193"/>
      <c r="C4562" s="193"/>
      <c r="D4562" s="193"/>
      <c r="E4562" s="193"/>
      <c r="F4562" s="193"/>
    </row>
    <row r="4563" spans="1:6">
      <c r="A4563" s="482"/>
      <c r="B4563" s="193"/>
      <c r="C4563" s="193"/>
      <c r="D4563" s="193"/>
      <c r="E4563" s="193"/>
      <c r="F4563" s="193"/>
    </row>
    <row r="4564" spans="1:6">
      <c r="A4564" s="482"/>
      <c r="B4564" s="193"/>
      <c r="C4564" s="193"/>
      <c r="D4564" s="193"/>
      <c r="E4564" s="193"/>
      <c r="F4564" s="193"/>
    </row>
    <row r="4565" spans="1:6">
      <c r="A4565" s="482"/>
      <c r="B4565" s="193"/>
      <c r="C4565" s="193"/>
      <c r="D4565" s="193"/>
      <c r="E4565" s="193"/>
      <c r="F4565" s="193"/>
    </row>
    <row r="4566" spans="1:6">
      <c r="A4566" s="482"/>
      <c r="B4566" s="193"/>
      <c r="C4566" s="193"/>
      <c r="D4566" s="193"/>
      <c r="E4566" s="193"/>
      <c r="F4566" s="193"/>
    </row>
    <row r="4567" spans="1:6">
      <c r="A4567" s="482"/>
      <c r="B4567" s="193"/>
      <c r="C4567" s="193"/>
      <c r="D4567" s="193"/>
      <c r="E4567" s="193"/>
      <c r="F4567" s="193"/>
    </row>
    <row r="4568" spans="1:6">
      <c r="A4568" s="482"/>
      <c r="B4568" s="193"/>
      <c r="C4568" s="193"/>
      <c r="D4568" s="193"/>
      <c r="E4568" s="193"/>
      <c r="F4568" s="193"/>
    </row>
    <row r="4569" spans="1:6">
      <c r="A4569" s="482"/>
      <c r="B4569" s="193"/>
      <c r="C4569" s="193"/>
      <c r="D4569" s="193"/>
      <c r="E4569" s="193"/>
      <c r="F4569" s="193"/>
    </row>
    <row r="4570" spans="1:6">
      <c r="A4570" s="482"/>
      <c r="B4570" s="193"/>
      <c r="C4570" s="193"/>
      <c r="D4570" s="193"/>
      <c r="E4570" s="193"/>
      <c r="F4570" s="193"/>
    </row>
    <row r="4571" spans="1:6">
      <c r="A4571" s="482"/>
      <c r="B4571" s="193"/>
      <c r="C4571" s="193"/>
      <c r="D4571" s="193"/>
      <c r="E4571" s="193"/>
      <c r="F4571" s="193"/>
    </row>
    <row r="4572" spans="1:6">
      <c r="A4572" s="482"/>
      <c r="B4572" s="193"/>
      <c r="C4572" s="193"/>
      <c r="D4572" s="193"/>
      <c r="E4572" s="193"/>
      <c r="F4572" s="193"/>
    </row>
    <row r="4573" spans="1:6">
      <c r="A4573" s="482"/>
      <c r="B4573" s="193"/>
      <c r="C4573" s="193"/>
      <c r="D4573" s="193"/>
      <c r="E4573" s="193"/>
      <c r="F4573" s="193"/>
    </row>
    <row r="4574" spans="1:6">
      <c r="A4574" s="482"/>
      <c r="B4574" s="193"/>
      <c r="C4574" s="193"/>
      <c r="D4574" s="193"/>
      <c r="E4574" s="193"/>
      <c r="F4574" s="193"/>
    </row>
    <row r="4575" spans="1:6">
      <c r="A4575" s="482"/>
      <c r="B4575" s="193"/>
      <c r="C4575" s="193"/>
      <c r="D4575" s="193"/>
      <c r="E4575" s="193"/>
      <c r="F4575" s="193"/>
    </row>
    <row r="4576" spans="1:6">
      <c r="A4576" s="482"/>
      <c r="B4576" s="193"/>
      <c r="C4576" s="193"/>
      <c r="D4576" s="193"/>
      <c r="E4576" s="193"/>
      <c r="F4576" s="193"/>
    </row>
    <row r="4577" spans="1:6">
      <c r="A4577" s="482"/>
      <c r="B4577" s="193"/>
      <c r="C4577" s="193"/>
      <c r="D4577" s="193"/>
      <c r="E4577" s="193"/>
      <c r="F4577" s="193"/>
    </row>
    <row r="4578" spans="1:6">
      <c r="A4578" s="482"/>
      <c r="B4578" s="193"/>
      <c r="C4578" s="193"/>
      <c r="D4578" s="193"/>
      <c r="E4578" s="193"/>
      <c r="F4578" s="193"/>
    </row>
    <row r="4579" spans="1:6">
      <c r="A4579" s="482"/>
      <c r="B4579" s="193"/>
      <c r="C4579" s="193"/>
      <c r="D4579" s="193"/>
      <c r="E4579" s="193"/>
      <c r="F4579" s="193"/>
    </row>
    <row r="4580" spans="1:6">
      <c r="A4580" s="482"/>
      <c r="B4580" s="193"/>
      <c r="C4580" s="193"/>
      <c r="D4580" s="193"/>
      <c r="E4580" s="193"/>
      <c r="F4580" s="193"/>
    </row>
    <row r="4581" spans="1:6">
      <c r="A4581" s="482"/>
      <c r="B4581" s="193"/>
      <c r="C4581" s="193"/>
      <c r="D4581" s="193"/>
      <c r="E4581" s="193"/>
      <c r="F4581" s="193"/>
    </row>
    <row r="4582" spans="1:6">
      <c r="A4582" s="482"/>
      <c r="B4582" s="193"/>
      <c r="C4582" s="193"/>
      <c r="D4582" s="193"/>
      <c r="E4582" s="193"/>
      <c r="F4582" s="193"/>
    </row>
    <row r="4583" spans="1:6">
      <c r="A4583" s="482"/>
      <c r="B4583" s="193"/>
      <c r="C4583" s="193"/>
      <c r="D4583" s="193"/>
      <c r="E4583" s="193"/>
      <c r="F4583" s="193"/>
    </row>
    <row r="4584" spans="1:6">
      <c r="A4584" s="482"/>
      <c r="B4584" s="193"/>
      <c r="C4584" s="193"/>
      <c r="D4584" s="193"/>
      <c r="E4584" s="193"/>
      <c r="F4584" s="193"/>
    </row>
    <row r="4585" spans="1:6">
      <c r="A4585" s="482"/>
      <c r="B4585" s="193"/>
      <c r="C4585" s="193"/>
      <c r="D4585" s="193"/>
      <c r="E4585" s="193"/>
      <c r="F4585" s="193"/>
    </row>
    <row r="4586" spans="1:6">
      <c r="A4586" s="482"/>
      <c r="B4586" s="193"/>
      <c r="C4586" s="193"/>
      <c r="D4586" s="193"/>
      <c r="E4586" s="193"/>
      <c r="F4586" s="193"/>
    </row>
    <row r="4587" spans="1:6">
      <c r="A4587" s="482"/>
      <c r="B4587" s="193"/>
      <c r="C4587" s="193"/>
      <c r="D4587" s="193"/>
      <c r="E4587" s="193"/>
      <c r="F4587" s="193"/>
    </row>
    <row r="4588" spans="1:6">
      <c r="A4588" s="482"/>
      <c r="B4588" s="193"/>
      <c r="C4588" s="193"/>
      <c r="D4588" s="193"/>
      <c r="E4588" s="193"/>
      <c r="F4588" s="193"/>
    </row>
    <row r="4589" spans="1:6">
      <c r="A4589" s="482"/>
      <c r="B4589" s="193"/>
      <c r="C4589" s="193"/>
      <c r="D4589" s="193"/>
      <c r="E4589" s="193"/>
      <c r="F4589" s="193"/>
    </row>
    <row r="4590" spans="1:6">
      <c r="A4590" s="482"/>
      <c r="B4590" s="193"/>
      <c r="C4590" s="193"/>
      <c r="D4590" s="193"/>
      <c r="E4590" s="193"/>
      <c r="F4590" s="193"/>
    </row>
    <row r="4591" spans="1:6">
      <c r="A4591" s="482"/>
      <c r="B4591" s="193"/>
      <c r="C4591" s="193"/>
      <c r="D4591" s="193"/>
      <c r="E4591" s="193"/>
      <c r="F4591" s="193"/>
    </row>
    <row r="4592" spans="1:6">
      <c r="A4592" s="482"/>
      <c r="B4592" s="193"/>
      <c r="C4592" s="193"/>
      <c r="D4592" s="193"/>
      <c r="E4592" s="193"/>
      <c r="F4592" s="193"/>
    </row>
    <row r="4593" spans="1:6">
      <c r="A4593" s="482"/>
      <c r="B4593" s="193"/>
      <c r="C4593" s="193"/>
      <c r="D4593" s="193"/>
      <c r="E4593" s="193"/>
      <c r="F4593" s="193"/>
    </row>
    <row r="4594" spans="1:6">
      <c r="A4594" s="482"/>
      <c r="B4594" s="193"/>
      <c r="C4594" s="193"/>
      <c r="D4594" s="193"/>
      <c r="E4594" s="193"/>
      <c r="F4594" s="193"/>
    </row>
    <row r="4595" spans="1:6">
      <c r="A4595" s="482"/>
      <c r="B4595" s="193"/>
      <c r="C4595" s="193"/>
      <c r="D4595" s="193"/>
      <c r="E4595" s="193"/>
      <c r="F4595" s="193"/>
    </row>
    <row r="4596" spans="1:6">
      <c r="A4596" s="482"/>
      <c r="B4596" s="193"/>
      <c r="C4596" s="193"/>
      <c r="D4596" s="193"/>
      <c r="E4596" s="193"/>
      <c r="F4596" s="193"/>
    </row>
    <row r="4597" spans="1:6">
      <c r="A4597" s="482"/>
      <c r="B4597" s="486"/>
      <c r="C4597" s="486"/>
      <c r="D4597" s="487"/>
      <c r="E4597" s="486"/>
      <c r="F4597" s="486"/>
    </row>
    <row r="4598" spans="1:6">
      <c r="A4598" s="482"/>
      <c r="B4598" s="486"/>
      <c r="C4598" s="486"/>
      <c r="D4598" s="487"/>
      <c r="E4598" s="486"/>
      <c r="F4598" s="486"/>
    </row>
    <row r="4599" spans="1:6">
      <c r="A4599" s="482"/>
      <c r="B4599" s="486"/>
      <c r="C4599" s="486"/>
      <c r="D4599" s="487"/>
      <c r="E4599" s="486"/>
      <c r="F4599" s="486"/>
    </row>
    <row r="4600" spans="1:6">
      <c r="A4600" s="482"/>
      <c r="B4600" s="486"/>
      <c r="C4600" s="486"/>
      <c r="D4600" s="487"/>
      <c r="E4600" s="486"/>
      <c r="F4600" s="486"/>
    </row>
    <row r="4601" spans="1:6">
      <c r="A4601" s="482"/>
      <c r="B4601" s="486"/>
      <c r="C4601" s="486"/>
      <c r="D4601" s="487"/>
      <c r="E4601" s="486"/>
      <c r="F4601" s="486"/>
    </row>
    <row r="4602" spans="1:6">
      <c r="A4602" s="482"/>
      <c r="B4602" s="486"/>
      <c r="C4602" s="486"/>
      <c r="D4602" s="487"/>
      <c r="E4602" s="486"/>
      <c r="F4602" s="486"/>
    </row>
    <row r="4603" spans="1:6">
      <c r="A4603" s="482"/>
      <c r="B4603" s="486"/>
      <c r="C4603" s="486"/>
      <c r="D4603" s="487"/>
      <c r="E4603" s="486"/>
      <c r="F4603" s="486"/>
    </row>
    <row r="4604" spans="1:6">
      <c r="A4604" s="482"/>
      <c r="B4604" s="488"/>
      <c r="C4604" s="488"/>
      <c r="D4604" s="487"/>
      <c r="E4604" s="488"/>
      <c r="F4604" s="488"/>
    </row>
    <row r="4605" spans="1:6">
      <c r="A4605" s="482"/>
      <c r="B4605" s="486"/>
      <c r="C4605" s="486"/>
      <c r="D4605" s="487"/>
      <c r="E4605" s="486"/>
      <c r="F4605" s="486"/>
    </row>
    <row r="4606" spans="1:6">
      <c r="A4606" s="482"/>
      <c r="B4606" s="488"/>
      <c r="C4606" s="488"/>
      <c r="D4606" s="487"/>
      <c r="E4606" s="488"/>
      <c r="F4606" s="488"/>
    </row>
    <row r="4607" spans="1:6">
      <c r="A4607" s="482"/>
      <c r="B4607" s="486"/>
      <c r="C4607" s="486"/>
      <c r="D4607" s="487"/>
      <c r="E4607" s="486"/>
      <c r="F4607" s="486"/>
    </row>
    <row r="4608" spans="1:6">
      <c r="A4608" s="482"/>
      <c r="B4608" s="488"/>
      <c r="C4608" s="488"/>
      <c r="D4608" s="487"/>
      <c r="E4608" s="488"/>
      <c r="F4608" s="488"/>
    </row>
    <row r="4609" spans="1:6">
      <c r="A4609" s="482"/>
      <c r="B4609" s="486"/>
      <c r="C4609" s="486"/>
      <c r="D4609" s="487"/>
      <c r="E4609" s="486"/>
      <c r="F4609" s="486"/>
    </row>
    <row r="4610" spans="1:6">
      <c r="A4610" s="482"/>
      <c r="B4610" s="488"/>
      <c r="C4610" s="488"/>
      <c r="D4610" s="487"/>
      <c r="E4610" s="488"/>
      <c r="F4610" s="488"/>
    </row>
    <row r="4611" spans="1:6">
      <c r="A4611" s="482"/>
      <c r="B4611" s="486"/>
      <c r="C4611" s="486"/>
      <c r="D4611" s="487"/>
      <c r="E4611" s="486"/>
      <c r="F4611" s="486"/>
    </row>
    <row r="4612" spans="1:6">
      <c r="A4612" s="482"/>
      <c r="B4612" s="488"/>
      <c r="C4612" s="488"/>
      <c r="D4612" s="487"/>
      <c r="E4612" s="488"/>
      <c r="F4612" s="488"/>
    </row>
    <row r="4613" spans="1:6">
      <c r="A4613" s="482"/>
      <c r="B4613" s="486"/>
      <c r="C4613" s="486"/>
      <c r="D4613" s="487"/>
      <c r="E4613" s="486"/>
      <c r="F4613" s="486"/>
    </row>
    <row r="4614" spans="1:6">
      <c r="A4614" s="482"/>
      <c r="B4614" s="488"/>
      <c r="C4614" s="488"/>
      <c r="D4614" s="487"/>
      <c r="E4614" s="488"/>
      <c r="F4614" s="488"/>
    </row>
    <row r="4615" spans="1:6">
      <c r="A4615" s="482"/>
      <c r="B4615" s="486"/>
      <c r="C4615" s="486"/>
      <c r="D4615" s="487"/>
      <c r="E4615" s="486"/>
      <c r="F4615" s="486"/>
    </row>
    <row r="4616" spans="1:6">
      <c r="A4616" s="482"/>
      <c r="B4616" s="488"/>
      <c r="C4616" s="488"/>
      <c r="D4616" s="487"/>
      <c r="E4616" s="488"/>
      <c r="F4616" s="488"/>
    </row>
    <row r="4617" spans="1:6">
      <c r="A4617" s="482"/>
      <c r="B4617" s="486"/>
      <c r="C4617" s="486"/>
      <c r="D4617" s="487"/>
      <c r="E4617" s="486"/>
      <c r="F4617" s="486"/>
    </row>
    <row r="4618" spans="1:6">
      <c r="A4618" s="482"/>
      <c r="B4618" s="488"/>
      <c r="C4618" s="488"/>
      <c r="D4618" s="487"/>
      <c r="E4618" s="488"/>
      <c r="F4618" s="488"/>
    </row>
    <row r="4619" spans="1:6">
      <c r="A4619" s="482"/>
      <c r="B4619" s="486"/>
      <c r="C4619" s="486"/>
      <c r="D4619" s="487"/>
      <c r="E4619" s="486"/>
      <c r="F4619" s="486"/>
    </row>
    <row r="4620" spans="1:6">
      <c r="A4620" s="482"/>
      <c r="B4620" s="488"/>
      <c r="C4620" s="488"/>
      <c r="D4620" s="487"/>
      <c r="E4620" s="488"/>
      <c r="F4620" s="488"/>
    </row>
    <row r="4621" spans="1:6">
      <c r="A4621" s="482"/>
      <c r="B4621" s="486"/>
      <c r="C4621" s="486"/>
      <c r="D4621" s="487"/>
      <c r="E4621" s="486"/>
      <c r="F4621" s="486"/>
    </row>
    <row r="4622" spans="1:6">
      <c r="A4622" s="482"/>
      <c r="B4622" s="488"/>
      <c r="C4622" s="488"/>
      <c r="D4622" s="487"/>
      <c r="E4622" s="488"/>
      <c r="F4622" s="488"/>
    </row>
    <row r="4623" spans="1:6">
      <c r="A4623" s="482"/>
      <c r="B4623" s="486"/>
      <c r="C4623" s="486"/>
      <c r="D4623" s="487"/>
      <c r="E4623" s="486"/>
      <c r="F4623" s="486"/>
    </row>
    <row r="4624" spans="1:6">
      <c r="A4624" s="482"/>
      <c r="B4624" s="488"/>
      <c r="C4624" s="488"/>
      <c r="D4624" s="487"/>
      <c r="E4624" s="488"/>
      <c r="F4624" s="488"/>
    </row>
    <row r="4625" spans="1:6">
      <c r="A4625" s="482"/>
      <c r="B4625" s="486"/>
      <c r="C4625" s="486"/>
      <c r="D4625" s="487"/>
      <c r="E4625" s="486"/>
      <c r="F4625" s="486"/>
    </row>
    <row r="4626" spans="1:6">
      <c r="A4626" s="482"/>
      <c r="B4626" s="488"/>
      <c r="C4626" s="488"/>
      <c r="D4626" s="487"/>
      <c r="E4626" s="488"/>
      <c r="F4626" s="488"/>
    </row>
    <row r="4627" spans="1:6">
      <c r="A4627" s="482"/>
      <c r="B4627" s="489"/>
      <c r="C4627" s="489"/>
      <c r="D4627" s="490"/>
      <c r="E4627" s="489"/>
      <c r="F4627" s="489"/>
    </row>
    <row r="4628" spans="1:6">
      <c r="A4628" s="482"/>
      <c r="B4628" s="482"/>
      <c r="C4628" s="482"/>
      <c r="D4628" s="490"/>
      <c r="E4628" s="482"/>
      <c r="F4628" s="482"/>
    </row>
    <row r="4629" spans="1:6">
      <c r="A4629" s="482"/>
      <c r="B4629" s="482"/>
      <c r="C4629" s="482"/>
      <c r="D4629" s="490"/>
      <c r="E4629" s="482"/>
      <c r="F4629" s="482"/>
    </row>
    <row r="4630" spans="1:6">
      <c r="A4630" s="482"/>
      <c r="B4630" s="482"/>
      <c r="C4630" s="482"/>
      <c r="D4630" s="490"/>
      <c r="E4630" s="482"/>
      <c r="F4630" s="482"/>
    </row>
    <row r="4631" spans="1:6">
      <c r="A4631" s="482"/>
      <c r="B4631" s="482"/>
      <c r="C4631" s="482"/>
      <c r="D4631" s="490"/>
      <c r="E4631" s="482"/>
      <c r="F4631" s="482"/>
    </row>
    <row r="4632" spans="1:6">
      <c r="A4632" s="482"/>
      <c r="B4632" s="482"/>
      <c r="C4632" s="482"/>
      <c r="D4632" s="490"/>
      <c r="E4632" s="482"/>
      <c r="F4632" s="482"/>
    </row>
    <row r="4633" spans="1:6">
      <c r="A4633" s="482"/>
      <c r="B4633" s="482"/>
      <c r="C4633" s="482"/>
      <c r="D4633" s="490"/>
      <c r="E4633" s="482"/>
      <c r="F4633" s="482"/>
    </row>
    <row r="4634" spans="1:6">
      <c r="A4634" s="482"/>
      <c r="B4634" s="482"/>
      <c r="C4634" s="482"/>
      <c r="D4634" s="490"/>
      <c r="E4634" s="482"/>
      <c r="F4634" s="482"/>
    </row>
    <row r="4635" spans="1:6">
      <c r="A4635" s="482"/>
      <c r="B4635" s="482"/>
      <c r="C4635" s="482"/>
      <c r="D4635" s="490"/>
      <c r="E4635" s="482"/>
      <c r="F4635" s="482"/>
    </row>
    <row r="4636" spans="1:6">
      <c r="A4636" s="482"/>
      <c r="B4636" s="482"/>
      <c r="C4636" s="482"/>
      <c r="D4636" s="490"/>
      <c r="E4636" s="482"/>
      <c r="F4636" s="482"/>
    </row>
    <row r="4637" spans="1:6">
      <c r="A4637" s="482"/>
      <c r="B4637" s="482"/>
      <c r="C4637" s="482"/>
      <c r="D4637" s="490"/>
      <c r="E4637" s="482"/>
      <c r="F4637" s="482"/>
    </row>
    <row r="4638" spans="1:6">
      <c r="A4638" s="482"/>
      <c r="B4638" s="482"/>
      <c r="C4638" s="482"/>
      <c r="D4638" s="490"/>
      <c r="E4638" s="482"/>
      <c r="F4638" s="482"/>
    </row>
    <row r="4639" spans="1:6">
      <c r="A4639" s="482"/>
      <c r="B4639" s="482"/>
      <c r="C4639" s="482"/>
      <c r="D4639" s="490"/>
      <c r="E4639" s="482"/>
      <c r="F4639" s="482"/>
    </row>
    <row r="4640" spans="1:6">
      <c r="A4640" s="482"/>
      <c r="B4640" s="482"/>
      <c r="C4640" s="482"/>
      <c r="D4640" s="490"/>
      <c r="E4640" s="482"/>
      <c r="F4640" s="482"/>
    </row>
    <row r="4641" spans="1:6">
      <c r="A4641" s="482"/>
      <c r="B4641" s="482"/>
      <c r="C4641" s="482"/>
      <c r="D4641" s="490"/>
      <c r="E4641" s="482"/>
      <c r="F4641" s="482"/>
    </row>
    <row r="4642" spans="1:6">
      <c r="A4642" s="482"/>
      <c r="B4642" s="482"/>
      <c r="C4642" s="482"/>
      <c r="D4642" s="490"/>
      <c r="E4642" s="482"/>
      <c r="F4642" s="482"/>
    </row>
    <row r="4643" spans="1:6">
      <c r="A4643" s="482"/>
      <c r="B4643" s="482"/>
      <c r="C4643" s="482"/>
      <c r="D4643" s="490"/>
      <c r="E4643" s="482"/>
      <c r="F4643" s="482"/>
    </row>
    <row r="4644" spans="1:6">
      <c r="A4644" s="482"/>
      <c r="B4644" s="482"/>
      <c r="C4644" s="482"/>
      <c r="D4644" s="490"/>
      <c r="E4644" s="482"/>
      <c r="F4644" s="482"/>
    </row>
    <row r="4645" spans="1:6">
      <c r="A4645" s="482"/>
      <c r="B4645" s="482"/>
      <c r="C4645" s="482"/>
      <c r="D4645" s="490"/>
      <c r="E4645" s="482"/>
      <c r="F4645" s="482"/>
    </row>
    <row r="4646" spans="1:6">
      <c r="A4646" s="482"/>
      <c r="B4646" s="482"/>
      <c r="C4646" s="482"/>
      <c r="D4646" s="490"/>
      <c r="E4646" s="482"/>
      <c r="F4646" s="482"/>
    </row>
    <row r="4647" spans="1:6">
      <c r="A4647" s="482"/>
      <c r="B4647" s="482"/>
      <c r="C4647" s="482"/>
      <c r="D4647" s="490"/>
      <c r="E4647" s="482"/>
      <c r="F4647" s="482"/>
    </row>
    <row r="4648" spans="1:6">
      <c r="A4648" s="482"/>
      <c r="B4648" s="482"/>
      <c r="C4648" s="482"/>
      <c r="D4648" s="490"/>
      <c r="E4648" s="482"/>
      <c r="F4648" s="482"/>
    </row>
    <row r="4649" spans="1:6">
      <c r="A4649" s="482"/>
      <c r="B4649" s="482"/>
      <c r="C4649" s="482"/>
      <c r="D4649" s="490"/>
      <c r="E4649" s="482"/>
      <c r="F4649" s="482"/>
    </row>
    <row r="4650" spans="1:6">
      <c r="A4650" s="482"/>
      <c r="B4650" s="482"/>
      <c r="C4650" s="482"/>
      <c r="D4650" s="490"/>
      <c r="E4650" s="482"/>
      <c r="F4650" s="482"/>
    </row>
    <row r="4651" spans="1:6">
      <c r="A4651" s="482"/>
      <c r="B4651" s="482"/>
      <c r="C4651" s="482"/>
      <c r="D4651" s="490"/>
      <c r="E4651" s="482"/>
      <c r="F4651" s="482"/>
    </row>
    <row r="4652" spans="1:6">
      <c r="A4652" s="482"/>
      <c r="B4652" s="482"/>
      <c r="C4652" s="482"/>
      <c r="D4652" s="490"/>
      <c r="E4652" s="482"/>
      <c r="F4652" s="482"/>
    </row>
    <row r="4653" spans="1:6">
      <c r="A4653" s="482"/>
      <c r="B4653" s="482"/>
      <c r="C4653" s="482"/>
      <c r="D4653" s="490"/>
      <c r="E4653" s="482"/>
      <c r="F4653" s="482"/>
    </row>
    <row r="4654" spans="1:6">
      <c r="A4654" s="482"/>
      <c r="B4654" s="482"/>
      <c r="C4654" s="482"/>
      <c r="D4654" s="490"/>
      <c r="E4654" s="482"/>
      <c r="F4654" s="482"/>
    </row>
    <row r="4655" spans="1:6">
      <c r="A4655" s="482"/>
      <c r="B4655" s="482"/>
      <c r="C4655" s="482"/>
      <c r="D4655" s="490"/>
      <c r="E4655" s="482"/>
      <c r="F4655" s="482"/>
    </row>
    <row r="4656" spans="1:6">
      <c r="A4656" s="482"/>
      <c r="B4656" s="482"/>
      <c r="C4656" s="482"/>
      <c r="D4656" s="490"/>
      <c r="E4656" s="482"/>
      <c r="F4656" s="482"/>
    </row>
    <row r="4657" spans="1:6">
      <c r="A4657" s="482"/>
      <c r="B4657" s="482"/>
      <c r="C4657" s="482"/>
      <c r="D4657" s="490"/>
      <c r="E4657" s="482"/>
      <c r="F4657" s="482"/>
    </row>
    <row r="4658" spans="1:6">
      <c r="A4658" s="482"/>
      <c r="B4658" s="482"/>
      <c r="C4658" s="482"/>
      <c r="D4658" s="490"/>
      <c r="E4658" s="482"/>
      <c r="F4658" s="482"/>
    </row>
    <row r="4659" spans="1:6">
      <c r="A4659" s="482"/>
      <c r="B4659" s="482"/>
      <c r="C4659" s="482"/>
      <c r="D4659" s="490"/>
      <c r="E4659" s="482"/>
      <c r="F4659" s="482"/>
    </row>
    <row r="4660" spans="1:6">
      <c r="A4660" s="482"/>
      <c r="B4660" s="482"/>
      <c r="C4660" s="482"/>
      <c r="D4660" s="490"/>
      <c r="E4660" s="482"/>
      <c r="F4660" s="482"/>
    </row>
    <row r="4661" spans="1:6">
      <c r="A4661" s="482"/>
      <c r="B4661" s="482"/>
      <c r="C4661" s="482"/>
      <c r="D4661" s="490"/>
      <c r="E4661" s="482"/>
      <c r="F4661" s="482"/>
    </row>
    <row r="4662" spans="1:6">
      <c r="A4662" s="482"/>
      <c r="B4662" s="482"/>
      <c r="C4662" s="482"/>
      <c r="D4662" s="490"/>
      <c r="E4662" s="482"/>
      <c r="F4662" s="482"/>
    </row>
    <row r="4663" spans="1:6">
      <c r="A4663" s="482"/>
      <c r="B4663" s="482"/>
      <c r="C4663" s="482"/>
      <c r="D4663" s="490"/>
      <c r="E4663" s="482"/>
      <c r="F4663" s="482"/>
    </row>
    <row r="4664" spans="1:6">
      <c r="A4664" s="482"/>
      <c r="B4664" s="482"/>
      <c r="C4664" s="482"/>
      <c r="D4664" s="490"/>
      <c r="E4664" s="482"/>
      <c r="F4664" s="482"/>
    </row>
    <row r="4665" spans="1:6">
      <c r="A4665" s="482"/>
      <c r="B4665" s="482"/>
      <c r="C4665" s="482"/>
      <c r="D4665" s="490"/>
      <c r="E4665" s="482"/>
      <c r="F4665" s="482"/>
    </row>
    <row r="4666" spans="1:6">
      <c r="A4666" s="482"/>
      <c r="B4666" s="482"/>
      <c r="C4666" s="482"/>
      <c r="D4666" s="490"/>
      <c r="E4666" s="482"/>
      <c r="F4666" s="482"/>
    </row>
    <row r="4667" spans="1:6">
      <c r="A4667" s="482"/>
      <c r="B4667" s="482"/>
      <c r="C4667" s="482"/>
      <c r="D4667" s="490"/>
      <c r="E4667" s="482"/>
      <c r="F4667" s="482"/>
    </row>
    <row r="4668" spans="1:6">
      <c r="A4668" s="482"/>
      <c r="B4668" s="482"/>
      <c r="C4668" s="482"/>
      <c r="D4668" s="490"/>
      <c r="E4668" s="482"/>
      <c r="F4668" s="482"/>
    </row>
    <row r="4669" spans="1:6">
      <c r="A4669" s="482"/>
      <c r="B4669" s="482"/>
      <c r="C4669" s="482"/>
      <c r="D4669" s="490"/>
      <c r="E4669" s="482"/>
      <c r="F4669" s="482"/>
    </row>
    <row r="4670" spans="1:6">
      <c r="A4670" s="482"/>
      <c r="B4670" s="482"/>
      <c r="C4670" s="482"/>
      <c r="D4670" s="490"/>
      <c r="E4670" s="482"/>
      <c r="F4670" s="482"/>
    </row>
    <row r="4671" spans="1:6">
      <c r="A4671" s="482"/>
      <c r="B4671" s="482"/>
      <c r="C4671" s="482"/>
      <c r="D4671" s="490"/>
      <c r="E4671" s="482"/>
      <c r="F4671" s="482"/>
    </row>
    <row r="4672" spans="1:6">
      <c r="A4672" s="482"/>
      <c r="B4672" s="482"/>
      <c r="C4672" s="482"/>
      <c r="D4672" s="490"/>
      <c r="E4672" s="482"/>
      <c r="F4672" s="482"/>
    </row>
    <row r="4673" spans="1:6">
      <c r="A4673" s="482"/>
      <c r="B4673" s="482"/>
      <c r="C4673" s="482"/>
      <c r="D4673" s="490"/>
      <c r="E4673" s="482"/>
      <c r="F4673" s="482"/>
    </row>
    <row r="4674" spans="1:6">
      <c r="A4674" s="482"/>
      <c r="B4674" s="482"/>
      <c r="C4674" s="482"/>
      <c r="D4674" s="490"/>
      <c r="E4674" s="482"/>
      <c r="F4674" s="482"/>
    </row>
    <row r="4675" spans="1:6">
      <c r="A4675" s="482"/>
      <c r="B4675" s="482"/>
      <c r="C4675" s="482"/>
      <c r="D4675" s="490"/>
      <c r="E4675" s="482"/>
      <c r="F4675" s="482"/>
    </row>
    <row r="4676" spans="1:6">
      <c r="A4676" s="482"/>
      <c r="B4676" s="482"/>
      <c r="C4676" s="482"/>
      <c r="D4676" s="490"/>
      <c r="E4676" s="482"/>
      <c r="F4676" s="482"/>
    </row>
    <row r="4677" spans="1:6">
      <c r="A4677" s="482"/>
      <c r="B4677" s="482"/>
      <c r="C4677" s="482"/>
      <c r="D4677" s="490"/>
      <c r="E4677" s="482"/>
      <c r="F4677" s="482"/>
    </row>
    <row r="4678" spans="1:6">
      <c r="A4678" s="482"/>
      <c r="B4678" s="482"/>
      <c r="C4678" s="482"/>
      <c r="D4678" s="490"/>
      <c r="E4678" s="482"/>
      <c r="F4678" s="482"/>
    </row>
    <row r="4679" spans="1:6">
      <c r="A4679" s="482"/>
      <c r="B4679" s="482"/>
      <c r="C4679" s="482"/>
      <c r="D4679" s="490"/>
      <c r="E4679" s="482"/>
      <c r="F4679" s="482"/>
    </row>
    <row r="4680" spans="1:6">
      <c r="A4680" s="482"/>
      <c r="B4680" s="482"/>
      <c r="C4680" s="482"/>
      <c r="D4680" s="490"/>
      <c r="E4680" s="482"/>
      <c r="F4680" s="482"/>
    </row>
    <row r="4681" spans="1:6">
      <c r="A4681" s="482"/>
      <c r="B4681" s="482"/>
      <c r="C4681" s="482"/>
      <c r="D4681" s="490"/>
      <c r="E4681" s="482"/>
      <c r="F4681" s="482"/>
    </row>
    <row r="4682" spans="1:6">
      <c r="A4682" s="482"/>
      <c r="B4682" s="482"/>
      <c r="C4682" s="482"/>
      <c r="D4682" s="490"/>
      <c r="E4682" s="482"/>
      <c r="F4682" s="482"/>
    </row>
    <row r="4683" spans="1:6">
      <c r="A4683" s="482"/>
      <c r="B4683" s="482"/>
      <c r="C4683" s="482"/>
      <c r="D4683" s="490"/>
      <c r="E4683" s="482"/>
      <c r="F4683" s="482"/>
    </row>
    <row r="4684" spans="1:6">
      <c r="A4684" s="482"/>
      <c r="B4684" s="482"/>
      <c r="C4684" s="482"/>
      <c r="D4684" s="490"/>
      <c r="E4684" s="482"/>
      <c r="F4684" s="482"/>
    </row>
    <row r="4685" spans="1:6">
      <c r="A4685" s="482"/>
      <c r="B4685" s="482"/>
      <c r="C4685" s="482"/>
      <c r="D4685" s="490"/>
      <c r="E4685" s="482"/>
      <c r="F4685" s="482"/>
    </row>
    <row r="4686" spans="1:6">
      <c r="A4686" s="482"/>
      <c r="B4686" s="482"/>
      <c r="C4686" s="482"/>
      <c r="D4686" s="490"/>
      <c r="E4686" s="482"/>
      <c r="F4686" s="482"/>
    </row>
    <row r="4687" spans="1:6">
      <c r="A4687" s="482"/>
      <c r="B4687" s="482"/>
      <c r="C4687" s="482"/>
      <c r="D4687" s="490"/>
      <c r="E4687" s="482"/>
      <c r="F4687" s="482"/>
    </row>
    <row r="4688" spans="1:6">
      <c r="A4688" s="482"/>
      <c r="B4688" s="482"/>
      <c r="C4688" s="482"/>
      <c r="D4688" s="490"/>
      <c r="E4688" s="482"/>
      <c r="F4688" s="482"/>
    </row>
    <row r="4689" spans="1:6">
      <c r="A4689" s="482"/>
      <c r="B4689" s="482"/>
      <c r="C4689" s="482"/>
      <c r="D4689" s="490"/>
      <c r="E4689" s="482"/>
      <c r="F4689" s="482"/>
    </row>
    <row r="4690" spans="1:6">
      <c r="A4690" s="482"/>
      <c r="B4690" s="482"/>
      <c r="C4690" s="482"/>
      <c r="D4690" s="490"/>
      <c r="E4690" s="482"/>
      <c r="F4690" s="482"/>
    </row>
    <row r="4691" spans="1:6">
      <c r="A4691" s="482"/>
      <c r="B4691" s="482"/>
      <c r="C4691" s="482"/>
      <c r="D4691" s="490"/>
      <c r="E4691" s="482"/>
      <c r="F4691" s="482"/>
    </row>
    <row r="4692" spans="1:6">
      <c r="A4692" s="482"/>
      <c r="B4692" s="482"/>
      <c r="C4692" s="482"/>
      <c r="D4692" s="490"/>
      <c r="E4692" s="482"/>
      <c r="F4692" s="482"/>
    </row>
    <row r="4693" spans="1:6">
      <c r="A4693" s="482"/>
      <c r="B4693" s="482"/>
      <c r="C4693" s="482"/>
      <c r="D4693" s="490"/>
      <c r="E4693" s="482"/>
      <c r="F4693" s="482"/>
    </row>
    <row r="4694" spans="1:6">
      <c r="A4694" s="482"/>
      <c r="B4694" s="482"/>
      <c r="C4694" s="482"/>
      <c r="D4694" s="490"/>
      <c r="E4694" s="482"/>
      <c r="F4694" s="482"/>
    </row>
    <row r="4695" spans="1:6">
      <c r="A4695" s="482"/>
      <c r="B4695" s="482"/>
      <c r="C4695" s="482"/>
      <c r="D4695" s="490"/>
      <c r="E4695" s="482"/>
      <c r="F4695" s="482"/>
    </row>
    <row r="4696" spans="1:6">
      <c r="A4696" s="482"/>
      <c r="B4696" s="482"/>
      <c r="C4696" s="482"/>
      <c r="D4696" s="490"/>
      <c r="E4696" s="482"/>
      <c r="F4696" s="482"/>
    </row>
    <row r="4697" spans="1:6">
      <c r="A4697" s="482"/>
      <c r="B4697" s="482"/>
      <c r="C4697" s="482"/>
      <c r="D4697" s="490"/>
      <c r="E4697" s="482"/>
      <c r="F4697" s="482"/>
    </row>
    <row r="4698" spans="1:6">
      <c r="A4698" s="482"/>
      <c r="B4698" s="482"/>
      <c r="C4698" s="482"/>
      <c r="D4698" s="490"/>
      <c r="E4698" s="482"/>
      <c r="F4698" s="482"/>
    </row>
    <row r="4699" spans="1:6">
      <c r="A4699" s="482"/>
      <c r="B4699" s="482"/>
      <c r="C4699" s="482"/>
      <c r="D4699" s="490"/>
      <c r="E4699" s="482"/>
      <c r="F4699" s="482"/>
    </row>
    <row r="4700" spans="1:6">
      <c r="A4700" s="482"/>
      <c r="B4700" s="482"/>
      <c r="C4700" s="482"/>
      <c r="D4700" s="490"/>
      <c r="E4700" s="482"/>
      <c r="F4700" s="482"/>
    </row>
    <row r="4701" spans="1:6">
      <c r="A4701" s="482"/>
      <c r="B4701" s="482"/>
      <c r="C4701" s="482"/>
      <c r="D4701" s="490"/>
      <c r="E4701" s="482"/>
      <c r="F4701" s="482"/>
    </row>
    <row r="4702" spans="1:6">
      <c r="A4702" s="482"/>
      <c r="B4702" s="482"/>
      <c r="C4702" s="482"/>
      <c r="D4702" s="490"/>
      <c r="E4702" s="482"/>
      <c r="F4702" s="482"/>
    </row>
    <row r="4703" spans="1:6">
      <c r="A4703" s="482"/>
      <c r="B4703" s="482"/>
      <c r="C4703" s="482"/>
      <c r="D4703" s="490"/>
      <c r="E4703" s="482"/>
      <c r="F4703" s="482"/>
    </row>
    <row r="4704" spans="1:6">
      <c r="A4704" s="482"/>
      <c r="B4704" s="482"/>
      <c r="C4704" s="482"/>
      <c r="D4704" s="490"/>
      <c r="E4704" s="482"/>
      <c r="F4704" s="482"/>
    </row>
    <row r="4705" spans="1:6">
      <c r="A4705" s="482"/>
      <c r="B4705" s="482"/>
      <c r="C4705" s="482"/>
      <c r="D4705" s="490"/>
      <c r="E4705" s="482"/>
      <c r="F4705" s="482"/>
    </row>
    <row r="4706" spans="1:6">
      <c r="A4706" s="482"/>
      <c r="B4706" s="482"/>
      <c r="C4706" s="482"/>
      <c r="D4706" s="490"/>
      <c r="E4706" s="482"/>
      <c r="F4706" s="482"/>
    </row>
    <row r="4707" spans="1:6">
      <c r="A4707" s="482"/>
      <c r="B4707" s="482"/>
      <c r="C4707" s="482"/>
      <c r="D4707" s="490"/>
      <c r="E4707" s="482"/>
      <c r="F4707" s="482"/>
    </row>
    <row r="4708" spans="1:6">
      <c r="A4708" s="482"/>
      <c r="B4708" s="482"/>
      <c r="C4708" s="482"/>
      <c r="D4708" s="490"/>
      <c r="E4708" s="482"/>
      <c r="F4708" s="482"/>
    </row>
    <row r="4709" spans="1:6">
      <c r="A4709" s="482"/>
      <c r="B4709" s="482"/>
      <c r="C4709" s="482"/>
      <c r="D4709" s="490"/>
      <c r="E4709" s="482"/>
      <c r="F4709" s="482"/>
    </row>
    <row r="4710" spans="1:6">
      <c r="A4710" s="482"/>
      <c r="B4710" s="482"/>
      <c r="C4710" s="482"/>
      <c r="D4710" s="490"/>
      <c r="E4710" s="482"/>
      <c r="F4710" s="482"/>
    </row>
    <row r="4711" spans="1:6">
      <c r="A4711" s="482"/>
      <c r="B4711" s="482"/>
      <c r="C4711" s="482"/>
      <c r="D4711" s="490"/>
      <c r="E4711" s="482"/>
      <c r="F4711" s="482"/>
    </row>
    <row r="4712" spans="1:6">
      <c r="A4712" s="482"/>
      <c r="B4712" s="482"/>
      <c r="C4712" s="482"/>
      <c r="D4712" s="490"/>
      <c r="E4712" s="482"/>
      <c r="F4712" s="482"/>
    </row>
    <row r="4713" spans="1:6">
      <c r="A4713" s="482"/>
      <c r="B4713" s="482"/>
      <c r="C4713" s="482"/>
      <c r="D4713" s="490"/>
      <c r="E4713" s="482"/>
      <c r="F4713" s="482"/>
    </row>
    <row r="4714" spans="1:6">
      <c r="A4714" s="482"/>
      <c r="B4714" s="482"/>
      <c r="C4714" s="482"/>
      <c r="D4714" s="490"/>
      <c r="E4714" s="482"/>
      <c r="F4714" s="482"/>
    </row>
    <row r="4715" spans="1:6">
      <c r="A4715" s="482"/>
      <c r="B4715" s="482"/>
      <c r="C4715" s="482"/>
      <c r="D4715" s="490"/>
      <c r="E4715" s="482"/>
      <c r="F4715" s="482"/>
    </row>
    <row r="4716" spans="1:6">
      <c r="A4716" s="482"/>
      <c r="B4716" s="482"/>
      <c r="C4716" s="482"/>
      <c r="D4716" s="490"/>
      <c r="E4716" s="482"/>
      <c r="F4716" s="482"/>
    </row>
    <row r="4717" spans="1:6">
      <c r="A4717" s="482"/>
      <c r="B4717" s="482"/>
      <c r="C4717" s="482"/>
      <c r="D4717" s="490"/>
      <c r="E4717" s="482"/>
      <c r="F4717" s="482"/>
    </row>
    <row r="4718" spans="1:6">
      <c r="A4718" s="482"/>
      <c r="B4718" s="482"/>
      <c r="C4718" s="482"/>
      <c r="D4718" s="490"/>
      <c r="E4718" s="482"/>
      <c r="F4718" s="482"/>
    </row>
    <row r="4719" spans="1:6">
      <c r="A4719" s="482"/>
      <c r="B4719" s="482"/>
      <c r="C4719" s="482"/>
      <c r="D4719" s="490"/>
      <c r="E4719" s="482"/>
      <c r="F4719" s="482"/>
    </row>
    <row r="4720" spans="1:6">
      <c r="A4720" s="482"/>
      <c r="B4720" s="482"/>
      <c r="C4720" s="482"/>
      <c r="D4720" s="490"/>
      <c r="E4720" s="482"/>
      <c r="F4720" s="482"/>
    </row>
    <row r="4721" spans="1:6">
      <c r="A4721" s="482"/>
      <c r="B4721" s="482"/>
      <c r="C4721" s="482"/>
      <c r="D4721" s="490"/>
      <c r="E4721" s="482"/>
      <c r="F4721" s="482"/>
    </row>
    <row r="4722" spans="1:6">
      <c r="A4722" s="482"/>
      <c r="B4722" s="482"/>
      <c r="C4722" s="482"/>
      <c r="D4722" s="490"/>
      <c r="E4722" s="482"/>
      <c r="F4722" s="482"/>
    </row>
    <row r="4723" spans="1:6">
      <c r="A4723" s="482"/>
      <c r="B4723" s="482"/>
      <c r="C4723" s="482"/>
      <c r="D4723" s="490"/>
      <c r="E4723" s="482"/>
      <c r="F4723" s="482"/>
    </row>
    <row r="4724" spans="1:6">
      <c r="A4724" s="482"/>
      <c r="B4724" s="482"/>
      <c r="C4724" s="482"/>
      <c r="D4724" s="490"/>
      <c r="E4724" s="482"/>
      <c r="F4724" s="482"/>
    </row>
    <row r="4725" spans="1:6">
      <c r="A4725" s="482"/>
      <c r="B4725" s="482"/>
      <c r="C4725" s="482"/>
      <c r="D4725" s="490"/>
      <c r="E4725" s="482"/>
      <c r="F4725" s="482"/>
    </row>
    <row r="4726" spans="1:6">
      <c r="A4726" s="482"/>
      <c r="B4726" s="482"/>
      <c r="C4726" s="482"/>
      <c r="D4726" s="490"/>
      <c r="E4726" s="482"/>
      <c r="F4726" s="482"/>
    </row>
    <row r="4727" spans="1:6">
      <c r="A4727" s="482"/>
      <c r="B4727" s="482"/>
      <c r="C4727" s="482"/>
      <c r="D4727" s="490"/>
      <c r="E4727" s="482"/>
      <c r="F4727" s="482"/>
    </row>
    <row r="4728" spans="1:6">
      <c r="A4728" s="482"/>
      <c r="B4728" s="482"/>
      <c r="C4728" s="482"/>
      <c r="D4728" s="490"/>
      <c r="E4728" s="482"/>
      <c r="F4728" s="482"/>
    </row>
    <row r="4729" spans="1:6">
      <c r="A4729" s="482"/>
      <c r="B4729" s="482"/>
      <c r="C4729" s="482"/>
      <c r="D4729" s="490"/>
      <c r="E4729" s="482"/>
      <c r="F4729" s="482"/>
    </row>
    <row r="4730" spans="1:6">
      <c r="A4730" s="482"/>
      <c r="B4730" s="482"/>
      <c r="C4730" s="482"/>
      <c r="D4730" s="490"/>
      <c r="E4730" s="482"/>
      <c r="F4730" s="482"/>
    </row>
    <row r="4731" spans="1:6">
      <c r="A4731" s="482"/>
      <c r="B4731" s="482"/>
      <c r="C4731" s="482"/>
      <c r="D4731" s="490"/>
      <c r="E4731" s="482"/>
      <c r="F4731" s="482"/>
    </row>
    <row r="4732" spans="1:6">
      <c r="A4732" s="482"/>
      <c r="B4732" s="482"/>
      <c r="C4732" s="482"/>
      <c r="D4732" s="490"/>
      <c r="E4732" s="482"/>
      <c r="F4732" s="482"/>
    </row>
    <row r="4733" spans="1:6">
      <c r="A4733" s="482"/>
      <c r="B4733" s="482"/>
      <c r="C4733" s="482"/>
      <c r="D4733" s="490"/>
      <c r="E4733" s="482"/>
      <c r="F4733" s="482"/>
    </row>
    <row r="4734" spans="1:6">
      <c r="A4734" s="482"/>
      <c r="B4734" s="482"/>
      <c r="C4734" s="482"/>
      <c r="D4734" s="490"/>
      <c r="E4734" s="482"/>
      <c r="F4734" s="482"/>
    </row>
    <row r="4735" spans="1:6">
      <c r="A4735" s="482"/>
      <c r="B4735" s="482"/>
      <c r="C4735" s="482"/>
      <c r="D4735" s="490"/>
      <c r="E4735" s="482"/>
      <c r="F4735" s="482"/>
    </row>
    <row r="4736" spans="1:6">
      <c r="A4736" s="482"/>
      <c r="B4736" s="482"/>
      <c r="C4736" s="482"/>
      <c r="D4736" s="490"/>
      <c r="E4736" s="482"/>
      <c r="F4736" s="482"/>
    </row>
    <row r="4737" spans="1:6">
      <c r="A4737" s="482"/>
      <c r="B4737" s="482"/>
      <c r="C4737" s="482"/>
      <c r="D4737" s="490"/>
      <c r="E4737" s="482"/>
      <c r="F4737" s="482"/>
    </row>
    <row r="4738" spans="1:6">
      <c r="A4738" s="482"/>
      <c r="B4738" s="482"/>
      <c r="C4738" s="482"/>
      <c r="D4738" s="490"/>
      <c r="E4738" s="482"/>
      <c r="F4738" s="482"/>
    </row>
    <row r="4739" spans="1:6">
      <c r="A4739" s="482"/>
      <c r="B4739" s="482"/>
      <c r="C4739" s="482"/>
      <c r="D4739" s="490"/>
      <c r="E4739" s="482"/>
      <c r="F4739" s="482"/>
    </row>
    <row r="4740" spans="1:6">
      <c r="A4740" s="482"/>
      <c r="B4740" s="482"/>
      <c r="C4740" s="482"/>
      <c r="D4740" s="490"/>
      <c r="E4740" s="482"/>
      <c r="F4740" s="482"/>
    </row>
    <row r="4741" spans="1:6">
      <c r="A4741" s="482"/>
      <c r="B4741" s="482"/>
      <c r="C4741" s="482"/>
      <c r="D4741" s="490"/>
      <c r="E4741" s="482"/>
      <c r="F4741" s="482"/>
    </row>
    <row r="4742" spans="1:6">
      <c r="A4742" s="482"/>
      <c r="B4742" s="482"/>
      <c r="C4742" s="482"/>
      <c r="D4742" s="490"/>
      <c r="E4742" s="482"/>
      <c r="F4742" s="482"/>
    </row>
    <row r="4743" spans="1:6">
      <c r="A4743" s="482"/>
      <c r="B4743" s="482"/>
      <c r="C4743" s="482"/>
      <c r="D4743" s="490"/>
      <c r="E4743" s="482"/>
      <c r="F4743" s="482"/>
    </row>
    <row r="4744" spans="1:6">
      <c r="A4744" s="482"/>
      <c r="B4744" s="482"/>
      <c r="C4744" s="482"/>
      <c r="D4744" s="490"/>
      <c r="E4744" s="482"/>
      <c r="F4744" s="482"/>
    </row>
    <row r="4745" spans="1:6">
      <c r="A4745" s="482"/>
      <c r="B4745" s="482"/>
      <c r="C4745" s="482"/>
      <c r="D4745" s="490"/>
      <c r="E4745" s="482"/>
      <c r="F4745" s="482"/>
    </row>
    <row r="4746" spans="1:6">
      <c r="A4746" s="482"/>
      <c r="B4746" s="482"/>
      <c r="C4746" s="482"/>
      <c r="D4746" s="490"/>
      <c r="E4746" s="482"/>
      <c r="F4746" s="482"/>
    </row>
    <row r="4747" spans="1:6">
      <c r="A4747" s="482"/>
      <c r="B4747" s="482"/>
      <c r="C4747" s="482"/>
      <c r="D4747" s="490"/>
      <c r="E4747" s="482"/>
      <c r="F4747" s="482"/>
    </row>
    <row r="4748" spans="1:6">
      <c r="A4748" s="482"/>
      <c r="B4748" s="482"/>
      <c r="C4748" s="482"/>
      <c r="D4748" s="490"/>
      <c r="E4748" s="482"/>
      <c r="F4748" s="482"/>
    </row>
    <row r="4749" spans="1:6">
      <c r="A4749" s="482"/>
      <c r="B4749" s="482"/>
      <c r="C4749" s="482"/>
      <c r="D4749" s="490"/>
      <c r="E4749" s="482"/>
      <c r="F4749" s="482"/>
    </row>
    <row r="4750" spans="1:6">
      <c r="A4750" s="482"/>
      <c r="B4750" s="482"/>
      <c r="C4750" s="482"/>
      <c r="D4750" s="490"/>
      <c r="E4750" s="482"/>
      <c r="F4750" s="482"/>
    </row>
    <row r="4751" spans="1:6">
      <c r="A4751" s="482"/>
      <c r="B4751" s="482"/>
      <c r="C4751" s="482"/>
      <c r="D4751" s="490"/>
      <c r="E4751" s="482"/>
      <c r="F4751" s="482"/>
    </row>
    <row r="4752" spans="1:6">
      <c r="A4752" s="482"/>
      <c r="B4752" s="482"/>
      <c r="C4752" s="482"/>
      <c r="D4752" s="490"/>
      <c r="E4752" s="482"/>
      <c r="F4752" s="482"/>
    </row>
    <row r="4753" spans="1:6">
      <c r="A4753" s="482"/>
      <c r="B4753" s="482"/>
      <c r="C4753" s="482"/>
      <c r="D4753" s="490"/>
      <c r="E4753" s="482"/>
      <c r="F4753" s="482"/>
    </row>
    <row r="4754" spans="1:6">
      <c r="A4754" s="482"/>
      <c r="B4754" s="482"/>
      <c r="C4754" s="482"/>
      <c r="D4754" s="490"/>
      <c r="E4754" s="482"/>
      <c r="F4754" s="482"/>
    </row>
    <row r="4755" spans="1:6">
      <c r="A4755" s="482"/>
      <c r="B4755" s="482"/>
      <c r="C4755" s="482"/>
      <c r="D4755" s="490"/>
      <c r="E4755" s="482"/>
      <c r="F4755" s="482"/>
    </row>
    <row r="4756" spans="1:6">
      <c r="A4756" s="482"/>
      <c r="B4756" s="482"/>
      <c r="C4756" s="482"/>
      <c r="D4756" s="490"/>
      <c r="E4756" s="482"/>
      <c r="F4756" s="482"/>
    </row>
    <row r="4757" spans="1:6">
      <c r="A4757" s="482"/>
      <c r="B4757" s="482"/>
      <c r="C4757" s="482"/>
      <c r="D4757" s="490"/>
      <c r="E4757" s="482"/>
      <c r="F4757" s="482"/>
    </row>
    <row r="4758" spans="1:6">
      <c r="A4758" s="482"/>
      <c r="B4758" s="482"/>
      <c r="C4758" s="482"/>
      <c r="D4758" s="490"/>
      <c r="E4758" s="482"/>
      <c r="F4758" s="482"/>
    </row>
    <row r="4759" spans="1:6">
      <c r="A4759" s="482"/>
      <c r="B4759" s="482"/>
      <c r="C4759" s="482"/>
      <c r="D4759" s="490"/>
      <c r="E4759" s="482"/>
      <c r="F4759" s="482"/>
    </row>
    <row r="4760" spans="1:6">
      <c r="A4760" s="482"/>
      <c r="B4760" s="482"/>
      <c r="C4760" s="482"/>
      <c r="D4760" s="490"/>
      <c r="E4760" s="482"/>
      <c r="F4760" s="482"/>
    </row>
    <row r="4761" spans="1:6">
      <c r="A4761" s="482"/>
      <c r="B4761" s="482"/>
      <c r="C4761" s="482"/>
      <c r="D4761" s="490"/>
      <c r="E4761" s="482"/>
      <c r="F4761" s="482"/>
    </row>
    <row r="4762" spans="1:6">
      <c r="A4762" s="482"/>
      <c r="B4762" s="482"/>
      <c r="C4762" s="482"/>
      <c r="D4762" s="490"/>
      <c r="E4762" s="482"/>
      <c r="F4762" s="482"/>
    </row>
    <row r="4763" spans="1:6">
      <c r="A4763" s="482"/>
      <c r="B4763" s="482"/>
      <c r="C4763" s="482"/>
      <c r="D4763" s="490"/>
      <c r="E4763" s="482"/>
      <c r="F4763" s="482"/>
    </row>
    <row r="4764" spans="1:6">
      <c r="A4764" s="482"/>
      <c r="B4764" s="482"/>
      <c r="C4764" s="482"/>
      <c r="D4764" s="490"/>
      <c r="E4764" s="482"/>
      <c r="F4764" s="482"/>
    </row>
    <row r="4765" spans="1:6">
      <c r="A4765" s="482"/>
      <c r="B4765" s="482"/>
      <c r="C4765" s="482"/>
      <c r="D4765" s="490"/>
      <c r="E4765" s="482"/>
      <c r="F4765" s="482"/>
    </row>
    <row r="4766" spans="1:6">
      <c r="A4766" s="482"/>
      <c r="B4766" s="482"/>
      <c r="C4766" s="482"/>
      <c r="D4766" s="490"/>
      <c r="E4766" s="482"/>
      <c r="F4766" s="482"/>
    </row>
    <row r="4767" spans="1:6">
      <c r="A4767" s="482"/>
      <c r="B4767" s="482"/>
      <c r="C4767" s="482"/>
      <c r="D4767" s="490"/>
      <c r="E4767" s="482"/>
      <c r="F4767" s="482"/>
    </row>
    <row r="4768" spans="1:6">
      <c r="A4768" s="482"/>
      <c r="B4768" s="482"/>
      <c r="C4768" s="482"/>
      <c r="D4768" s="490"/>
      <c r="E4768" s="482"/>
      <c r="F4768" s="482"/>
    </row>
    <row r="4769" spans="1:6">
      <c r="A4769" s="482"/>
      <c r="B4769" s="482"/>
      <c r="C4769" s="482"/>
      <c r="D4769" s="490"/>
      <c r="E4769" s="482"/>
      <c r="F4769" s="482"/>
    </row>
    <row r="4770" spans="1:6">
      <c r="A4770" s="482"/>
      <c r="B4770" s="482"/>
      <c r="C4770" s="482"/>
      <c r="D4770" s="490"/>
      <c r="E4770" s="482"/>
      <c r="F4770" s="482"/>
    </row>
    <row r="4771" spans="1:6">
      <c r="A4771" s="482"/>
      <c r="B4771" s="482"/>
      <c r="C4771" s="482"/>
      <c r="D4771" s="490"/>
      <c r="E4771" s="482"/>
      <c r="F4771" s="482"/>
    </row>
    <row r="4772" spans="1:6">
      <c r="A4772" s="482"/>
      <c r="B4772" s="482"/>
      <c r="C4772" s="482"/>
      <c r="D4772" s="490"/>
      <c r="E4772" s="482"/>
      <c r="F4772" s="482"/>
    </row>
    <row r="4773" spans="1:6">
      <c r="A4773" s="482"/>
      <c r="B4773" s="482"/>
      <c r="C4773" s="482"/>
      <c r="D4773" s="490"/>
      <c r="E4773" s="482"/>
      <c r="F4773" s="482"/>
    </row>
    <row r="4774" spans="1:6">
      <c r="A4774" s="482"/>
      <c r="B4774" s="482"/>
      <c r="C4774" s="482"/>
      <c r="D4774" s="490"/>
      <c r="E4774" s="482"/>
      <c r="F4774" s="482"/>
    </row>
    <row r="4775" spans="1:6">
      <c r="A4775" s="482"/>
      <c r="B4775" s="482"/>
      <c r="C4775" s="482"/>
      <c r="D4775" s="490"/>
      <c r="E4775" s="482"/>
      <c r="F4775" s="482"/>
    </row>
    <row r="4776" spans="1:6">
      <c r="A4776" s="482"/>
      <c r="B4776" s="482"/>
      <c r="C4776" s="482"/>
      <c r="D4776" s="490"/>
      <c r="E4776" s="482"/>
      <c r="F4776" s="482"/>
    </row>
    <row r="4777" spans="1:6">
      <c r="A4777" s="482"/>
      <c r="B4777" s="482"/>
      <c r="C4777" s="482"/>
      <c r="D4777" s="490"/>
      <c r="E4777" s="482"/>
      <c r="F4777" s="482"/>
    </row>
    <row r="4778" spans="1:6">
      <c r="A4778" s="482"/>
      <c r="B4778" s="482"/>
      <c r="C4778" s="482"/>
      <c r="D4778" s="490"/>
      <c r="E4778" s="482"/>
      <c r="F4778" s="482"/>
    </row>
    <row r="4779" spans="1:6">
      <c r="A4779" s="482"/>
      <c r="B4779" s="482"/>
      <c r="C4779" s="482"/>
      <c r="D4779" s="490"/>
      <c r="E4779" s="482"/>
      <c r="F4779" s="482"/>
    </row>
    <row r="4780" spans="1:6">
      <c r="A4780" s="482"/>
      <c r="B4780" s="482"/>
      <c r="C4780" s="482"/>
      <c r="D4780" s="490"/>
      <c r="E4780" s="482"/>
      <c r="F4780" s="482"/>
    </row>
    <row r="4781" spans="1:6">
      <c r="A4781" s="482"/>
      <c r="B4781" s="482"/>
      <c r="C4781" s="482"/>
      <c r="D4781" s="490"/>
      <c r="E4781" s="482"/>
      <c r="F4781" s="482"/>
    </row>
    <row r="4782" spans="1:6">
      <c r="A4782" s="482"/>
      <c r="B4782" s="482"/>
      <c r="C4782" s="482"/>
      <c r="D4782" s="490"/>
      <c r="E4782" s="482"/>
      <c r="F4782" s="482"/>
    </row>
    <row r="4783" spans="1:6">
      <c r="A4783" s="482"/>
      <c r="B4783" s="482"/>
      <c r="C4783" s="482"/>
      <c r="D4783" s="490"/>
      <c r="E4783" s="482"/>
      <c r="F4783" s="482"/>
    </row>
    <row r="4784" spans="1:6">
      <c r="A4784" s="482"/>
      <c r="B4784" s="482"/>
      <c r="C4784" s="482"/>
      <c r="D4784" s="490"/>
      <c r="E4784" s="482"/>
      <c r="F4784" s="482"/>
    </row>
    <row r="4785" spans="1:6">
      <c r="A4785" s="482"/>
      <c r="B4785" s="482"/>
      <c r="C4785" s="482"/>
      <c r="D4785" s="490"/>
      <c r="E4785" s="482"/>
      <c r="F4785" s="482"/>
    </row>
    <row r="4786" spans="1:6">
      <c r="A4786" s="482"/>
      <c r="B4786" s="482"/>
      <c r="C4786" s="482"/>
      <c r="D4786" s="490"/>
      <c r="E4786" s="482"/>
      <c r="F4786" s="482"/>
    </row>
    <row r="4787" spans="1:6">
      <c r="A4787" s="482"/>
      <c r="B4787" s="482"/>
      <c r="C4787" s="482"/>
      <c r="D4787" s="490"/>
      <c r="E4787" s="482"/>
      <c r="F4787" s="482"/>
    </row>
    <row r="4788" spans="1:6">
      <c r="A4788" s="482"/>
      <c r="B4788" s="482"/>
      <c r="C4788" s="482"/>
      <c r="D4788" s="490"/>
      <c r="E4788" s="482"/>
      <c r="F4788" s="482"/>
    </row>
    <row r="4789" spans="1:6">
      <c r="A4789" s="482"/>
      <c r="B4789" s="482"/>
      <c r="C4789" s="482"/>
      <c r="D4789" s="490"/>
      <c r="E4789" s="482"/>
      <c r="F4789" s="482"/>
    </row>
    <row r="4790" spans="1:6">
      <c r="A4790" s="482"/>
      <c r="B4790" s="482"/>
      <c r="C4790" s="482"/>
      <c r="D4790" s="490"/>
      <c r="E4790" s="482"/>
      <c r="F4790" s="482"/>
    </row>
    <row r="4791" spans="1:6">
      <c r="A4791" s="482"/>
      <c r="B4791" s="482"/>
      <c r="C4791" s="482"/>
      <c r="D4791" s="490"/>
      <c r="E4791" s="482"/>
      <c r="F4791" s="482"/>
    </row>
    <row r="4792" spans="1:6">
      <c r="A4792" s="482"/>
      <c r="B4792" s="482"/>
      <c r="C4792" s="482"/>
      <c r="D4792" s="490"/>
      <c r="E4792" s="482"/>
      <c r="F4792" s="482"/>
    </row>
    <row r="4793" spans="1:6">
      <c r="A4793" s="482"/>
      <c r="B4793" s="482"/>
      <c r="C4793" s="482"/>
      <c r="D4793" s="490"/>
      <c r="E4793" s="482"/>
      <c r="F4793" s="482"/>
    </row>
    <row r="4794" spans="1:6">
      <c r="A4794" s="482"/>
      <c r="B4794" s="482"/>
      <c r="C4794" s="482"/>
      <c r="D4794" s="490"/>
      <c r="E4794" s="482"/>
      <c r="F4794" s="482"/>
    </row>
    <row r="4795" spans="1:6">
      <c r="A4795" s="482"/>
      <c r="B4795" s="482"/>
      <c r="C4795" s="482"/>
      <c r="D4795" s="490"/>
      <c r="E4795" s="482"/>
      <c r="F4795" s="482"/>
    </row>
    <row r="4796" spans="1:6">
      <c r="A4796" s="482"/>
      <c r="B4796" s="482"/>
      <c r="C4796" s="482"/>
      <c r="D4796" s="490"/>
      <c r="E4796" s="482"/>
      <c r="F4796" s="482"/>
    </row>
    <row r="4797" spans="1:6">
      <c r="A4797" s="482"/>
      <c r="B4797" s="482"/>
      <c r="C4797" s="482"/>
      <c r="D4797" s="490"/>
      <c r="E4797" s="482"/>
      <c r="F4797" s="482"/>
    </row>
    <row r="4798" spans="1:6">
      <c r="A4798" s="482"/>
      <c r="B4798" s="482"/>
      <c r="C4798" s="482"/>
      <c r="D4798" s="490"/>
      <c r="E4798" s="482"/>
      <c r="F4798" s="482"/>
    </row>
    <row r="4799" spans="1:6">
      <c r="A4799" s="482"/>
      <c r="B4799" s="482"/>
      <c r="C4799" s="482"/>
      <c r="D4799" s="490"/>
      <c r="E4799" s="482"/>
      <c r="F4799" s="482"/>
    </row>
    <row r="4800" spans="1:6">
      <c r="A4800" s="482"/>
      <c r="B4800" s="482"/>
      <c r="C4800" s="482"/>
      <c r="D4800" s="490"/>
      <c r="E4800" s="482"/>
      <c r="F4800" s="482"/>
    </row>
    <row r="4801" spans="1:6">
      <c r="A4801" s="482"/>
      <c r="B4801" s="482"/>
      <c r="C4801" s="482"/>
      <c r="D4801" s="490"/>
      <c r="E4801" s="482"/>
      <c r="F4801" s="482"/>
    </row>
    <row r="4802" spans="1:6">
      <c r="A4802" s="482"/>
      <c r="B4802" s="482"/>
      <c r="C4802" s="482"/>
      <c r="D4802" s="490"/>
      <c r="E4802" s="482"/>
      <c r="F4802" s="482"/>
    </row>
    <row r="4803" spans="1:6">
      <c r="A4803" s="482"/>
      <c r="B4803" s="482"/>
      <c r="C4803" s="482"/>
      <c r="D4803" s="490"/>
      <c r="E4803" s="482"/>
      <c r="F4803" s="482"/>
    </row>
    <row r="4804" spans="1:6">
      <c r="A4804" s="482"/>
      <c r="B4804" s="482"/>
      <c r="C4804" s="482"/>
      <c r="D4804" s="490"/>
      <c r="E4804" s="482"/>
      <c r="F4804" s="482"/>
    </row>
    <row r="4805" spans="1:6">
      <c r="A4805" s="482"/>
      <c r="B4805" s="482"/>
      <c r="C4805" s="482"/>
      <c r="D4805" s="490"/>
      <c r="E4805" s="482"/>
      <c r="F4805" s="482"/>
    </row>
    <row r="4806" spans="1:6">
      <c r="A4806" s="482"/>
      <c r="B4806" s="482"/>
      <c r="C4806" s="482"/>
      <c r="D4806" s="490"/>
      <c r="E4806" s="482"/>
      <c r="F4806" s="482"/>
    </row>
    <row r="4807" spans="1:6">
      <c r="A4807" s="482"/>
      <c r="B4807" s="482"/>
      <c r="C4807" s="482"/>
      <c r="D4807" s="490"/>
      <c r="E4807" s="482"/>
      <c r="F4807" s="482"/>
    </row>
    <row r="4808" spans="1:6">
      <c r="A4808" s="482"/>
      <c r="B4808" s="482"/>
      <c r="C4808" s="482"/>
      <c r="D4808" s="490"/>
      <c r="E4808" s="482"/>
      <c r="F4808" s="482"/>
    </row>
    <row r="4809" spans="1:6">
      <c r="A4809" s="482"/>
      <c r="B4809" s="482"/>
      <c r="C4809" s="482"/>
      <c r="D4809" s="490"/>
      <c r="E4809" s="482"/>
      <c r="F4809" s="482"/>
    </row>
    <row r="4810" spans="1:6">
      <c r="A4810" s="482"/>
      <c r="B4810" s="482"/>
      <c r="C4810" s="482"/>
      <c r="D4810" s="490"/>
      <c r="E4810" s="482"/>
      <c r="F4810" s="482"/>
    </row>
    <row r="4811" spans="1:6">
      <c r="A4811" s="482"/>
      <c r="B4811" s="482"/>
      <c r="C4811" s="482"/>
      <c r="D4811" s="490"/>
      <c r="E4811" s="482"/>
      <c r="F4811" s="482"/>
    </row>
    <row r="4812" spans="1:6">
      <c r="A4812" s="482"/>
      <c r="B4812" s="482"/>
      <c r="C4812" s="482"/>
      <c r="D4812" s="490"/>
      <c r="E4812" s="482"/>
      <c r="F4812" s="482"/>
    </row>
    <row r="4813" spans="1:6">
      <c r="A4813" s="482"/>
      <c r="B4813" s="482"/>
      <c r="C4813" s="482"/>
      <c r="D4813" s="490"/>
      <c r="E4813" s="482"/>
      <c r="F4813" s="482"/>
    </row>
    <row r="4814" spans="1:6">
      <c r="A4814" s="482"/>
      <c r="B4814" s="482"/>
      <c r="C4814" s="482"/>
      <c r="D4814" s="490"/>
      <c r="E4814" s="482"/>
      <c r="F4814" s="482"/>
    </row>
    <row r="4815" spans="1:6">
      <c r="A4815" s="482"/>
      <c r="B4815" s="482"/>
      <c r="C4815" s="482"/>
      <c r="D4815" s="490"/>
      <c r="E4815" s="482"/>
      <c r="F4815" s="482"/>
    </row>
    <row r="4816" spans="1:6">
      <c r="A4816" s="482"/>
      <c r="B4816" s="482"/>
      <c r="C4816" s="482"/>
      <c r="D4816" s="490"/>
      <c r="E4816" s="482"/>
      <c r="F4816" s="482"/>
    </row>
    <row r="4817" spans="1:6">
      <c r="A4817" s="482"/>
      <c r="B4817" s="482"/>
      <c r="C4817" s="482"/>
      <c r="D4817" s="490"/>
      <c r="E4817" s="482"/>
      <c r="F4817" s="482"/>
    </row>
    <row r="4818" spans="1:6">
      <c r="A4818" s="482"/>
      <c r="B4818" s="482"/>
      <c r="C4818" s="482"/>
      <c r="D4818" s="490"/>
      <c r="E4818" s="482"/>
      <c r="F4818" s="482"/>
    </row>
    <row r="4819" spans="1:6">
      <c r="A4819" s="482"/>
      <c r="B4819" s="482"/>
      <c r="C4819" s="482"/>
      <c r="D4819" s="490"/>
      <c r="E4819" s="482"/>
      <c r="F4819" s="482"/>
    </row>
    <row r="4820" spans="1:6">
      <c r="A4820" s="482"/>
      <c r="B4820" s="482"/>
      <c r="C4820" s="482"/>
      <c r="D4820" s="490"/>
      <c r="E4820" s="482"/>
      <c r="F4820" s="482"/>
    </row>
    <row r="4821" spans="1:6">
      <c r="A4821" s="482"/>
      <c r="B4821" s="482"/>
      <c r="C4821" s="482"/>
      <c r="D4821" s="490"/>
      <c r="E4821" s="482"/>
      <c r="F4821" s="482"/>
    </row>
    <row r="4822" spans="1:6">
      <c r="A4822" s="482"/>
      <c r="B4822" s="482"/>
      <c r="C4822" s="482"/>
      <c r="D4822" s="490"/>
      <c r="E4822" s="482"/>
      <c r="F4822" s="482"/>
    </row>
    <row r="4823" spans="1:6">
      <c r="A4823" s="482"/>
      <c r="B4823" s="482"/>
      <c r="C4823" s="482"/>
      <c r="D4823" s="490"/>
      <c r="E4823" s="482"/>
      <c r="F4823" s="482"/>
    </row>
    <row r="4824" spans="1:6">
      <c r="A4824" s="482"/>
      <c r="B4824" s="482"/>
      <c r="C4824" s="482"/>
      <c r="D4824" s="490"/>
      <c r="E4824" s="482"/>
      <c r="F4824" s="482"/>
    </row>
    <row r="4825" spans="1:6">
      <c r="A4825" s="482"/>
      <c r="B4825" s="482"/>
      <c r="C4825" s="482"/>
      <c r="D4825" s="490"/>
      <c r="E4825" s="482"/>
      <c r="F4825" s="482"/>
    </row>
    <row r="4826" spans="1:6">
      <c r="A4826" s="482"/>
      <c r="B4826" s="482"/>
      <c r="C4826" s="482"/>
      <c r="D4826" s="490"/>
      <c r="E4826" s="482"/>
      <c r="F4826" s="482"/>
    </row>
    <row r="4827" spans="1:6">
      <c r="A4827" s="482"/>
      <c r="B4827" s="482"/>
      <c r="C4827" s="482"/>
      <c r="D4827" s="490"/>
      <c r="E4827" s="482"/>
      <c r="F4827" s="482"/>
    </row>
    <row r="4828" spans="1:6">
      <c r="A4828" s="482"/>
      <c r="B4828" s="482"/>
      <c r="C4828" s="482"/>
      <c r="D4828" s="490"/>
      <c r="E4828" s="482"/>
      <c r="F4828" s="482"/>
    </row>
    <row r="4829" spans="1:6">
      <c r="A4829" s="482"/>
      <c r="B4829" s="482"/>
      <c r="C4829" s="482"/>
      <c r="D4829" s="490"/>
      <c r="E4829" s="482"/>
      <c r="F4829" s="482"/>
    </row>
    <row r="4830" spans="1:6">
      <c r="A4830" s="482"/>
      <c r="B4830" s="482"/>
      <c r="C4830" s="482"/>
      <c r="D4830" s="490"/>
      <c r="E4830" s="482"/>
      <c r="F4830" s="482"/>
    </row>
    <row r="4831" spans="1:6">
      <c r="A4831" s="482"/>
      <c r="B4831" s="482"/>
      <c r="C4831" s="482"/>
      <c r="D4831" s="490"/>
      <c r="E4831" s="482"/>
      <c r="F4831" s="482"/>
    </row>
    <row r="4832" spans="1:6">
      <c r="A4832" s="482"/>
      <c r="B4832" s="482"/>
      <c r="C4832" s="482"/>
      <c r="D4832" s="490"/>
      <c r="E4832" s="482"/>
      <c r="F4832" s="482"/>
    </row>
    <row r="4833" spans="1:6">
      <c r="A4833" s="482"/>
      <c r="B4833" s="482"/>
      <c r="C4833" s="482"/>
      <c r="D4833" s="490"/>
      <c r="E4833" s="482"/>
      <c r="F4833" s="482"/>
    </row>
    <row r="4834" spans="1:6">
      <c r="A4834" s="482"/>
      <c r="B4834" s="482"/>
      <c r="C4834" s="482"/>
      <c r="D4834" s="490"/>
      <c r="E4834" s="482"/>
      <c r="F4834" s="482"/>
    </row>
    <row r="4835" spans="1:6">
      <c r="A4835" s="482"/>
      <c r="B4835" s="482"/>
      <c r="C4835" s="482"/>
      <c r="D4835" s="490"/>
      <c r="E4835" s="482"/>
      <c r="F4835" s="482"/>
    </row>
    <row r="4836" spans="1:6">
      <c r="A4836" s="482"/>
      <c r="B4836" s="482"/>
      <c r="C4836" s="482"/>
      <c r="D4836" s="490"/>
      <c r="E4836" s="482"/>
      <c r="F4836" s="482"/>
    </row>
    <row r="4837" spans="1:6">
      <c r="A4837" s="482"/>
      <c r="B4837" s="482"/>
      <c r="C4837" s="482"/>
      <c r="D4837" s="490"/>
      <c r="E4837" s="482"/>
      <c r="F4837" s="482"/>
    </row>
    <row r="4838" spans="1:6">
      <c r="A4838" s="482"/>
      <c r="B4838" s="482"/>
      <c r="C4838" s="482"/>
      <c r="D4838" s="490"/>
      <c r="E4838" s="482"/>
      <c r="F4838" s="482"/>
    </row>
    <row r="4839" spans="1:6">
      <c r="A4839" s="482"/>
      <c r="B4839" s="482"/>
      <c r="C4839" s="482"/>
      <c r="D4839" s="490"/>
      <c r="E4839" s="482"/>
      <c r="F4839" s="482"/>
    </row>
    <row r="4840" spans="1:6">
      <c r="A4840" s="482"/>
      <c r="B4840" s="482"/>
      <c r="C4840" s="482"/>
      <c r="D4840" s="490"/>
      <c r="E4840" s="482"/>
      <c r="F4840" s="482"/>
    </row>
    <row r="4841" spans="1:6">
      <c r="A4841" s="482"/>
      <c r="B4841" s="482"/>
      <c r="C4841" s="482"/>
      <c r="D4841" s="490"/>
      <c r="E4841" s="482"/>
      <c r="F4841" s="482"/>
    </row>
    <row r="4842" spans="1:6">
      <c r="A4842" s="482"/>
      <c r="B4842" s="482"/>
      <c r="C4842" s="482"/>
      <c r="D4842" s="490"/>
      <c r="E4842" s="482"/>
      <c r="F4842" s="482"/>
    </row>
    <row r="4843" spans="1:6">
      <c r="A4843" s="482"/>
      <c r="B4843" s="482"/>
      <c r="C4843" s="482"/>
      <c r="D4843" s="490"/>
      <c r="E4843" s="482"/>
      <c r="F4843" s="482"/>
    </row>
    <row r="4844" spans="1:6">
      <c r="A4844" s="482"/>
      <c r="B4844" s="482"/>
      <c r="C4844" s="482"/>
      <c r="D4844" s="490"/>
      <c r="E4844" s="482"/>
      <c r="F4844" s="482"/>
    </row>
    <row r="4845" spans="1:6">
      <c r="A4845" s="482"/>
      <c r="B4845" s="482"/>
      <c r="C4845" s="482"/>
      <c r="D4845" s="490"/>
      <c r="E4845" s="482"/>
      <c r="F4845" s="482"/>
    </row>
    <row r="4846" spans="1:6">
      <c r="A4846" s="482"/>
      <c r="B4846" s="482"/>
      <c r="C4846" s="482"/>
      <c r="D4846" s="490"/>
      <c r="E4846" s="482"/>
      <c r="F4846" s="482"/>
    </row>
    <row r="4847" spans="1:6">
      <c r="A4847" s="482"/>
      <c r="B4847" s="482"/>
      <c r="C4847" s="482"/>
      <c r="D4847" s="490"/>
      <c r="E4847" s="482"/>
      <c r="F4847" s="482"/>
    </row>
    <row r="4848" spans="1:6">
      <c r="A4848" s="482"/>
      <c r="B4848" s="482"/>
      <c r="C4848" s="482"/>
      <c r="D4848" s="490"/>
      <c r="E4848" s="482"/>
      <c r="F4848" s="482"/>
    </row>
    <row r="4849" spans="1:6">
      <c r="A4849" s="482"/>
      <c r="B4849" s="482"/>
      <c r="C4849" s="482"/>
      <c r="D4849" s="490"/>
      <c r="E4849" s="482"/>
      <c r="F4849" s="482"/>
    </row>
    <row r="4850" spans="1:6">
      <c r="A4850" s="482"/>
      <c r="B4850" s="482"/>
      <c r="C4850" s="482"/>
      <c r="D4850" s="490"/>
      <c r="E4850" s="482"/>
      <c r="F4850" s="482"/>
    </row>
    <row r="4851" spans="1:6">
      <c r="A4851" s="482"/>
      <c r="B4851" s="482"/>
      <c r="C4851" s="482"/>
      <c r="D4851" s="490"/>
      <c r="E4851" s="482"/>
      <c r="F4851" s="482"/>
    </row>
    <row r="4852" spans="1:6">
      <c r="A4852" s="482"/>
      <c r="B4852" s="482"/>
      <c r="C4852" s="482"/>
      <c r="D4852" s="490"/>
      <c r="E4852" s="482"/>
      <c r="F4852" s="482"/>
    </row>
    <row r="4853" spans="1:6">
      <c r="A4853" s="482"/>
      <c r="B4853" s="482"/>
      <c r="C4853" s="482"/>
      <c r="D4853" s="490"/>
      <c r="E4853" s="482"/>
      <c r="F4853" s="482"/>
    </row>
    <row r="4854" spans="1:6">
      <c r="A4854" s="482"/>
      <c r="B4854" s="482"/>
      <c r="C4854" s="482"/>
      <c r="D4854" s="490"/>
      <c r="E4854" s="482"/>
      <c r="F4854" s="482"/>
    </row>
    <row r="4855" spans="1:6">
      <c r="A4855" s="482"/>
      <c r="B4855" s="482"/>
      <c r="C4855" s="482"/>
      <c r="D4855" s="490"/>
      <c r="E4855" s="482"/>
      <c r="F4855" s="482"/>
    </row>
    <row r="4856" spans="1:6">
      <c r="A4856" s="482"/>
      <c r="B4856" s="482"/>
      <c r="C4856" s="482"/>
      <c r="D4856" s="490"/>
      <c r="E4856" s="482"/>
      <c r="F4856" s="482"/>
    </row>
    <row r="4857" spans="1:6">
      <c r="A4857" s="482"/>
      <c r="B4857" s="482"/>
      <c r="C4857" s="482"/>
      <c r="D4857" s="490"/>
      <c r="E4857" s="482"/>
      <c r="F4857" s="482"/>
    </row>
    <row r="4858" spans="1:6">
      <c r="A4858" s="482"/>
      <c r="B4858" s="482"/>
      <c r="C4858" s="482"/>
      <c r="D4858" s="490"/>
      <c r="E4858" s="482"/>
      <c r="F4858" s="482"/>
    </row>
    <row r="4859" spans="1:6">
      <c r="A4859" s="482"/>
      <c r="B4859" s="482"/>
      <c r="C4859" s="482"/>
      <c r="D4859" s="490"/>
      <c r="E4859" s="482"/>
      <c r="F4859" s="482"/>
    </row>
    <row r="4860" spans="1:6">
      <c r="A4860" s="482"/>
      <c r="B4860" s="482"/>
      <c r="C4860" s="482"/>
      <c r="D4860" s="490"/>
      <c r="E4860" s="482"/>
      <c r="F4860" s="482"/>
    </row>
    <row r="4861" spans="1:6">
      <c r="A4861" s="482"/>
      <c r="B4861" s="482"/>
      <c r="C4861" s="482"/>
      <c r="D4861" s="490"/>
      <c r="E4861" s="482"/>
      <c r="F4861" s="482"/>
    </row>
    <row r="4862" spans="1:6">
      <c r="A4862" s="482"/>
      <c r="B4862" s="482"/>
      <c r="C4862" s="482"/>
      <c r="D4862" s="490"/>
      <c r="E4862" s="482"/>
      <c r="F4862" s="482"/>
    </row>
    <row r="4863" spans="1:6">
      <c r="A4863" s="482"/>
      <c r="B4863" s="482"/>
      <c r="C4863" s="482"/>
      <c r="D4863" s="490"/>
      <c r="E4863" s="482"/>
      <c r="F4863" s="482"/>
    </row>
    <row r="4864" spans="1:6">
      <c r="A4864" s="482"/>
      <c r="B4864" s="482"/>
      <c r="C4864" s="482"/>
      <c r="D4864" s="490"/>
      <c r="E4864" s="482"/>
      <c r="F4864" s="482"/>
    </row>
    <row r="4865" spans="1:6">
      <c r="A4865" s="482"/>
      <c r="B4865" s="482"/>
      <c r="C4865" s="482"/>
      <c r="D4865" s="490"/>
      <c r="E4865" s="482"/>
      <c r="F4865" s="482"/>
    </row>
    <row r="4866" spans="1:6">
      <c r="A4866" s="482"/>
      <c r="B4866" s="482"/>
      <c r="C4866" s="482"/>
      <c r="D4866" s="490"/>
      <c r="E4866" s="482"/>
      <c r="F4866" s="482"/>
    </row>
    <row r="4867" spans="1:6">
      <c r="A4867" s="482"/>
      <c r="B4867" s="482"/>
      <c r="C4867" s="482"/>
      <c r="D4867" s="490"/>
      <c r="E4867" s="482"/>
      <c r="F4867" s="482"/>
    </row>
    <row r="4868" spans="1:6">
      <c r="A4868" s="482"/>
      <c r="B4868" s="482"/>
      <c r="C4868" s="482"/>
      <c r="D4868" s="490"/>
      <c r="E4868" s="482"/>
      <c r="F4868" s="482"/>
    </row>
    <row r="4869" spans="1:6">
      <c r="A4869" s="482"/>
      <c r="B4869" s="482"/>
      <c r="C4869" s="482"/>
      <c r="D4869" s="490"/>
      <c r="E4869" s="482"/>
      <c r="F4869" s="482"/>
    </row>
    <row r="4870" spans="1:6">
      <c r="A4870" s="482"/>
      <c r="B4870" s="482"/>
      <c r="C4870" s="482"/>
      <c r="D4870" s="490"/>
      <c r="E4870" s="482"/>
      <c r="F4870" s="482"/>
    </row>
    <row r="4871" spans="1:6">
      <c r="A4871" s="482"/>
      <c r="B4871" s="482"/>
      <c r="C4871" s="482"/>
      <c r="D4871" s="490"/>
      <c r="E4871" s="482"/>
      <c r="F4871" s="482"/>
    </row>
    <row r="4872" spans="1:6">
      <c r="A4872" s="482"/>
      <c r="B4872" s="482"/>
      <c r="C4872" s="482"/>
      <c r="D4872" s="490"/>
      <c r="E4872" s="482"/>
      <c r="F4872" s="482"/>
    </row>
    <row r="4873" spans="1:6">
      <c r="A4873" s="482"/>
      <c r="B4873" s="482"/>
      <c r="C4873" s="482"/>
      <c r="D4873" s="490"/>
      <c r="E4873" s="482"/>
      <c r="F4873" s="482"/>
    </row>
    <row r="4874" spans="1:6">
      <c r="A4874" s="482"/>
      <c r="B4874" s="482"/>
      <c r="C4874" s="482"/>
      <c r="D4874" s="490"/>
      <c r="E4874" s="482"/>
      <c r="F4874" s="482"/>
    </row>
    <row r="4875" spans="1:6">
      <c r="A4875" s="482"/>
      <c r="B4875" s="482"/>
      <c r="C4875" s="482"/>
      <c r="D4875" s="490"/>
      <c r="E4875" s="482"/>
      <c r="F4875" s="482"/>
    </row>
    <row r="4876" spans="1:6">
      <c r="A4876" s="482"/>
      <c r="B4876" s="482"/>
      <c r="C4876" s="482"/>
      <c r="D4876" s="490"/>
      <c r="E4876" s="482"/>
      <c r="F4876" s="482"/>
    </row>
    <row r="4877" spans="1:6">
      <c r="A4877" s="482"/>
      <c r="B4877" s="482"/>
      <c r="C4877" s="482"/>
      <c r="D4877" s="490"/>
      <c r="E4877" s="482"/>
      <c r="F4877" s="482"/>
    </row>
    <row r="4878" spans="1:6">
      <c r="A4878" s="482"/>
      <c r="B4878" s="482"/>
      <c r="C4878" s="482"/>
      <c r="D4878" s="490"/>
      <c r="E4878" s="482"/>
      <c r="F4878" s="482"/>
    </row>
    <row r="4879" spans="1:6">
      <c r="A4879" s="482"/>
      <c r="B4879" s="482"/>
      <c r="C4879" s="482"/>
      <c r="D4879" s="490"/>
      <c r="E4879" s="482"/>
      <c r="F4879" s="482"/>
    </row>
    <row r="4880" spans="1:6">
      <c r="A4880" s="482"/>
      <c r="B4880" s="482"/>
      <c r="C4880" s="482"/>
      <c r="D4880" s="490"/>
      <c r="E4880" s="482"/>
      <c r="F4880" s="482"/>
    </row>
    <row r="4881" spans="1:6">
      <c r="A4881" s="482"/>
      <c r="B4881" s="482"/>
      <c r="C4881" s="482"/>
      <c r="D4881" s="490"/>
      <c r="E4881" s="482"/>
      <c r="F4881" s="482"/>
    </row>
    <row r="4882" spans="1:6">
      <c r="A4882" s="482"/>
      <c r="B4882" s="482"/>
      <c r="C4882" s="482"/>
      <c r="D4882" s="490"/>
      <c r="E4882" s="482"/>
      <c r="F4882" s="482"/>
    </row>
    <row r="4883" spans="1:6">
      <c r="A4883" s="482"/>
      <c r="B4883" s="482"/>
      <c r="C4883" s="482"/>
      <c r="D4883" s="490"/>
      <c r="E4883" s="482"/>
      <c r="F4883" s="482"/>
    </row>
    <row r="4884" spans="1:6">
      <c r="A4884" s="482"/>
      <c r="B4884" s="482"/>
      <c r="C4884" s="482"/>
      <c r="D4884" s="490"/>
      <c r="E4884" s="482"/>
      <c r="F4884" s="482"/>
    </row>
    <row r="4885" spans="1:6">
      <c r="A4885" s="482"/>
      <c r="B4885" s="482"/>
      <c r="C4885" s="482"/>
      <c r="D4885" s="490"/>
      <c r="E4885" s="482"/>
      <c r="F4885" s="482"/>
    </row>
    <row r="4886" spans="1:6">
      <c r="A4886" s="482"/>
      <c r="B4886" s="482"/>
      <c r="C4886" s="482"/>
      <c r="D4886" s="490"/>
      <c r="E4886" s="482"/>
      <c r="F4886" s="482"/>
    </row>
    <row r="4887" spans="1:6">
      <c r="A4887" s="482"/>
      <c r="B4887" s="482"/>
      <c r="C4887" s="482"/>
      <c r="D4887" s="490"/>
      <c r="E4887" s="482"/>
      <c r="F4887" s="482"/>
    </row>
    <row r="4888" spans="1:6">
      <c r="A4888" s="482"/>
      <c r="B4888" s="482"/>
      <c r="C4888" s="482"/>
      <c r="D4888" s="490"/>
      <c r="E4888" s="482"/>
      <c r="F4888" s="482"/>
    </row>
    <row r="4889" spans="1:6">
      <c r="A4889" s="482"/>
      <c r="B4889" s="482"/>
      <c r="C4889" s="482"/>
      <c r="D4889" s="490"/>
      <c r="E4889" s="482"/>
      <c r="F4889" s="482"/>
    </row>
    <row r="4890" spans="1:6">
      <c r="A4890" s="482"/>
      <c r="B4890" s="482"/>
      <c r="C4890" s="482"/>
      <c r="D4890" s="490"/>
      <c r="E4890" s="482"/>
      <c r="F4890" s="482"/>
    </row>
    <row r="4891" spans="1:6">
      <c r="A4891" s="482"/>
      <c r="B4891" s="482"/>
      <c r="C4891" s="482"/>
      <c r="D4891" s="490"/>
      <c r="E4891" s="482"/>
      <c r="F4891" s="482"/>
    </row>
    <row r="4892" spans="1:6">
      <c r="A4892" s="482"/>
      <c r="B4892" s="482"/>
      <c r="C4892" s="482"/>
      <c r="D4892" s="490"/>
      <c r="E4892" s="482"/>
      <c r="F4892" s="482"/>
    </row>
    <row r="4893" spans="1:6">
      <c r="A4893" s="482"/>
      <c r="B4893" s="482"/>
      <c r="C4893" s="482"/>
      <c r="D4893" s="490"/>
      <c r="E4893" s="482"/>
      <c r="F4893" s="482"/>
    </row>
    <row r="4894" spans="1:6">
      <c r="A4894" s="482"/>
      <c r="B4894" s="489"/>
      <c r="C4894" s="489"/>
      <c r="D4894" s="490"/>
      <c r="E4894" s="489"/>
      <c r="F4894" s="489"/>
    </row>
    <row r="4895" spans="1:6">
      <c r="A4895" s="482"/>
      <c r="B4895" s="489"/>
      <c r="C4895" s="489"/>
      <c r="D4895" s="490"/>
      <c r="E4895" s="489"/>
      <c r="F4895" s="489"/>
    </row>
    <row r="4896" spans="1:6">
      <c r="A4896" s="482"/>
      <c r="B4896" s="482"/>
      <c r="C4896" s="482"/>
      <c r="D4896" s="490"/>
      <c r="E4896" s="482"/>
      <c r="F4896" s="482"/>
    </row>
    <row r="4897" spans="1:6">
      <c r="A4897" s="482"/>
      <c r="B4897" s="482"/>
      <c r="C4897" s="482"/>
      <c r="D4897" s="490"/>
      <c r="E4897" s="482"/>
      <c r="F4897" s="482"/>
    </row>
    <row r="4898" spans="1:6">
      <c r="A4898" s="482"/>
      <c r="B4898" s="482"/>
      <c r="C4898" s="482"/>
      <c r="D4898" s="490"/>
      <c r="E4898" s="482"/>
      <c r="F4898" s="482"/>
    </row>
    <row r="4899" spans="1:6">
      <c r="A4899" s="482"/>
      <c r="B4899" s="482"/>
      <c r="C4899" s="482"/>
      <c r="D4899" s="490"/>
      <c r="E4899" s="482"/>
      <c r="F4899" s="482"/>
    </row>
    <row r="4900" spans="1:6">
      <c r="A4900" s="482"/>
      <c r="B4900" s="482"/>
      <c r="C4900" s="482"/>
      <c r="D4900" s="490"/>
      <c r="E4900" s="482"/>
      <c r="F4900" s="482"/>
    </row>
    <row r="4901" spans="1:6">
      <c r="A4901" s="482"/>
      <c r="B4901" s="482"/>
      <c r="C4901" s="482"/>
      <c r="D4901" s="490"/>
      <c r="E4901" s="482"/>
      <c r="F4901" s="482"/>
    </row>
    <row r="4902" spans="1:6">
      <c r="A4902" s="482"/>
      <c r="B4902" s="482"/>
      <c r="C4902" s="482"/>
      <c r="D4902" s="490"/>
      <c r="E4902" s="482"/>
      <c r="F4902" s="482"/>
    </row>
    <row r="4903" spans="1:6">
      <c r="A4903" s="482"/>
      <c r="B4903" s="482"/>
      <c r="C4903" s="482"/>
      <c r="D4903" s="490"/>
      <c r="E4903" s="482"/>
      <c r="F4903" s="482"/>
    </row>
    <row r="4904" spans="1:6">
      <c r="A4904" s="482"/>
      <c r="B4904" s="482"/>
      <c r="C4904" s="482"/>
      <c r="D4904" s="490"/>
      <c r="E4904" s="482"/>
      <c r="F4904" s="482"/>
    </row>
    <row r="4905" spans="1:6">
      <c r="A4905" s="482"/>
      <c r="B4905" s="482"/>
      <c r="C4905" s="482"/>
      <c r="D4905" s="490"/>
      <c r="E4905" s="482"/>
      <c r="F4905" s="482"/>
    </row>
    <row r="4906" spans="1:6">
      <c r="A4906" s="482"/>
      <c r="B4906" s="482"/>
      <c r="C4906" s="482"/>
      <c r="D4906" s="490"/>
      <c r="E4906" s="482"/>
      <c r="F4906" s="482"/>
    </row>
    <row r="4907" spans="1:6">
      <c r="A4907" s="482"/>
      <c r="B4907" s="482"/>
      <c r="C4907" s="482"/>
      <c r="D4907" s="490"/>
      <c r="E4907" s="482"/>
      <c r="F4907" s="482"/>
    </row>
    <row r="4908" spans="1:6">
      <c r="A4908" s="482"/>
      <c r="B4908" s="482"/>
      <c r="C4908" s="482"/>
      <c r="D4908" s="490"/>
      <c r="E4908" s="482"/>
      <c r="F4908" s="482"/>
    </row>
    <row r="4909" spans="1:6">
      <c r="A4909" s="482"/>
      <c r="B4909" s="482"/>
      <c r="C4909" s="482"/>
      <c r="D4909" s="490"/>
      <c r="E4909" s="482"/>
      <c r="F4909" s="482"/>
    </row>
    <row r="4910" spans="1:6">
      <c r="A4910" s="482"/>
      <c r="B4910" s="482"/>
      <c r="C4910" s="482"/>
      <c r="D4910" s="490"/>
      <c r="E4910" s="482"/>
      <c r="F4910" s="482"/>
    </row>
    <row r="4911" spans="1:6">
      <c r="A4911" s="482"/>
      <c r="B4911" s="482"/>
      <c r="C4911" s="482"/>
      <c r="D4911" s="490"/>
      <c r="E4911" s="482"/>
      <c r="F4911" s="482"/>
    </row>
    <row r="4912" spans="1:6">
      <c r="A4912" s="482"/>
      <c r="B4912" s="482"/>
      <c r="C4912" s="482"/>
      <c r="D4912" s="490"/>
      <c r="E4912" s="482"/>
      <c r="F4912" s="482"/>
    </row>
    <row r="4913" spans="1:6">
      <c r="A4913" s="482"/>
      <c r="B4913" s="482"/>
      <c r="C4913" s="482"/>
      <c r="D4913" s="490"/>
      <c r="E4913" s="482"/>
      <c r="F4913" s="482"/>
    </row>
    <row r="4914" spans="1:6">
      <c r="A4914" s="482"/>
      <c r="B4914" s="482"/>
      <c r="C4914" s="482"/>
      <c r="D4914" s="490"/>
      <c r="E4914" s="482"/>
      <c r="F4914" s="482"/>
    </row>
    <row r="4915" spans="1:6">
      <c r="A4915" s="482"/>
      <c r="B4915" s="482"/>
      <c r="C4915" s="482"/>
      <c r="D4915" s="490"/>
      <c r="E4915" s="482"/>
      <c r="F4915" s="482"/>
    </row>
    <row r="4916" spans="1:6">
      <c r="A4916" s="482"/>
      <c r="B4916" s="482"/>
      <c r="C4916" s="482"/>
      <c r="D4916" s="490"/>
      <c r="E4916" s="482"/>
      <c r="F4916" s="482"/>
    </row>
    <row r="4917" spans="1:6">
      <c r="A4917" s="482"/>
      <c r="B4917" s="482"/>
      <c r="C4917" s="482"/>
      <c r="D4917" s="490"/>
      <c r="E4917" s="482"/>
      <c r="F4917" s="482"/>
    </row>
    <row r="4918" spans="1:6">
      <c r="A4918" s="482"/>
      <c r="B4918" s="482"/>
      <c r="C4918" s="482"/>
      <c r="D4918" s="490"/>
      <c r="E4918" s="482"/>
      <c r="F4918" s="482"/>
    </row>
    <row r="4919" spans="1:6">
      <c r="A4919" s="482"/>
      <c r="B4919" s="482"/>
      <c r="C4919" s="482"/>
      <c r="D4919" s="490"/>
      <c r="E4919" s="482"/>
      <c r="F4919" s="482"/>
    </row>
    <row r="4920" spans="1:6">
      <c r="A4920" s="482"/>
      <c r="B4920" s="482"/>
      <c r="C4920" s="482"/>
      <c r="D4920" s="490"/>
      <c r="E4920" s="482"/>
      <c r="F4920" s="482"/>
    </row>
    <row r="4921" spans="1:6">
      <c r="A4921" s="482"/>
      <c r="B4921" s="482"/>
      <c r="C4921" s="482"/>
      <c r="D4921" s="490"/>
      <c r="E4921" s="482"/>
      <c r="F4921" s="482"/>
    </row>
    <row r="4922" spans="1:6">
      <c r="A4922" s="482"/>
      <c r="B4922" s="482"/>
      <c r="C4922" s="482"/>
      <c r="D4922" s="490"/>
      <c r="E4922" s="482"/>
      <c r="F4922" s="482"/>
    </row>
    <row r="4923" spans="1:6">
      <c r="A4923" s="482"/>
      <c r="B4923" s="482"/>
      <c r="C4923" s="482"/>
      <c r="D4923" s="490"/>
      <c r="E4923" s="482"/>
      <c r="F4923" s="482"/>
    </row>
    <row r="4924" spans="1:6">
      <c r="A4924" s="482"/>
      <c r="B4924" s="482"/>
      <c r="C4924" s="482"/>
      <c r="D4924" s="490"/>
      <c r="E4924" s="482"/>
      <c r="F4924" s="482"/>
    </row>
    <row r="4925" spans="1:6">
      <c r="A4925" s="482"/>
      <c r="B4925" s="482"/>
      <c r="C4925" s="482"/>
      <c r="D4925" s="490"/>
      <c r="E4925" s="482"/>
      <c r="F4925" s="482"/>
    </row>
    <row r="4926" spans="1:6">
      <c r="A4926" s="482"/>
      <c r="B4926" s="482"/>
      <c r="C4926" s="482"/>
      <c r="D4926" s="490"/>
      <c r="E4926" s="482"/>
      <c r="F4926" s="482"/>
    </row>
    <row r="4927" spans="1:6">
      <c r="A4927" s="482"/>
      <c r="B4927" s="482"/>
      <c r="C4927" s="482"/>
      <c r="D4927" s="490"/>
      <c r="E4927" s="482"/>
      <c r="F4927" s="482"/>
    </row>
    <row r="4928" spans="1:6">
      <c r="A4928" s="482"/>
      <c r="B4928" s="482"/>
      <c r="C4928" s="482"/>
      <c r="D4928" s="490"/>
      <c r="E4928" s="482"/>
      <c r="F4928" s="482"/>
    </row>
    <row r="4929" spans="1:6">
      <c r="A4929" s="482"/>
      <c r="B4929" s="482"/>
      <c r="C4929" s="482"/>
      <c r="D4929" s="490"/>
      <c r="E4929" s="482"/>
      <c r="F4929" s="482"/>
    </row>
    <row r="4930" spans="1:6">
      <c r="A4930" s="482"/>
      <c r="B4930" s="482"/>
      <c r="C4930" s="482"/>
      <c r="D4930" s="490"/>
      <c r="E4930" s="482"/>
      <c r="F4930" s="482"/>
    </row>
    <row r="4931" spans="1:6">
      <c r="A4931" s="482"/>
      <c r="B4931" s="482"/>
      <c r="C4931" s="482"/>
      <c r="D4931" s="490"/>
      <c r="E4931" s="482"/>
      <c r="F4931" s="482"/>
    </row>
    <row r="4932" spans="1:6">
      <c r="A4932" s="482"/>
      <c r="B4932" s="482"/>
      <c r="C4932" s="482"/>
      <c r="D4932" s="490"/>
      <c r="E4932" s="482"/>
      <c r="F4932" s="482"/>
    </row>
    <row r="4933" spans="1:6">
      <c r="A4933" s="482"/>
      <c r="B4933" s="482"/>
      <c r="C4933" s="482"/>
      <c r="D4933" s="490"/>
      <c r="E4933" s="482"/>
      <c r="F4933" s="482"/>
    </row>
    <row r="4934" spans="1:6">
      <c r="A4934" s="482"/>
      <c r="B4934" s="482"/>
      <c r="C4934" s="482"/>
      <c r="D4934" s="490"/>
      <c r="E4934" s="482"/>
      <c r="F4934" s="482"/>
    </row>
    <row r="4935" spans="1:6">
      <c r="A4935" s="482"/>
      <c r="B4935" s="482"/>
      <c r="C4935" s="482"/>
      <c r="D4935" s="490"/>
      <c r="E4935" s="482"/>
      <c r="F4935" s="482"/>
    </row>
    <row r="4936" spans="1:6">
      <c r="A4936" s="482"/>
      <c r="B4936" s="482"/>
      <c r="C4936" s="482"/>
      <c r="D4936" s="490"/>
      <c r="E4936" s="482"/>
      <c r="F4936" s="482"/>
    </row>
    <row r="4937" spans="1:6">
      <c r="A4937" s="482"/>
      <c r="B4937" s="482"/>
      <c r="C4937" s="482"/>
      <c r="D4937" s="490"/>
      <c r="E4937" s="482"/>
      <c r="F4937" s="482"/>
    </row>
    <row r="4938" spans="1:6">
      <c r="A4938" s="482"/>
      <c r="B4938" s="482"/>
      <c r="C4938" s="482"/>
      <c r="D4938" s="490"/>
      <c r="E4938" s="482"/>
      <c r="F4938" s="482"/>
    </row>
    <row r="4939" spans="1:6">
      <c r="A4939" s="482"/>
      <c r="B4939" s="482"/>
      <c r="C4939" s="482"/>
      <c r="D4939" s="490"/>
      <c r="E4939" s="482"/>
      <c r="F4939" s="482"/>
    </row>
    <row r="4940" spans="1:6">
      <c r="A4940" s="482"/>
      <c r="B4940" s="482"/>
      <c r="C4940" s="482"/>
      <c r="D4940" s="490"/>
      <c r="E4940" s="482"/>
      <c r="F4940" s="482"/>
    </row>
    <row r="4941" spans="1:6">
      <c r="A4941" s="482"/>
      <c r="B4941" s="482"/>
      <c r="C4941" s="482"/>
      <c r="D4941" s="490"/>
      <c r="E4941" s="482"/>
      <c r="F4941" s="482"/>
    </row>
    <row r="4942" spans="1:6">
      <c r="A4942" s="482"/>
      <c r="B4942" s="482"/>
      <c r="C4942" s="482"/>
      <c r="D4942" s="490"/>
      <c r="E4942" s="482"/>
      <c r="F4942" s="482"/>
    </row>
    <row r="4943" spans="1:6">
      <c r="A4943" s="482"/>
      <c r="B4943" s="482"/>
      <c r="C4943" s="482"/>
      <c r="D4943" s="490"/>
      <c r="E4943" s="482"/>
      <c r="F4943" s="482"/>
    </row>
    <row r="4944" spans="1:6">
      <c r="A4944" s="482"/>
      <c r="B4944" s="482"/>
      <c r="C4944" s="482"/>
      <c r="D4944" s="490"/>
      <c r="E4944" s="482"/>
      <c r="F4944" s="482"/>
    </row>
    <row r="4945" spans="1:6">
      <c r="A4945" s="482"/>
      <c r="B4945" s="482"/>
      <c r="C4945" s="482"/>
      <c r="D4945" s="490"/>
      <c r="E4945" s="482"/>
      <c r="F4945" s="482"/>
    </row>
    <row r="4946" spans="1:6">
      <c r="A4946" s="482"/>
      <c r="B4946" s="482"/>
      <c r="C4946" s="482"/>
      <c r="D4946" s="490"/>
      <c r="E4946" s="482"/>
      <c r="F4946" s="482"/>
    </row>
    <row r="4947" spans="1:6">
      <c r="A4947" s="482"/>
      <c r="B4947" s="482"/>
      <c r="C4947" s="482"/>
      <c r="D4947" s="490"/>
      <c r="E4947" s="482"/>
      <c r="F4947" s="482"/>
    </row>
    <row r="4948" spans="1:6">
      <c r="A4948" s="482"/>
      <c r="B4948" s="482"/>
      <c r="C4948" s="482"/>
      <c r="D4948" s="490"/>
      <c r="E4948" s="482"/>
      <c r="F4948" s="482"/>
    </row>
    <row r="4949" spans="1:6">
      <c r="A4949" s="482"/>
      <c r="B4949" s="482"/>
      <c r="C4949" s="482"/>
      <c r="D4949" s="490"/>
      <c r="E4949" s="482"/>
      <c r="F4949" s="482"/>
    </row>
    <row r="4950" spans="1:6">
      <c r="A4950" s="482"/>
      <c r="B4950" s="482"/>
      <c r="C4950" s="482"/>
      <c r="D4950" s="490"/>
      <c r="E4950" s="482"/>
      <c r="F4950" s="482"/>
    </row>
    <row r="4951" spans="1:6">
      <c r="A4951" s="482"/>
      <c r="B4951" s="482"/>
      <c r="C4951" s="482"/>
      <c r="D4951" s="490"/>
      <c r="E4951" s="482"/>
      <c r="F4951" s="482"/>
    </row>
    <row r="4952" spans="1:6">
      <c r="A4952" s="482"/>
      <c r="B4952" s="482"/>
      <c r="C4952" s="482"/>
      <c r="D4952" s="490"/>
      <c r="E4952" s="482"/>
      <c r="F4952" s="482"/>
    </row>
    <row r="4953" spans="1:6">
      <c r="A4953" s="482"/>
      <c r="B4953" s="482"/>
      <c r="C4953" s="482"/>
      <c r="D4953" s="490"/>
      <c r="E4953" s="482"/>
      <c r="F4953" s="482"/>
    </row>
    <row r="4954" spans="1:6">
      <c r="A4954" s="482"/>
      <c r="B4954" s="482"/>
      <c r="C4954" s="482"/>
      <c r="D4954" s="490"/>
      <c r="E4954" s="482"/>
      <c r="F4954" s="482"/>
    </row>
    <row r="4955" spans="1:6">
      <c r="A4955" s="482"/>
      <c r="B4955" s="482"/>
      <c r="C4955" s="482"/>
      <c r="D4955" s="490"/>
      <c r="E4955" s="482"/>
      <c r="F4955" s="482"/>
    </row>
    <row r="4956" spans="1:6">
      <c r="A4956" s="482"/>
      <c r="B4956" s="482"/>
      <c r="C4956" s="482"/>
      <c r="D4956" s="490"/>
      <c r="E4956" s="482"/>
      <c r="F4956" s="482"/>
    </row>
    <row r="4957" spans="1:6">
      <c r="A4957" s="482"/>
      <c r="B4957" s="482"/>
      <c r="C4957" s="482"/>
      <c r="D4957" s="490"/>
      <c r="E4957" s="482"/>
      <c r="F4957" s="482"/>
    </row>
    <row r="4958" spans="1:6">
      <c r="A4958" s="482"/>
      <c r="B4958" s="482"/>
      <c r="C4958" s="482"/>
      <c r="D4958" s="490"/>
      <c r="E4958" s="482"/>
      <c r="F4958" s="482"/>
    </row>
    <row r="4959" spans="1:6">
      <c r="A4959" s="482"/>
      <c r="B4959" s="482"/>
      <c r="C4959" s="482"/>
      <c r="D4959" s="490"/>
      <c r="E4959" s="482"/>
      <c r="F4959" s="482"/>
    </row>
    <row r="4960" spans="1:6">
      <c r="A4960" s="482"/>
      <c r="B4960" s="482"/>
      <c r="C4960" s="482"/>
      <c r="D4960" s="490"/>
      <c r="E4960" s="482"/>
      <c r="F4960" s="482"/>
    </row>
    <row r="4961" spans="1:6">
      <c r="A4961" s="482"/>
      <c r="B4961" s="482"/>
      <c r="C4961" s="482"/>
      <c r="D4961" s="490"/>
      <c r="E4961" s="482"/>
      <c r="F4961" s="482"/>
    </row>
    <row r="4962" spans="1:6">
      <c r="A4962" s="482"/>
      <c r="B4962" s="482"/>
      <c r="C4962" s="482"/>
      <c r="D4962" s="490"/>
      <c r="E4962" s="482"/>
      <c r="F4962" s="482"/>
    </row>
    <row r="4963" spans="1:6">
      <c r="A4963" s="482"/>
      <c r="B4963" s="482"/>
      <c r="C4963" s="482"/>
      <c r="D4963" s="490"/>
      <c r="E4963" s="482"/>
      <c r="F4963" s="482"/>
    </row>
    <row r="4964" spans="1:6">
      <c r="A4964" s="482"/>
      <c r="B4964" s="482"/>
      <c r="C4964" s="482"/>
      <c r="D4964" s="490"/>
      <c r="E4964" s="482"/>
      <c r="F4964" s="482"/>
    </row>
    <row r="4965" spans="1:6">
      <c r="A4965" s="482"/>
      <c r="B4965" s="482"/>
      <c r="C4965" s="482"/>
      <c r="D4965" s="490"/>
      <c r="E4965" s="482"/>
      <c r="F4965" s="482"/>
    </row>
    <row r="4966" spans="1:6">
      <c r="A4966" s="482"/>
      <c r="B4966" s="482"/>
      <c r="C4966" s="482"/>
      <c r="D4966" s="490"/>
      <c r="E4966" s="482"/>
      <c r="F4966" s="482"/>
    </row>
    <row r="4967" spans="1:6">
      <c r="A4967" s="482"/>
      <c r="B4967" s="482"/>
      <c r="C4967" s="482"/>
      <c r="D4967" s="490"/>
      <c r="E4967" s="482"/>
      <c r="F4967" s="482"/>
    </row>
    <row r="4968" spans="1:6">
      <c r="A4968" s="482"/>
      <c r="B4968" s="482"/>
      <c r="C4968" s="482"/>
      <c r="D4968" s="490"/>
      <c r="E4968" s="482"/>
      <c r="F4968" s="482"/>
    </row>
    <row r="4969" spans="1:6">
      <c r="A4969" s="482"/>
      <c r="B4969" s="482"/>
      <c r="C4969" s="482"/>
      <c r="D4969" s="490"/>
      <c r="E4969" s="482"/>
      <c r="F4969" s="482"/>
    </row>
    <row r="4970" spans="1:6">
      <c r="A4970" s="482"/>
      <c r="B4970" s="482"/>
      <c r="C4970" s="482"/>
      <c r="D4970" s="490"/>
      <c r="E4970" s="482"/>
      <c r="F4970" s="482"/>
    </row>
    <row r="4971" spans="1:6">
      <c r="A4971" s="482"/>
      <c r="B4971" s="482"/>
      <c r="C4971" s="482"/>
      <c r="D4971" s="490"/>
      <c r="E4971" s="482"/>
      <c r="F4971" s="482"/>
    </row>
    <row r="4972" spans="1:6">
      <c r="A4972" s="482"/>
      <c r="B4972" s="482"/>
      <c r="C4972" s="482"/>
      <c r="D4972" s="490"/>
      <c r="E4972" s="482"/>
      <c r="F4972" s="482"/>
    </row>
    <row r="4973" spans="1:6">
      <c r="A4973" s="482"/>
      <c r="B4973" s="482"/>
      <c r="C4973" s="482"/>
      <c r="D4973" s="490"/>
      <c r="E4973" s="482"/>
      <c r="F4973" s="482"/>
    </row>
    <row r="4974" spans="1:6">
      <c r="A4974" s="482"/>
      <c r="B4974" s="482"/>
      <c r="C4974" s="482"/>
      <c r="D4974" s="490"/>
      <c r="E4974" s="482"/>
      <c r="F4974" s="482"/>
    </row>
    <row r="4975" spans="1:6">
      <c r="A4975" s="482"/>
      <c r="B4975" s="482"/>
      <c r="C4975" s="482"/>
      <c r="D4975" s="490"/>
      <c r="E4975" s="482"/>
      <c r="F4975" s="482"/>
    </row>
    <row r="4976" spans="1:6">
      <c r="A4976" s="482"/>
      <c r="B4976" s="482"/>
      <c r="C4976" s="482"/>
      <c r="D4976" s="490"/>
      <c r="E4976" s="482"/>
      <c r="F4976" s="482"/>
    </row>
    <row r="4977" spans="1:6">
      <c r="A4977" s="482"/>
      <c r="B4977" s="482"/>
      <c r="C4977" s="482"/>
      <c r="D4977" s="490"/>
      <c r="E4977" s="482"/>
      <c r="F4977" s="482"/>
    </row>
    <row r="4978" spans="1:6">
      <c r="A4978" s="482"/>
      <c r="B4978" s="482"/>
      <c r="C4978" s="482"/>
      <c r="D4978" s="490"/>
      <c r="E4978" s="482"/>
      <c r="F4978" s="482"/>
    </row>
    <row r="4979" spans="1:6">
      <c r="A4979" s="482"/>
      <c r="B4979" s="482"/>
      <c r="C4979" s="482"/>
      <c r="D4979" s="490"/>
      <c r="E4979" s="482"/>
      <c r="F4979" s="482"/>
    </row>
    <row r="4980" spans="1:6">
      <c r="A4980" s="482"/>
      <c r="B4980" s="482"/>
      <c r="C4980" s="482"/>
      <c r="D4980" s="490"/>
      <c r="E4980" s="482"/>
      <c r="F4980" s="482"/>
    </row>
    <row r="4981" spans="1:6">
      <c r="A4981" s="482"/>
      <c r="B4981" s="482"/>
      <c r="C4981" s="482"/>
      <c r="D4981" s="490"/>
      <c r="E4981" s="482"/>
      <c r="F4981" s="482"/>
    </row>
    <row r="4982" spans="1:6">
      <c r="A4982" s="482"/>
      <c r="B4982" s="482"/>
      <c r="C4982" s="482"/>
      <c r="D4982" s="490"/>
      <c r="E4982" s="482"/>
      <c r="F4982" s="482"/>
    </row>
    <row r="4983" spans="1:6">
      <c r="A4983" s="482"/>
      <c r="B4983" s="482"/>
      <c r="C4983" s="482"/>
      <c r="D4983" s="490"/>
      <c r="E4983" s="482"/>
      <c r="F4983" s="482"/>
    </row>
    <row r="4984" spans="1:6">
      <c r="A4984" s="482"/>
      <c r="B4984" s="482"/>
      <c r="C4984" s="482"/>
      <c r="D4984" s="490"/>
      <c r="E4984" s="482"/>
      <c r="F4984" s="482"/>
    </row>
    <row r="4985" spans="1:6">
      <c r="A4985" s="482"/>
      <c r="B4985" s="482"/>
      <c r="C4985" s="482"/>
      <c r="D4985" s="490"/>
      <c r="E4985" s="482"/>
      <c r="F4985" s="482"/>
    </row>
    <row r="4986" spans="1:6">
      <c r="A4986" s="482"/>
      <c r="B4986" s="482"/>
      <c r="C4986" s="482"/>
      <c r="D4986" s="490"/>
      <c r="E4986" s="482"/>
      <c r="F4986" s="482"/>
    </row>
    <row r="4987" spans="1:6">
      <c r="A4987" s="482"/>
      <c r="B4987" s="482"/>
      <c r="C4987" s="482"/>
      <c r="D4987" s="490"/>
      <c r="E4987" s="482"/>
      <c r="F4987" s="482"/>
    </row>
    <row r="4988" spans="1:6">
      <c r="A4988" s="482"/>
      <c r="B4988" s="482"/>
      <c r="C4988" s="482"/>
      <c r="D4988" s="490"/>
      <c r="E4988" s="482"/>
      <c r="F4988" s="482"/>
    </row>
    <row r="4989" spans="1:6">
      <c r="A4989" s="482"/>
      <c r="B4989" s="482"/>
      <c r="C4989" s="482"/>
      <c r="D4989" s="490"/>
      <c r="E4989" s="482"/>
      <c r="F4989" s="482"/>
    </row>
    <row r="4990" spans="1:6">
      <c r="A4990" s="482"/>
      <c r="B4990" s="482"/>
      <c r="C4990" s="482"/>
      <c r="D4990" s="490"/>
      <c r="E4990" s="482"/>
      <c r="F4990" s="482"/>
    </row>
    <row r="4991" spans="1:6">
      <c r="A4991" s="482"/>
      <c r="B4991" s="482"/>
      <c r="C4991" s="482"/>
      <c r="D4991" s="490"/>
      <c r="E4991" s="482"/>
      <c r="F4991" s="482"/>
    </row>
    <row r="4992" spans="1:6">
      <c r="A4992" s="482"/>
      <c r="B4992" s="482"/>
      <c r="C4992" s="482"/>
      <c r="D4992" s="490"/>
      <c r="E4992" s="482"/>
      <c r="F4992" s="482"/>
    </row>
    <row r="4993" spans="1:6">
      <c r="A4993" s="482"/>
      <c r="B4993" s="482"/>
      <c r="C4993" s="482"/>
      <c r="D4993" s="490"/>
      <c r="E4993" s="482"/>
      <c r="F4993" s="482"/>
    </row>
    <row r="4994" spans="1:6">
      <c r="A4994" s="482"/>
      <c r="B4994" s="482"/>
      <c r="C4994" s="482"/>
      <c r="D4994" s="490"/>
      <c r="E4994" s="482"/>
      <c r="F4994" s="482"/>
    </row>
    <row r="4995" spans="1:6">
      <c r="A4995" s="482"/>
      <c r="B4995" s="482"/>
      <c r="C4995" s="482"/>
      <c r="D4995" s="490"/>
      <c r="E4995" s="482"/>
      <c r="F4995" s="482"/>
    </row>
    <row r="4996" spans="1:6">
      <c r="A4996" s="482"/>
      <c r="B4996" s="482"/>
      <c r="C4996" s="482"/>
      <c r="D4996" s="490"/>
      <c r="E4996" s="482"/>
      <c r="F4996" s="482"/>
    </row>
    <row r="4997" spans="1:6">
      <c r="A4997" s="482"/>
      <c r="B4997" s="482"/>
      <c r="C4997" s="482"/>
      <c r="D4997" s="490"/>
      <c r="E4997" s="482"/>
      <c r="F4997" s="482"/>
    </row>
    <row r="4998" spans="1:6">
      <c r="A4998" s="482"/>
      <c r="B4998" s="482"/>
      <c r="C4998" s="482"/>
      <c r="D4998" s="490"/>
      <c r="E4998" s="482"/>
      <c r="F4998" s="482"/>
    </row>
    <row r="4999" spans="1:6">
      <c r="A4999" s="482"/>
      <c r="B4999" s="482"/>
      <c r="C4999" s="482"/>
      <c r="D4999" s="490"/>
      <c r="E4999" s="482"/>
      <c r="F4999" s="482"/>
    </row>
    <row r="5000" spans="1:6">
      <c r="A5000" s="482"/>
      <c r="B5000" s="482"/>
      <c r="C5000" s="482"/>
      <c r="D5000" s="490"/>
      <c r="E5000" s="482"/>
      <c r="F5000" s="482"/>
    </row>
    <row r="5001" spans="1:6">
      <c r="A5001" s="482"/>
      <c r="B5001" s="482"/>
      <c r="C5001" s="482"/>
      <c r="D5001" s="490"/>
      <c r="E5001" s="482"/>
      <c r="F5001" s="482"/>
    </row>
    <row r="5002" spans="1:6">
      <c r="A5002" s="482"/>
      <c r="B5002" s="482"/>
      <c r="C5002" s="482"/>
      <c r="D5002" s="490"/>
      <c r="E5002" s="482"/>
      <c r="F5002" s="482"/>
    </row>
    <row r="5003" spans="1:6">
      <c r="A5003" s="482"/>
      <c r="B5003" s="482"/>
      <c r="C5003" s="482"/>
      <c r="D5003" s="490"/>
      <c r="E5003" s="482"/>
      <c r="F5003" s="482"/>
    </row>
    <row r="5004" spans="1:6">
      <c r="A5004" s="482"/>
      <c r="B5004" s="482"/>
      <c r="C5004" s="482"/>
      <c r="D5004" s="490"/>
      <c r="E5004" s="482"/>
      <c r="F5004" s="482"/>
    </row>
    <row r="5005" spans="1:6">
      <c r="A5005" s="482"/>
      <c r="B5005" s="482"/>
      <c r="C5005" s="482"/>
      <c r="D5005" s="490"/>
      <c r="E5005" s="482"/>
      <c r="F5005" s="482"/>
    </row>
    <row r="5006" spans="1:6">
      <c r="A5006" s="482"/>
      <c r="B5006" s="482"/>
      <c r="C5006" s="482"/>
      <c r="D5006" s="490"/>
      <c r="E5006" s="482"/>
      <c r="F5006" s="482"/>
    </row>
    <row r="5007" spans="1:6">
      <c r="A5007" s="482"/>
      <c r="B5007" s="482"/>
      <c r="C5007" s="482"/>
      <c r="D5007" s="490"/>
      <c r="E5007" s="482"/>
      <c r="F5007" s="482"/>
    </row>
    <row r="5008" spans="1:6">
      <c r="A5008" s="482"/>
      <c r="B5008" s="482"/>
      <c r="C5008" s="482"/>
      <c r="D5008" s="490"/>
      <c r="E5008" s="482"/>
      <c r="F5008" s="482"/>
    </row>
    <row r="5009" spans="1:6">
      <c r="A5009" s="482"/>
      <c r="B5009" s="482"/>
      <c r="C5009" s="482"/>
      <c r="D5009" s="490"/>
      <c r="E5009" s="482"/>
      <c r="F5009" s="482"/>
    </row>
    <row r="5010" spans="1:6">
      <c r="A5010" s="482"/>
      <c r="B5010" s="482"/>
      <c r="C5010" s="482"/>
      <c r="D5010" s="490"/>
      <c r="E5010" s="482"/>
      <c r="F5010" s="482"/>
    </row>
    <row r="5011" spans="1:6">
      <c r="A5011" s="482"/>
      <c r="B5011" s="482"/>
      <c r="C5011" s="482"/>
      <c r="D5011" s="490"/>
      <c r="E5011" s="482"/>
      <c r="F5011" s="482"/>
    </row>
    <row r="5012" spans="1:6">
      <c r="A5012" s="482"/>
      <c r="B5012" s="482"/>
      <c r="C5012" s="482"/>
      <c r="D5012" s="490"/>
      <c r="E5012" s="482"/>
      <c r="F5012" s="482"/>
    </row>
    <row r="5013" spans="1:6">
      <c r="A5013" s="482"/>
      <c r="B5013" s="482"/>
      <c r="C5013" s="482"/>
      <c r="D5013" s="490"/>
      <c r="E5013" s="482"/>
      <c r="F5013" s="482"/>
    </row>
    <row r="5014" spans="1:6">
      <c r="A5014" s="482"/>
      <c r="B5014" s="482"/>
      <c r="C5014" s="482"/>
      <c r="D5014" s="490"/>
      <c r="E5014" s="482"/>
      <c r="F5014" s="482"/>
    </row>
    <row r="5015" spans="1:6">
      <c r="A5015" s="482"/>
      <c r="B5015" s="482"/>
      <c r="C5015" s="482"/>
      <c r="D5015" s="490"/>
      <c r="E5015" s="482"/>
      <c r="F5015" s="482"/>
    </row>
    <row r="5016" spans="1:6">
      <c r="A5016" s="482"/>
      <c r="B5016" s="482"/>
      <c r="C5016" s="482"/>
      <c r="D5016" s="490"/>
      <c r="E5016" s="482"/>
      <c r="F5016" s="482"/>
    </row>
    <row r="5017" spans="1:6">
      <c r="A5017" s="482"/>
      <c r="B5017" s="482"/>
      <c r="C5017" s="482"/>
      <c r="D5017" s="490"/>
      <c r="E5017" s="482"/>
      <c r="F5017" s="482"/>
    </row>
    <row r="5018" spans="1:6">
      <c r="A5018" s="482"/>
      <c r="B5018" s="482"/>
      <c r="C5018" s="482"/>
      <c r="D5018" s="490"/>
      <c r="E5018" s="482"/>
      <c r="F5018" s="482"/>
    </row>
    <row r="5019" spans="1:6">
      <c r="A5019" s="482"/>
      <c r="B5019" s="482"/>
      <c r="C5019" s="482"/>
      <c r="D5019" s="490"/>
      <c r="E5019" s="482"/>
      <c r="F5019" s="482"/>
    </row>
    <row r="5020" spans="1:6">
      <c r="A5020" s="482"/>
      <c r="B5020" s="482"/>
      <c r="C5020" s="482"/>
      <c r="D5020" s="490"/>
      <c r="E5020" s="482"/>
      <c r="F5020" s="482"/>
    </row>
    <row r="5021" spans="1:6">
      <c r="A5021" s="482"/>
      <c r="B5021" s="482"/>
      <c r="C5021" s="482"/>
      <c r="D5021" s="490"/>
      <c r="E5021" s="482"/>
      <c r="F5021" s="482"/>
    </row>
    <row r="5022" spans="1:6">
      <c r="A5022" s="482"/>
      <c r="B5022" s="482"/>
      <c r="C5022" s="482"/>
      <c r="D5022" s="490"/>
      <c r="E5022" s="482"/>
      <c r="F5022" s="482"/>
    </row>
    <row r="5023" spans="1:6">
      <c r="A5023" s="482"/>
      <c r="B5023" s="482"/>
      <c r="C5023" s="482"/>
      <c r="D5023" s="490"/>
      <c r="E5023" s="482"/>
      <c r="F5023" s="482"/>
    </row>
    <row r="5024" spans="1:6">
      <c r="A5024" s="482"/>
      <c r="B5024" s="482"/>
      <c r="C5024" s="482"/>
      <c r="D5024" s="490"/>
      <c r="E5024" s="482"/>
      <c r="F5024" s="482"/>
    </row>
    <row r="5025" spans="1:6">
      <c r="A5025" s="482"/>
      <c r="B5025" s="482"/>
      <c r="C5025" s="482"/>
      <c r="D5025" s="490"/>
      <c r="E5025" s="482"/>
      <c r="F5025" s="482"/>
    </row>
    <row r="5026" spans="1:6">
      <c r="A5026" s="482"/>
      <c r="B5026" s="482"/>
      <c r="C5026" s="482"/>
      <c r="D5026" s="490"/>
      <c r="E5026" s="482"/>
      <c r="F5026" s="482"/>
    </row>
    <row r="5027" spans="1:6">
      <c r="A5027" s="482"/>
      <c r="B5027" s="482"/>
      <c r="C5027" s="482"/>
      <c r="D5027" s="490"/>
      <c r="E5027" s="482"/>
      <c r="F5027" s="482"/>
    </row>
    <row r="5028" spans="1:6">
      <c r="A5028" s="482"/>
      <c r="B5028" s="482"/>
      <c r="C5028" s="482"/>
      <c r="D5028" s="490"/>
      <c r="E5028" s="482"/>
      <c r="F5028" s="482"/>
    </row>
    <row r="5029" spans="1:6">
      <c r="A5029" s="482"/>
      <c r="B5029" s="482"/>
      <c r="C5029" s="482"/>
      <c r="D5029" s="490"/>
      <c r="E5029" s="482"/>
      <c r="F5029" s="482"/>
    </row>
    <row r="5030" spans="1:6">
      <c r="A5030" s="482"/>
      <c r="B5030" s="482"/>
      <c r="C5030" s="482"/>
      <c r="D5030" s="490"/>
      <c r="E5030" s="482"/>
      <c r="F5030" s="482"/>
    </row>
    <row r="5031" spans="1:6">
      <c r="A5031" s="482"/>
      <c r="B5031" s="482"/>
      <c r="C5031" s="482"/>
      <c r="D5031" s="490"/>
      <c r="E5031" s="482"/>
      <c r="F5031" s="482"/>
    </row>
    <row r="5032" spans="1:6">
      <c r="A5032" s="482"/>
      <c r="B5032" s="482"/>
      <c r="C5032" s="482"/>
      <c r="D5032" s="490"/>
      <c r="E5032" s="482"/>
      <c r="F5032" s="482"/>
    </row>
    <row r="5033" spans="1:6">
      <c r="A5033" s="482"/>
      <c r="B5033" s="482"/>
      <c r="C5033" s="482"/>
      <c r="D5033" s="490"/>
      <c r="E5033" s="482"/>
      <c r="F5033" s="482"/>
    </row>
    <row r="5034" spans="1:6">
      <c r="A5034" s="482"/>
      <c r="B5034" s="482"/>
      <c r="C5034" s="482"/>
      <c r="D5034" s="490"/>
      <c r="E5034" s="482"/>
      <c r="F5034" s="482"/>
    </row>
    <row r="5035" spans="1:6">
      <c r="A5035" s="482"/>
      <c r="B5035" s="482"/>
      <c r="C5035" s="482"/>
      <c r="D5035" s="490"/>
      <c r="E5035" s="482"/>
      <c r="F5035" s="482"/>
    </row>
    <row r="5036" spans="1:6">
      <c r="A5036" s="482"/>
      <c r="B5036" s="482"/>
      <c r="C5036" s="482"/>
      <c r="D5036" s="490"/>
      <c r="E5036" s="482"/>
      <c r="F5036" s="482"/>
    </row>
    <row r="5037" spans="1:6">
      <c r="A5037" s="482"/>
      <c r="B5037" s="482"/>
      <c r="C5037" s="482"/>
      <c r="D5037" s="490"/>
      <c r="E5037" s="482"/>
      <c r="F5037" s="482"/>
    </row>
    <row r="5038" spans="1:6">
      <c r="A5038" s="482"/>
      <c r="B5038" s="482"/>
      <c r="C5038" s="482"/>
      <c r="D5038" s="490"/>
      <c r="E5038" s="482"/>
      <c r="F5038" s="482"/>
    </row>
    <row r="5039" spans="1:6">
      <c r="A5039" s="482"/>
      <c r="B5039" s="482"/>
      <c r="C5039" s="482"/>
      <c r="D5039" s="490"/>
      <c r="E5039" s="482"/>
      <c r="F5039" s="482"/>
    </row>
    <row r="5040" spans="1:6">
      <c r="A5040" s="482"/>
      <c r="B5040" s="482"/>
      <c r="C5040" s="482"/>
      <c r="D5040" s="490"/>
      <c r="E5040" s="482"/>
      <c r="F5040" s="482"/>
    </row>
    <row r="5041" spans="1:6">
      <c r="A5041" s="482"/>
      <c r="B5041" s="482"/>
      <c r="C5041" s="482"/>
      <c r="D5041" s="490"/>
      <c r="E5041" s="482"/>
      <c r="F5041" s="482"/>
    </row>
    <row r="5042" spans="1:6">
      <c r="A5042" s="482"/>
      <c r="B5042" s="482"/>
      <c r="C5042" s="482"/>
      <c r="D5042" s="490"/>
      <c r="E5042" s="482"/>
      <c r="F5042" s="482"/>
    </row>
    <row r="5043" spans="1:6">
      <c r="A5043" s="482"/>
      <c r="B5043" s="482"/>
      <c r="C5043" s="482"/>
      <c r="D5043" s="490"/>
      <c r="E5043" s="482"/>
      <c r="F5043" s="482"/>
    </row>
    <row r="5044" spans="1:6">
      <c r="A5044" s="482"/>
      <c r="B5044" s="482"/>
      <c r="C5044" s="482"/>
      <c r="D5044" s="490"/>
      <c r="E5044" s="482"/>
      <c r="F5044" s="482"/>
    </row>
    <row r="5045" spans="1:6">
      <c r="A5045" s="482"/>
      <c r="B5045" s="482"/>
      <c r="C5045" s="482"/>
      <c r="D5045" s="490"/>
      <c r="E5045" s="482"/>
      <c r="F5045" s="482"/>
    </row>
    <row r="5046" spans="1:6">
      <c r="A5046" s="482"/>
      <c r="B5046" s="482"/>
      <c r="C5046" s="482"/>
      <c r="D5046" s="490"/>
      <c r="E5046" s="482"/>
      <c r="F5046" s="482"/>
    </row>
    <row r="5047" spans="1:6">
      <c r="A5047" s="482"/>
      <c r="B5047" s="482"/>
      <c r="C5047" s="482"/>
      <c r="D5047" s="490"/>
      <c r="E5047" s="482"/>
      <c r="F5047" s="482"/>
    </row>
    <row r="5048" spans="1:6">
      <c r="A5048" s="482"/>
      <c r="B5048" s="482"/>
      <c r="C5048" s="482"/>
      <c r="D5048" s="490"/>
      <c r="E5048" s="482"/>
      <c r="F5048" s="482"/>
    </row>
    <row r="5049" spans="1:6">
      <c r="A5049" s="482"/>
      <c r="B5049" s="482"/>
      <c r="C5049" s="482"/>
      <c r="D5049" s="490"/>
      <c r="E5049" s="482"/>
      <c r="F5049" s="482"/>
    </row>
    <row r="5050" spans="1:6">
      <c r="A5050" s="482"/>
      <c r="B5050" s="482"/>
      <c r="C5050" s="482"/>
      <c r="D5050" s="490"/>
      <c r="E5050" s="482"/>
      <c r="F5050" s="482"/>
    </row>
    <row r="5051" spans="1:6">
      <c r="A5051" s="482"/>
      <c r="B5051" s="482"/>
      <c r="C5051" s="482"/>
      <c r="D5051" s="490"/>
      <c r="E5051" s="482"/>
      <c r="F5051" s="482"/>
    </row>
    <row r="5052" spans="1:6">
      <c r="A5052" s="482"/>
      <c r="B5052" s="482"/>
      <c r="C5052" s="482"/>
      <c r="D5052" s="490"/>
      <c r="E5052" s="482"/>
      <c r="F5052" s="482"/>
    </row>
    <row r="5053" spans="1:6">
      <c r="A5053" s="482"/>
      <c r="B5053" s="482"/>
      <c r="C5053" s="482"/>
      <c r="D5053" s="490"/>
      <c r="E5053" s="482"/>
      <c r="F5053" s="482"/>
    </row>
    <row r="5054" spans="1:6">
      <c r="A5054" s="482"/>
      <c r="B5054" s="482"/>
      <c r="C5054" s="482"/>
      <c r="D5054" s="490"/>
      <c r="E5054" s="482"/>
      <c r="F5054" s="482"/>
    </row>
    <row r="5055" spans="1:6">
      <c r="A5055" s="482"/>
      <c r="B5055" s="482"/>
      <c r="C5055" s="482"/>
      <c r="D5055" s="490"/>
      <c r="E5055" s="482"/>
      <c r="F5055" s="482"/>
    </row>
    <row r="5056" spans="1:6">
      <c r="A5056" s="482"/>
      <c r="B5056" s="482"/>
      <c r="C5056" s="482"/>
      <c r="D5056" s="490"/>
      <c r="E5056" s="482"/>
      <c r="F5056" s="482"/>
    </row>
    <row r="5057" spans="1:6">
      <c r="A5057" s="482"/>
      <c r="B5057" s="482"/>
      <c r="C5057" s="482"/>
      <c r="D5057" s="490"/>
      <c r="E5057" s="482"/>
      <c r="F5057" s="482"/>
    </row>
    <row r="5058" spans="1:6">
      <c r="A5058" s="482"/>
      <c r="B5058" s="482"/>
      <c r="C5058" s="482"/>
      <c r="D5058" s="490"/>
      <c r="E5058" s="482"/>
      <c r="F5058" s="482"/>
    </row>
    <row r="5059" spans="1:6">
      <c r="A5059" s="482"/>
      <c r="B5059" s="482"/>
      <c r="C5059" s="482"/>
      <c r="D5059" s="490"/>
      <c r="E5059" s="482"/>
      <c r="F5059" s="482"/>
    </row>
    <row r="5060" spans="1:6">
      <c r="A5060" s="482"/>
      <c r="B5060" s="482"/>
      <c r="C5060" s="482"/>
      <c r="D5060" s="490"/>
      <c r="E5060" s="482"/>
      <c r="F5060" s="482"/>
    </row>
    <row r="5061" spans="1:6">
      <c r="A5061" s="482"/>
      <c r="B5061" s="482"/>
      <c r="C5061" s="482"/>
      <c r="D5061" s="490"/>
      <c r="E5061" s="482"/>
      <c r="F5061" s="482"/>
    </row>
    <row r="5062" spans="1:6">
      <c r="A5062" s="482"/>
      <c r="B5062" s="482"/>
      <c r="C5062" s="482"/>
      <c r="D5062" s="490"/>
      <c r="E5062" s="482"/>
      <c r="F5062" s="482"/>
    </row>
    <row r="5063" spans="1:6">
      <c r="A5063" s="482"/>
      <c r="B5063" s="482"/>
      <c r="C5063" s="482"/>
      <c r="D5063" s="490"/>
      <c r="E5063" s="482"/>
      <c r="F5063" s="482"/>
    </row>
    <row r="5064" spans="1:6">
      <c r="A5064" s="482"/>
      <c r="B5064" s="482"/>
      <c r="C5064" s="482"/>
      <c r="D5064" s="490"/>
      <c r="E5064" s="482"/>
      <c r="F5064" s="482"/>
    </row>
    <row r="5065" spans="1:6">
      <c r="A5065" s="482"/>
      <c r="B5065" s="482"/>
      <c r="C5065" s="482"/>
      <c r="D5065" s="490"/>
      <c r="E5065" s="482"/>
      <c r="F5065" s="482"/>
    </row>
    <row r="5066" spans="1:6">
      <c r="A5066" s="482"/>
      <c r="B5066" s="482"/>
      <c r="C5066" s="482"/>
      <c r="D5066" s="490"/>
      <c r="E5066" s="482"/>
      <c r="F5066" s="482"/>
    </row>
    <row r="5067" spans="1:6">
      <c r="A5067" s="482"/>
      <c r="B5067" s="482"/>
      <c r="C5067" s="482"/>
      <c r="D5067" s="490"/>
      <c r="E5067" s="482"/>
      <c r="F5067" s="482"/>
    </row>
    <row r="5068" spans="1:6">
      <c r="A5068" s="482"/>
      <c r="B5068" s="482"/>
      <c r="C5068" s="482"/>
      <c r="D5068" s="490"/>
      <c r="E5068" s="482"/>
      <c r="F5068" s="482"/>
    </row>
    <row r="5069" spans="1:6">
      <c r="A5069" s="482"/>
      <c r="B5069" s="482"/>
      <c r="C5069" s="482"/>
      <c r="D5069" s="490"/>
      <c r="E5069" s="482"/>
      <c r="F5069" s="482"/>
    </row>
    <row r="5070" spans="1:6">
      <c r="A5070" s="482"/>
      <c r="B5070" s="482"/>
      <c r="C5070" s="482"/>
      <c r="D5070" s="490"/>
      <c r="E5070" s="482"/>
      <c r="F5070" s="482"/>
    </row>
    <row r="5071" spans="1:6">
      <c r="A5071" s="482"/>
      <c r="B5071" s="482"/>
      <c r="C5071" s="482"/>
      <c r="D5071" s="490"/>
      <c r="E5071" s="482"/>
      <c r="F5071" s="482"/>
    </row>
    <row r="5072" spans="1:6">
      <c r="A5072" s="482"/>
      <c r="B5072" s="482"/>
      <c r="C5072" s="482"/>
      <c r="D5072" s="490"/>
      <c r="E5072" s="482"/>
      <c r="F5072" s="482"/>
    </row>
    <row r="5073" spans="1:6">
      <c r="A5073" s="482"/>
      <c r="B5073" s="482"/>
      <c r="C5073" s="482"/>
      <c r="D5073" s="490"/>
      <c r="E5073" s="482"/>
      <c r="F5073" s="482"/>
    </row>
    <row r="5074" spans="1:6">
      <c r="A5074" s="482"/>
      <c r="B5074" s="482"/>
      <c r="C5074" s="482"/>
      <c r="D5074" s="490"/>
      <c r="E5074" s="482"/>
      <c r="F5074" s="482"/>
    </row>
    <row r="5075" spans="1:6">
      <c r="A5075" s="482"/>
      <c r="B5075" s="482"/>
      <c r="C5075" s="482"/>
      <c r="D5075" s="490"/>
      <c r="E5075" s="482"/>
      <c r="F5075" s="482"/>
    </row>
    <row r="5076" spans="1:6">
      <c r="A5076" s="482"/>
      <c r="B5076" s="482"/>
      <c r="C5076" s="482"/>
      <c r="D5076" s="490"/>
      <c r="E5076" s="482"/>
      <c r="F5076" s="482"/>
    </row>
    <row r="5077" spans="1:6">
      <c r="A5077" s="482"/>
      <c r="B5077" s="482"/>
      <c r="C5077" s="482"/>
      <c r="D5077" s="490"/>
      <c r="E5077" s="482"/>
      <c r="F5077" s="482"/>
    </row>
    <row r="5078" spans="1:6">
      <c r="A5078" s="482"/>
      <c r="B5078" s="482"/>
      <c r="C5078" s="482"/>
      <c r="D5078" s="490"/>
      <c r="E5078" s="482"/>
      <c r="F5078" s="482"/>
    </row>
    <row r="5079" spans="1:6">
      <c r="A5079" s="482"/>
      <c r="B5079" s="482"/>
      <c r="C5079" s="482"/>
      <c r="D5079" s="490"/>
      <c r="E5079" s="482"/>
      <c r="F5079" s="482"/>
    </row>
    <row r="5080" spans="1:6">
      <c r="A5080" s="482"/>
      <c r="B5080" s="482"/>
      <c r="C5080" s="482"/>
      <c r="D5080" s="490"/>
      <c r="E5080" s="482"/>
      <c r="F5080" s="482"/>
    </row>
    <row r="5081" spans="1:6">
      <c r="A5081" s="482"/>
      <c r="B5081" s="482"/>
      <c r="C5081" s="482"/>
      <c r="D5081" s="490"/>
      <c r="E5081" s="482"/>
      <c r="F5081" s="482"/>
    </row>
    <row r="5082" spans="1:6">
      <c r="A5082" s="482"/>
      <c r="B5082" s="482"/>
      <c r="C5082" s="482"/>
      <c r="D5082" s="490"/>
      <c r="E5082" s="482"/>
      <c r="F5082" s="482"/>
    </row>
    <row r="5083" spans="1:6">
      <c r="A5083" s="482"/>
      <c r="B5083" s="482"/>
      <c r="C5083" s="482"/>
      <c r="D5083" s="490"/>
      <c r="E5083" s="482"/>
      <c r="F5083" s="482"/>
    </row>
    <row r="5084" spans="1:6">
      <c r="A5084" s="482"/>
      <c r="B5084" s="482"/>
      <c r="C5084" s="482"/>
      <c r="D5084" s="490"/>
      <c r="E5084" s="482"/>
      <c r="F5084" s="482"/>
    </row>
    <row r="5085" spans="1:6">
      <c r="A5085" s="482"/>
      <c r="B5085" s="482"/>
      <c r="C5085" s="482"/>
      <c r="D5085" s="490"/>
      <c r="E5085" s="482"/>
      <c r="F5085" s="482"/>
    </row>
    <row r="5086" spans="1:6">
      <c r="A5086" s="482"/>
      <c r="B5086" s="482"/>
      <c r="C5086" s="482"/>
      <c r="D5086" s="490"/>
      <c r="E5086" s="482"/>
      <c r="F5086" s="482"/>
    </row>
    <row r="5087" spans="1:6">
      <c r="A5087" s="482"/>
      <c r="B5087" s="482"/>
      <c r="C5087" s="482"/>
      <c r="D5087" s="490"/>
      <c r="E5087" s="482"/>
      <c r="F5087" s="482"/>
    </row>
    <row r="5088" spans="1:6">
      <c r="A5088" s="482"/>
      <c r="B5088" s="482"/>
      <c r="C5088" s="482"/>
      <c r="D5088" s="490"/>
      <c r="E5088" s="482"/>
      <c r="F5088" s="482"/>
    </row>
    <row r="5089" spans="1:6">
      <c r="A5089" s="482"/>
      <c r="B5089" s="482"/>
      <c r="C5089" s="482"/>
      <c r="D5089" s="490"/>
      <c r="E5089" s="482"/>
      <c r="F5089" s="482"/>
    </row>
    <row r="5090" spans="1:6">
      <c r="A5090" s="482"/>
      <c r="B5090" s="482"/>
      <c r="C5090" s="482"/>
      <c r="D5090" s="490"/>
      <c r="E5090" s="482"/>
      <c r="F5090" s="482"/>
    </row>
    <row r="5091" spans="1:6">
      <c r="A5091" s="482"/>
      <c r="B5091" s="482"/>
      <c r="C5091" s="482"/>
      <c r="D5091" s="490"/>
      <c r="E5091" s="482"/>
      <c r="F5091" s="482"/>
    </row>
    <row r="5092" spans="1:6">
      <c r="A5092" s="482"/>
      <c r="B5092" s="482"/>
      <c r="C5092" s="482"/>
      <c r="D5092" s="490"/>
      <c r="E5092" s="482"/>
      <c r="F5092" s="482"/>
    </row>
    <row r="5093" spans="1:6">
      <c r="A5093" s="482"/>
      <c r="B5093" s="482"/>
      <c r="C5093" s="482"/>
      <c r="D5093" s="490"/>
      <c r="E5093" s="482"/>
      <c r="F5093" s="482"/>
    </row>
    <row r="5094" spans="1:6">
      <c r="A5094" s="482"/>
      <c r="B5094" s="482"/>
      <c r="C5094" s="482"/>
      <c r="D5094" s="490"/>
      <c r="E5094" s="482"/>
      <c r="F5094" s="482"/>
    </row>
    <row r="5095" spans="1:6">
      <c r="A5095" s="482"/>
      <c r="B5095" s="482"/>
      <c r="C5095" s="482"/>
      <c r="D5095" s="490"/>
      <c r="E5095" s="482"/>
      <c r="F5095" s="482"/>
    </row>
    <row r="5096" spans="1:6">
      <c r="A5096" s="482"/>
      <c r="B5096" s="482"/>
      <c r="C5096" s="482"/>
      <c r="D5096" s="490"/>
      <c r="E5096" s="482"/>
      <c r="F5096" s="482"/>
    </row>
    <row r="5097" spans="1:6">
      <c r="A5097" s="482"/>
      <c r="B5097" s="482"/>
      <c r="C5097" s="482"/>
      <c r="D5097" s="490"/>
      <c r="E5097" s="482"/>
      <c r="F5097" s="482"/>
    </row>
    <row r="5098" spans="1:6">
      <c r="A5098" s="482"/>
      <c r="B5098" s="482"/>
      <c r="C5098" s="482"/>
      <c r="D5098" s="490"/>
      <c r="E5098" s="482"/>
      <c r="F5098" s="482"/>
    </row>
    <row r="5099" spans="1:6">
      <c r="A5099" s="482"/>
      <c r="B5099" s="482"/>
      <c r="C5099" s="482"/>
      <c r="D5099" s="490"/>
      <c r="E5099" s="482"/>
      <c r="F5099" s="482"/>
    </row>
    <row r="5100" spans="1:6">
      <c r="A5100" s="482"/>
      <c r="B5100" s="482"/>
      <c r="C5100" s="482"/>
      <c r="D5100" s="490"/>
      <c r="E5100" s="482"/>
      <c r="F5100" s="482"/>
    </row>
    <row r="5101" spans="1:6">
      <c r="A5101" s="482"/>
      <c r="B5101" s="482"/>
      <c r="C5101" s="482"/>
      <c r="D5101" s="490"/>
      <c r="E5101" s="482"/>
      <c r="F5101" s="482"/>
    </row>
    <row r="5102" spans="1:6">
      <c r="A5102" s="482"/>
      <c r="B5102" s="482"/>
      <c r="C5102" s="482"/>
      <c r="D5102" s="490"/>
      <c r="E5102" s="482"/>
      <c r="F5102" s="482"/>
    </row>
    <row r="5103" spans="1:6">
      <c r="A5103" s="482"/>
      <c r="B5103" s="482"/>
      <c r="C5103" s="482"/>
      <c r="D5103" s="490"/>
      <c r="E5103" s="482"/>
      <c r="F5103" s="482"/>
    </row>
    <row r="5104" spans="1:6">
      <c r="A5104" s="482"/>
      <c r="B5104" s="482"/>
      <c r="C5104" s="482"/>
      <c r="D5104" s="490"/>
      <c r="E5104" s="482"/>
      <c r="F5104" s="482"/>
    </row>
    <row r="5105" spans="1:6">
      <c r="A5105" s="482"/>
      <c r="B5105" s="482"/>
      <c r="C5105" s="482"/>
      <c r="D5105" s="490"/>
      <c r="E5105" s="482"/>
      <c r="F5105" s="482"/>
    </row>
    <row r="5106" spans="1:6">
      <c r="A5106" s="482"/>
      <c r="B5106" s="482"/>
      <c r="C5106" s="482"/>
      <c r="D5106" s="490"/>
      <c r="E5106" s="482"/>
      <c r="F5106" s="482"/>
    </row>
    <row r="5107" spans="1:6">
      <c r="A5107" s="482"/>
      <c r="B5107" s="482"/>
      <c r="C5107" s="482"/>
      <c r="D5107" s="490"/>
      <c r="E5107" s="482"/>
      <c r="F5107" s="482"/>
    </row>
    <row r="5108" spans="1:6">
      <c r="A5108" s="482"/>
      <c r="B5108" s="482"/>
      <c r="C5108" s="482"/>
      <c r="D5108" s="490"/>
      <c r="E5108" s="482"/>
      <c r="F5108" s="482"/>
    </row>
    <row r="5109" spans="1:6">
      <c r="A5109" s="482"/>
      <c r="B5109" s="482"/>
      <c r="C5109" s="482"/>
      <c r="D5109" s="490"/>
      <c r="E5109" s="482"/>
      <c r="F5109" s="482"/>
    </row>
    <row r="5110" spans="1:6">
      <c r="A5110" s="482"/>
      <c r="B5110" s="482"/>
      <c r="C5110" s="482"/>
      <c r="D5110" s="490"/>
      <c r="E5110" s="482"/>
      <c r="F5110" s="482"/>
    </row>
    <row r="5111" spans="1:6">
      <c r="A5111" s="482"/>
      <c r="B5111" s="482"/>
      <c r="C5111" s="482"/>
      <c r="D5111" s="490"/>
      <c r="E5111" s="482"/>
      <c r="F5111" s="482"/>
    </row>
    <row r="5112" spans="1:6">
      <c r="A5112" s="482"/>
      <c r="B5112" s="482"/>
      <c r="C5112" s="482"/>
      <c r="D5112" s="490"/>
      <c r="E5112" s="482"/>
      <c r="F5112" s="482"/>
    </row>
    <row r="5113" spans="1:6">
      <c r="A5113" s="482"/>
      <c r="B5113" s="482"/>
      <c r="C5113" s="482"/>
      <c r="D5113" s="490"/>
      <c r="E5113" s="482"/>
      <c r="F5113" s="482"/>
    </row>
    <row r="5114" spans="1:6">
      <c r="A5114" s="482"/>
      <c r="B5114" s="482"/>
      <c r="C5114" s="482"/>
      <c r="D5114" s="490"/>
      <c r="E5114" s="482"/>
      <c r="F5114" s="482"/>
    </row>
    <row r="5115" spans="1:6">
      <c r="A5115" s="482"/>
      <c r="B5115" s="482"/>
      <c r="C5115" s="482"/>
      <c r="D5115" s="490"/>
      <c r="E5115" s="482"/>
      <c r="F5115" s="482"/>
    </row>
    <row r="5116" spans="1:6">
      <c r="A5116" s="482"/>
      <c r="B5116" s="482"/>
      <c r="C5116" s="482"/>
      <c r="D5116" s="490"/>
      <c r="E5116" s="482"/>
      <c r="F5116" s="482"/>
    </row>
    <row r="5117" spans="1:6">
      <c r="A5117" s="482"/>
      <c r="B5117" s="482"/>
      <c r="C5117" s="482"/>
      <c r="D5117" s="490"/>
      <c r="E5117" s="482"/>
      <c r="F5117" s="482"/>
    </row>
    <row r="5118" spans="1:6">
      <c r="A5118" s="482"/>
      <c r="B5118" s="482"/>
      <c r="C5118" s="482"/>
      <c r="D5118" s="490"/>
      <c r="E5118" s="482"/>
      <c r="F5118" s="482"/>
    </row>
    <row r="5119" spans="1:6">
      <c r="A5119" s="482"/>
      <c r="B5119" s="482"/>
      <c r="C5119" s="482"/>
      <c r="D5119" s="490"/>
      <c r="E5119" s="482"/>
      <c r="F5119" s="482"/>
    </row>
    <row r="5120" spans="1:6">
      <c r="A5120" s="482"/>
      <c r="B5120" s="482"/>
      <c r="C5120" s="482"/>
      <c r="D5120" s="490"/>
      <c r="E5120" s="482"/>
      <c r="F5120" s="482"/>
    </row>
    <row r="5121" spans="1:6">
      <c r="A5121" s="482"/>
      <c r="B5121" s="482"/>
      <c r="C5121" s="482"/>
      <c r="D5121" s="490"/>
      <c r="E5121" s="482"/>
      <c r="F5121" s="482"/>
    </row>
    <row r="5122" spans="1:6">
      <c r="A5122" s="482"/>
      <c r="B5122" s="482"/>
      <c r="C5122" s="482"/>
      <c r="D5122" s="490"/>
      <c r="E5122" s="482"/>
      <c r="F5122" s="482"/>
    </row>
    <row r="5123" spans="1:6">
      <c r="A5123" s="482"/>
      <c r="B5123" s="482"/>
      <c r="C5123" s="482"/>
      <c r="D5123" s="490"/>
      <c r="E5123" s="482"/>
      <c r="F5123" s="482"/>
    </row>
    <row r="5124" spans="1:6">
      <c r="A5124" s="482"/>
      <c r="B5124" s="482"/>
      <c r="C5124" s="482"/>
      <c r="D5124" s="490"/>
      <c r="E5124" s="482"/>
      <c r="F5124" s="482"/>
    </row>
    <row r="5125" spans="1:6">
      <c r="A5125" s="482"/>
      <c r="B5125" s="482"/>
      <c r="C5125" s="482"/>
      <c r="D5125" s="490"/>
      <c r="E5125" s="482"/>
      <c r="F5125" s="482"/>
    </row>
    <row r="5126" spans="1:6">
      <c r="A5126" s="482"/>
      <c r="B5126" s="482"/>
      <c r="C5126" s="482"/>
      <c r="D5126" s="490"/>
      <c r="E5126" s="482"/>
      <c r="F5126" s="482"/>
    </row>
    <row r="5127" spans="1:6">
      <c r="A5127" s="482"/>
      <c r="B5127" s="482"/>
      <c r="C5127" s="482"/>
      <c r="D5127" s="490"/>
      <c r="E5127" s="482"/>
      <c r="F5127" s="482"/>
    </row>
    <row r="5128" spans="1:6">
      <c r="A5128" s="482"/>
      <c r="B5128" s="482"/>
      <c r="C5128" s="482"/>
      <c r="D5128" s="490"/>
      <c r="E5128" s="482"/>
      <c r="F5128" s="482"/>
    </row>
    <row r="5129" spans="1:6">
      <c r="A5129" s="482"/>
      <c r="B5129" s="482"/>
      <c r="C5129" s="482"/>
      <c r="D5129" s="490"/>
      <c r="E5129" s="482"/>
      <c r="F5129" s="482"/>
    </row>
    <row r="5130" spans="1:6">
      <c r="A5130" s="482"/>
      <c r="B5130" s="482"/>
      <c r="C5130" s="482"/>
      <c r="D5130" s="490"/>
      <c r="E5130" s="482"/>
      <c r="F5130" s="482"/>
    </row>
    <row r="5131" spans="1:6">
      <c r="A5131" s="482"/>
      <c r="B5131" s="482"/>
      <c r="C5131" s="482"/>
      <c r="D5131" s="490"/>
      <c r="E5131" s="482"/>
      <c r="F5131" s="482"/>
    </row>
    <row r="5132" spans="1:6">
      <c r="A5132" s="482"/>
      <c r="B5132" s="482"/>
      <c r="C5132" s="482"/>
      <c r="D5132" s="490"/>
      <c r="E5132" s="482"/>
      <c r="F5132" s="482"/>
    </row>
    <row r="5133" spans="1:6">
      <c r="A5133" s="482"/>
      <c r="B5133" s="482"/>
      <c r="C5133" s="482"/>
      <c r="D5133" s="490"/>
      <c r="E5133" s="482"/>
      <c r="F5133" s="482"/>
    </row>
    <row r="5134" spans="1:6">
      <c r="A5134" s="482"/>
      <c r="B5134" s="482"/>
      <c r="C5134" s="482"/>
      <c r="D5134" s="490"/>
      <c r="E5134" s="482"/>
      <c r="F5134" s="482"/>
    </row>
    <row r="5135" spans="1:6">
      <c r="A5135" s="482"/>
      <c r="B5135" s="482"/>
      <c r="C5135" s="482"/>
      <c r="D5135" s="490"/>
      <c r="E5135" s="482"/>
      <c r="F5135" s="482"/>
    </row>
    <row r="5136" spans="1:6">
      <c r="A5136" s="482"/>
      <c r="B5136" s="482"/>
      <c r="C5136" s="482"/>
      <c r="D5136" s="490"/>
      <c r="E5136" s="482"/>
      <c r="F5136" s="482"/>
    </row>
    <row r="5137" spans="1:6">
      <c r="A5137" s="482"/>
      <c r="B5137" s="482"/>
      <c r="C5137" s="482"/>
      <c r="D5137" s="490"/>
      <c r="E5137" s="482"/>
      <c r="F5137" s="482"/>
    </row>
    <row r="5138" spans="1:6">
      <c r="A5138" s="482"/>
      <c r="B5138" s="482"/>
      <c r="C5138" s="482"/>
      <c r="D5138" s="490"/>
      <c r="E5138" s="482"/>
      <c r="F5138" s="482"/>
    </row>
    <row r="5139" spans="1:6">
      <c r="A5139" s="482"/>
      <c r="B5139" s="482"/>
      <c r="C5139" s="482"/>
      <c r="D5139" s="490"/>
      <c r="E5139" s="482"/>
      <c r="F5139" s="482"/>
    </row>
    <row r="5140" spans="1:6">
      <c r="A5140" s="482"/>
      <c r="B5140" s="482"/>
      <c r="C5140" s="482"/>
      <c r="D5140" s="490"/>
      <c r="E5140" s="482"/>
      <c r="F5140" s="482"/>
    </row>
    <row r="5141" spans="1:6">
      <c r="A5141" s="482"/>
      <c r="B5141" s="482"/>
      <c r="C5141" s="482"/>
      <c r="D5141" s="490"/>
      <c r="E5141" s="482"/>
      <c r="F5141" s="482"/>
    </row>
    <row r="5142" spans="1:6">
      <c r="A5142" s="482"/>
      <c r="B5142" s="482"/>
      <c r="C5142" s="482"/>
      <c r="D5142" s="490"/>
      <c r="E5142" s="482"/>
      <c r="F5142" s="482"/>
    </row>
    <row r="5143" spans="1:6">
      <c r="A5143" s="482"/>
      <c r="B5143" s="482"/>
      <c r="C5143" s="482"/>
      <c r="D5143" s="490"/>
      <c r="E5143" s="482"/>
      <c r="F5143" s="482"/>
    </row>
    <row r="5144" spans="1:6">
      <c r="A5144" s="482"/>
      <c r="B5144" s="482"/>
      <c r="C5144" s="482"/>
      <c r="D5144" s="490"/>
      <c r="E5144" s="482"/>
      <c r="F5144" s="482"/>
    </row>
    <row r="5145" spans="1:6">
      <c r="A5145" s="482"/>
      <c r="B5145" s="482"/>
      <c r="C5145" s="482"/>
      <c r="D5145" s="490"/>
      <c r="E5145" s="482"/>
      <c r="F5145" s="482"/>
    </row>
    <row r="5146" spans="1:6">
      <c r="A5146" s="482"/>
      <c r="B5146" s="482"/>
      <c r="C5146" s="482"/>
      <c r="D5146" s="490"/>
      <c r="E5146" s="482"/>
      <c r="F5146" s="482"/>
    </row>
    <row r="5147" spans="1:6">
      <c r="A5147" s="482"/>
      <c r="B5147" s="482"/>
      <c r="C5147" s="482"/>
      <c r="D5147" s="490"/>
      <c r="E5147" s="482"/>
      <c r="F5147" s="482"/>
    </row>
    <row r="5148" spans="1:6">
      <c r="A5148" s="482"/>
      <c r="B5148" s="482"/>
      <c r="C5148" s="482"/>
      <c r="D5148" s="490"/>
      <c r="E5148" s="482"/>
      <c r="F5148" s="482"/>
    </row>
    <row r="5149" spans="1:6">
      <c r="A5149" s="482"/>
      <c r="B5149" s="482"/>
      <c r="C5149" s="482"/>
      <c r="D5149" s="490"/>
      <c r="E5149" s="482"/>
      <c r="F5149" s="482"/>
    </row>
    <row r="5150" spans="1:6">
      <c r="A5150" s="482"/>
      <c r="B5150" s="482"/>
      <c r="C5150" s="482"/>
      <c r="D5150" s="490"/>
      <c r="E5150" s="482"/>
      <c r="F5150" s="482"/>
    </row>
    <row r="5151" spans="1:6">
      <c r="A5151" s="482"/>
      <c r="B5151" s="482"/>
      <c r="C5151" s="482"/>
      <c r="D5151" s="490"/>
      <c r="E5151" s="482"/>
      <c r="F5151" s="482"/>
    </row>
    <row r="5152" spans="1:6">
      <c r="A5152" s="482"/>
      <c r="B5152" s="482"/>
      <c r="C5152" s="482"/>
      <c r="D5152" s="490"/>
      <c r="E5152" s="482"/>
      <c r="F5152" s="482"/>
    </row>
    <row r="5153" spans="1:6">
      <c r="A5153" s="482"/>
      <c r="B5153" s="482"/>
      <c r="C5153" s="482"/>
      <c r="D5153" s="490"/>
      <c r="E5153" s="482"/>
      <c r="F5153" s="482"/>
    </row>
    <row r="5154" spans="1:6">
      <c r="A5154" s="482"/>
      <c r="B5154" s="482"/>
      <c r="C5154" s="482"/>
      <c r="D5154" s="490"/>
      <c r="E5154" s="482"/>
      <c r="F5154" s="482"/>
    </row>
    <row r="5155" spans="1:6">
      <c r="A5155" s="482"/>
      <c r="B5155" s="482"/>
      <c r="C5155" s="482"/>
      <c r="D5155" s="490"/>
      <c r="E5155" s="482"/>
      <c r="F5155" s="482"/>
    </row>
    <row r="5156" spans="1:6">
      <c r="A5156" s="482"/>
      <c r="B5156" s="482"/>
      <c r="C5156" s="482"/>
      <c r="D5156" s="490"/>
      <c r="E5156" s="482"/>
      <c r="F5156" s="482"/>
    </row>
    <row r="5157" spans="1:6">
      <c r="A5157" s="482"/>
      <c r="B5157" s="482"/>
      <c r="C5157" s="482"/>
      <c r="D5157" s="490"/>
      <c r="E5157" s="482"/>
      <c r="F5157" s="482"/>
    </row>
    <row r="5158" spans="1:6">
      <c r="A5158" s="482"/>
      <c r="B5158" s="482"/>
      <c r="C5158" s="482"/>
      <c r="D5158" s="490"/>
      <c r="E5158" s="482"/>
      <c r="F5158" s="482"/>
    </row>
    <row r="5159" spans="1:6">
      <c r="A5159" s="482"/>
      <c r="B5159" s="482"/>
      <c r="C5159" s="482"/>
      <c r="D5159" s="490"/>
      <c r="E5159" s="482"/>
      <c r="F5159" s="482"/>
    </row>
    <row r="5160" spans="1:6">
      <c r="A5160" s="482"/>
      <c r="B5160" s="482"/>
      <c r="C5160" s="482"/>
      <c r="D5160" s="490"/>
      <c r="E5160" s="482"/>
      <c r="F5160" s="482"/>
    </row>
    <row r="5161" spans="1:6">
      <c r="A5161" s="482"/>
      <c r="B5161" s="482"/>
      <c r="C5161" s="482"/>
      <c r="D5161" s="490"/>
      <c r="E5161" s="482"/>
      <c r="F5161" s="482"/>
    </row>
    <row r="5162" spans="1:6">
      <c r="A5162" s="482"/>
      <c r="B5162" s="489"/>
      <c r="C5162" s="489"/>
      <c r="D5162" s="490"/>
      <c r="E5162" s="489"/>
      <c r="F5162" s="489"/>
    </row>
    <row r="5163" spans="1:6">
      <c r="A5163" s="482"/>
      <c r="B5163" s="489"/>
      <c r="C5163" s="489"/>
      <c r="D5163" s="490"/>
      <c r="E5163" s="489"/>
      <c r="F5163" s="489"/>
    </row>
    <row r="5164" spans="1:6">
      <c r="A5164" s="482"/>
      <c r="B5164" s="482"/>
      <c r="C5164" s="482"/>
      <c r="D5164" s="490"/>
      <c r="E5164" s="482"/>
      <c r="F5164" s="482"/>
    </row>
    <row r="5165" spans="1:6">
      <c r="A5165" s="482"/>
      <c r="B5165" s="489"/>
      <c r="C5165" s="489"/>
      <c r="D5165" s="490"/>
      <c r="E5165" s="489"/>
      <c r="F5165" s="489"/>
    </row>
    <row r="5166" spans="1:6">
      <c r="A5166" s="482"/>
      <c r="B5166" s="482"/>
      <c r="C5166" s="482"/>
      <c r="D5166" s="490"/>
      <c r="E5166" s="482"/>
      <c r="F5166" s="482"/>
    </row>
    <row r="5167" spans="1:6">
      <c r="A5167" s="482"/>
      <c r="B5167" s="489"/>
      <c r="C5167" s="193"/>
      <c r="D5167" s="490"/>
      <c r="E5167" s="488"/>
      <c r="F5167" s="489"/>
    </row>
    <row r="5168" spans="1:6">
      <c r="A5168" s="482"/>
      <c r="B5168" s="489"/>
      <c r="C5168" s="193"/>
      <c r="D5168" s="490"/>
      <c r="E5168" s="488"/>
      <c r="F5168" s="489"/>
    </row>
    <row r="5169" spans="1:6">
      <c r="A5169" s="482"/>
      <c r="B5169" s="489"/>
      <c r="C5169" s="193"/>
      <c r="D5169" s="490"/>
      <c r="E5169" s="488"/>
      <c r="F5169" s="489"/>
    </row>
    <row r="5170" spans="1:6">
      <c r="A5170" s="482"/>
      <c r="B5170" s="491"/>
      <c r="C5170" s="491"/>
      <c r="D5170" s="492"/>
      <c r="E5170" s="491"/>
      <c r="F5170" s="491"/>
    </row>
    <row r="5171" spans="1:6">
      <c r="A5171" s="482"/>
      <c r="B5171" s="493"/>
      <c r="C5171" s="489"/>
      <c r="D5171" s="494"/>
      <c r="E5171" s="493"/>
      <c r="F5171" s="493"/>
    </row>
    <row r="5172" spans="1:6">
      <c r="A5172" s="482"/>
      <c r="B5172" s="493"/>
      <c r="C5172" s="489"/>
      <c r="D5172" s="494"/>
      <c r="E5172" s="493"/>
      <c r="F5172" s="493"/>
    </row>
  </sheetData>
  <phoneticPr fontId="42" type="noConversion"/>
  <hyperlinks>
    <hyperlink ref="N2" r:id="rId4" xr:uid="{00000000-0004-0000-0500-000000000000}"/>
  </hyperlinks>
  <pageMargins left="0.7" right="0.7" top="0.75" bottom="0.75" header="0.3" footer="0.3"/>
  <pageSetup paperSize="9" orientation="portrait" r:id="rId5"/>
  <drawing r:id="rId6"/>
  <legacyDrawing r:id="rId7"/>
  <tableParts count="1">
    <tablePart r:id="rId8"/>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tabColor theme="7"/>
  </sheetPr>
  <dimension ref="A1:R78"/>
  <sheetViews>
    <sheetView tabSelected="1" zoomScale="85" zoomScaleNormal="85" workbookViewId="0">
      <selection activeCell="C2" sqref="C2:E2"/>
    </sheetView>
  </sheetViews>
  <sheetFormatPr baseColWidth="10" defaultColWidth="0" defaultRowHeight="14.5" zeroHeight="1"/>
  <cols>
    <col min="1" max="1" width="2.26953125" style="38" customWidth="1"/>
    <col min="2" max="2" width="13.7265625" style="38" customWidth="1"/>
    <col min="3" max="3" width="13" style="38" customWidth="1"/>
    <col min="4" max="4" width="14.81640625" style="38" customWidth="1"/>
    <col min="5" max="5" width="11.81640625" style="38" customWidth="1"/>
    <col min="6" max="6" width="17" style="38" customWidth="1"/>
    <col min="7" max="7" width="16.453125" style="38" customWidth="1"/>
    <col min="8" max="8" width="14.81640625" style="38" customWidth="1"/>
    <col min="9" max="9" width="10.81640625" style="38" customWidth="1"/>
    <col min="10" max="10" width="19" style="38" customWidth="1"/>
    <col min="11" max="11" width="11.453125" style="38" customWidth="1"/>
    <col min="12" max="12" width="19.7265625" style="38" customWidth="1"/>
    <col min="13" max="14" width="11.453125" style="38" customWidth="1"/>
    <col min="15" max="18" width="0" style="38" hidden="1" customWidth="1"/>
    <col min="19" max="16384" width="11.453125" style="38" hidden="1"/>
  </cols>
  <sheetData>
    <row r="1" spans="1:18" customFormat="1">
      <c r="A1" s="38"/>
      <c r="B1" s="38"/>
      <c r="C1" s="38"/>
      <c r="D1" s="38"/>
      <c r="E1" s="38"/>
      <c r="F1" s="38"/>
      <c r="G1" s="38"/>
      <c r="H1" s="38"/>
      <c r="I1" s="38"/>
      <c r="J1" s="38"/>
      <c r="K1" s="38"/>
      <c r="L1" s="38"/>
      <c r="M1" s="38"/>
      <c r="N1" s="38"/>
    </row>
    <row r="2" spans="1:18" customFormat="1" ht="15.5">
      <c r="A2" s="38"/>
      <c r="B2" s="74" t="s">
        <v>0</v>
      </c>
      <c r="C2" s="530"/>
      <c r="D2" s="530"/>
      <c r="E2" s="530"/>
      <c r="F2" s="38"/>
      <c r="G2" s="38"/>
      <c r="H2" s="38"/>
      <c r="I2" s="38"/>
      <c r="J2" s="38"/>
      <c r="K2" s="38"/>
      <c r="L2" s="38"/>
      <c r="M2" s="38"/>
      <c r="N2" s="38"/>
    </row>
    <row r="3" spans="1:18" customFormat="1">
      <c r="A3" s="38"/>
      <c r="B3" s="38"/>
      <c r="C3" s="38"/>
      <c r="D3" s="38"/>
      <c r="E3" s="38"/>
      <c r="F3" s="38"/>
      <c r="G3" s="38"/>
      <c r="H3" s="38"/>
      <c r="I3" s="38"/>
      <c r="J3" s="38"/>
      <c r="K3" s="38"/>
      <c r="L3" s="38"/>
      <c r="M3" s="38"/>
      <c r="N3" s="38"/>
    </row>
    <row r="4" spans="1:18" customFormat="1" ht="18.5">
      <c r="A4" s="75" t="s">
        <v>1</v>
      </c>
      <c r="C4" s="38"/>
      <c r="E4" s="38"/>
      <c r="F4" s="109" t="s">
        <v>2</v>
      </c>
      <c r="G4" s="74" t="str">
        <f>LOOKUP("zz",Notes_Versions!A:A)</f>
        <v>1.99</v>
      </c>
      <c r="I4" s="38"/>
      <c r="J4" s="38"/>
      <c r="K4" s="38"/>
      <c r="L4" s="38"/>
      <c r="M4" s="38"/>
      <c r="N4" s="38"/>
    </row>
    <row r="5" spans="1:18" customFormat="1" ht="15" thickBot="1">
      <c r="A5" s="38"/>
      <c r="B5" s="38"/>
      <c r="C5" s="38"/>
      <c r="D5" s="38"/>
      <c r="E5" s="38"/>
      <c r="F5" s="38"/>
      <c r="G5" s="38"/>
      <c r="H5" s="38"/>
      <c r="I5" s="38"/>
      <c r="J5" s="38"/>
      <c r="L5" s="38"/>
      <c r="M5" s="38"/>
      <c r="N5" s="38"/>
    </row>
    <row r="6" spans="1:18" customFormat="1" ht="15" thickBot="1">
      <c r="A6" s="38"/>
      <c r="B6" s="38"/>
      <c r="C6" s="531" t="s">
        <v>3</v>
      </c>
      <c r="D6" s="532"/>
      <c r="E6" s="533"/>
      <c r="F6" s="531" t="s">
        <v>4</v>
      </c>
      <c r="G6" s="532"/>
      <c r="H6" s="168" t="s">
        <v>5</v>
      </c>
      <c r="I6" s="534" t="s">
        <v>6</v>
      </c>
      <c r="J6" s="535"/>
      <c r="K6" s="536"/>
      <c r="L6" s="537"/>
      <c r="M6" s="469"/>
      <c r="N6" s="38"/>
      <c r="O6" s="38"/>
      <c r="P6" s="38"/>
      <c r="Q6" s="38"/>
      <c r="R6" s="38"/>
    </row>
    <row r="7" spans="1:18" customFormat="1" ht="15" thickBot="1">
      <c r="A7" s="38"/>
      <c r="B7" s="391" t="s">
        <v>7</v>
      </c>
      <c r="C7" s="71" t="s">
        <v>8</v>
      </c>
      <c r="D7" s="158" t="s">
        <v>9</v>
      </c>
      <c r="E7" s="159" t="s">
        <v>10</v>
      </c>
      <c r="F7" s="71" t="s">
        <v>11</v>
      </c>
      <c r="G7" s="72" t="s">
        <v>12</v>
      </c>
      <c r="H7" s="169" t="s">
        <v>13</v>
      </c>
      <c r="I7" s="538"/>
      <c r="J7" s="539"/>
      <c r="K7" s="540"/>
      <c r="L7" s="541"/>
      <c r="M7" s="469"/>
      <c r="N7" s="470"/>
      <c r="O7" s="39"/>
      <c r="P7" s="39"/>
      <c r="Q7" s="39"/>
      <c r="R7" s="39"/>
    </row>
    <row r="8" spans="1:18" customFormat="1" ht="15.75" customHeight="1">
      <c r="A8" s="38"/>
      <c r="B8" s="394">
        <v>2010</v>
      </c>
      <c r="C8" s="182"/>
      <c r="D8" s="183"/>
      <c r="E8" s="397"/>
      <c r="F8" s="182"/>
      <c r="G8" s="402"/>
      <c r="H8" s="403" t="str">
        <f>IFERROR(SUMIFS('Surface DEET'!$X$9:$X$38,'Surface DEET'!$B$9:$B$38,"&lt;="&amp;Site!$B8,'Surface DEET'!$C$9:$C$38,"&gt;="&amp;Site!$B8)/C8,"")</f>
        <v/>
      </c>
      <c r="I8" s="542"/>
      <c r="J8" s="543"/>
      <c r="K8" s="543"/>
      <c r="L8" s="544"/>
      <c r="M8" s="471"/>
      <c r="N8" s="472"/>
      <c r="O8" s="40"/>
      <c r="P8" s="40"/>
      <c r="Q8" s="40"/>
      <c r="R8" s="40"/>
    </row>
    <row r="9" spans="1:18" customFormat="1" ht="15.75" customHeight="1">
      <c r="A9" s="38"/>
      <c r="B9" s="395">
        <v>2011</v>
      </c>
      <c r="C9" s="170"/>
      <c r="D9" s="393"/>
      <c r="E9" s="398"/>
      <c r="F9" s="243"/>
      <c r="G9" s="393"/>
      <c r="H9" s="404" t="str">
        <f>IFERROR(SUMIFS('Surface DEET'!$X$9:$X$38,'Surface DEET'!$B$9:$B$38,"&lt;="&amp;Site!$B9,'Surface DEET'!$C$9:$C$38,"&gt;="&amp;Site!$B9)/C9,"")</f>
        <v/>
      </c>
      <c r="I9" s="542"/>
      <c r="J9" s="543"/>
      <c r="K9" s="543"/>
      <c r="L9" s="544"/>
      <c r="M9" s="471"/>
      <c r="N9" s="473"/>
      <c r="O9" s="40"/>
      <c r="P9" s="40"/>
      <c r="Q9" s="40"/>
      <c r="R9" s="40"/>
    </row>
    <row r="10" spans="1:18" customFormat="1" ht="15.75" customHeight="1">
      <c r="A10" s="38"/>
      <c r="B10" s="395">
        <v>2012</v>
      </c>
      <c r="C10" s="243"/>
      <c r="D10" s="393"/>
      <c r="E10" s="398"/>
      <c r="F10" s="243"/>
      <c r="G10" s="393"/>
      <c r="H10" s="404" t="str">
        <f>IFERROR(SUMIFS('Surface DEET'!$X$9:$X$38,'Surface DEET'!$B$9:$B$38,"&lt;="&amp;Site!$B10,'Surface DEET'!$C$9:$C$38,"&gt;="&amp;Site!$B10)/C10,"")</f>
        <v/>
      </c>
      <c r="I10" s="542"/>
      <c r="J10" s="543"/>
      <c r="K10" s="543"/>
      <c r="L10" s="544"/>
      <c r="M10" s="471"/>
      <c r="N10" s="473"/>
      <c r="O10" s="40"/>
      <c r="P10" s="40"/>
      <c r="Q10" s="40"/>
      <c r="R10" s="40"/>
    </row>
    <row r="11" spans="1:18" customFormat="1" ht="15.75" customHeight="1">
      <c r="A11" s="38"/>
      <c r="B11" s="395">
        <v>2013</v>
      </c>
      <c r="C11" s="243"/>
      <c r="D11" s="393"/>
      <c r="E11" s="398"/>
      <c r="F11" s="243"/>
      <c r="G11" s="393"/>
      <c r="H11" s="404" t="str">
        <f>IFERROR(SUMIFS('Surface DEET'!$X$9:$X$38,'Surface DEET'!$B$9:$B$38,"&lt;="&amp;Site!$B11,'Surface DEET'!$C$9:$C$38,"&gt;="&amp;Site!$B11)/C11,"")</f>
        <v/>
      </c>
      <c r="I11" s="542"/>
      <c r="J11" s="543"/>
      <c r="K11" s="543"/>
      <c r="L11" s="544"/>
      <c r="M11" s="471"/>
      <c r="N11" s="473"/>
      <c r="O11" s="38"/>
      <c r="P11" s="38"/>
      <c r="Q11" s="38"/>
      <c r="R11" s="38"/>
    </row>
    <row r="12" spans="1:18" customFormat="1" ht="15.75" customHeight="1">
      <c r="A12" s="38"/>
      <c r="B12" s="395">
        <v>2014</v>
      </c>
      <c r="C12" s="243"/>
      <c r="D12" s="393"/>
      <c r="E12" s="398"/>
      <c r="F12" s="243"/>
      <c r="G12" s="393"/>
      <c r="H12" s="404" t="str">
        <f>IFERROR(SUMIFS('Surface DEET'!$X$9:$X$38,'Surface DEET'!$B$9:$B$38,"&lt;="&amp;Site!$B12,'Surface DEET'!$C$9:$C$38,"&gt;="&amp;Site!$B12)/C12,"")</f>
        <v/>
      </c>
      <c r="I12" s="542"/>
      <c r="J12" s="543"/>
      <c r="K12" s="543"/>
      <c r="L12" s="544"/>
      <c r="M12" s="471"/>
      <c r="N12" s="473"/>
      <c r="O12" s="38"/>
      <c r="P12" s="38"/>
      <c r="Q12" s="38"/>
      <c r="R12" s="38"/>
    </row>
    <row r="13" spans="1:18" customFormat="1" ht="15.75" customHeight="1">
      <c r="A13" s="38"/>
      <c r="B13" s="395">
        <v>2015</v>
      </c>
      <c r="C13" s="243"/>
      <c r="D13" s="393"/>
      <c r="E13" s="398"/>
      <c r="F13" s="243"/>
      <c r="G13" s="393"/>
      <c r="H13" s="404" t="str">
        <f>IFERROR(SUMIFS('Surface DEET'!$X$9:$X$38,'Surface DEET'!$B$9:$B$38,"&lt;="&amp;Site!$B13,'Surface DEET'!$C$9:$C$38,"&gt;="&amp;Site!$B13)/C13,"")</f>
        <v/>
      </c>
      <c r="I13" s="542"/>
      <c r="J13" s="543"/>
      <c r="K13" s="543"/>
      <c r="L13" s="544"/>
      <c r="M13" s="471"/>
      <c r="N13" s="473"/>
      <c r="O13" s="38"/>
      <c r="P13" s="38"/>
      <c r="Q13" s="38"/>
      <c r="R13" s="38"/>
    </row>
    <row r="14" spans="1:18" customFormat="1" ht="15.75" customHeight="1">
      <c r="A14" s="38"/>
      <c r="B14" s="395">
        <v>2016</v>
      </c>
      <c r="C14" s="243"/>
      <c r="D14" s="393"/>
      <c r="E14" s="398"/>
      <c r="F14" s="243"/>
      <c r="G14" s="393"/>
      <c r="H14" s="404" t="str">
        <f>IFERROR(SUMIFS('Surface DEET'!$X$9:$X$38,'Surface DEET'!$B$9:$B$38,"&lt;="&amp;Site!$B14,'Surface DEET'!$C$9:$C$38,"&gt;="&amp;Site!$B14)/C14,"")</f>
        <v/>
      </c>
      <c r="I14" s="542"/>
      <c r="J14" s="543"/>
      <c r="K14" s="543"/>
      <c r="L14" s="544"/>
      <c r="M14" s="471"/>
      <c r="N14" s="473"/>
      <c r="O14" s="38"/>
      <c r="P14" s="38"/>
      <c r="Q14" s="38"/>
      <c r="R14" s="38"/>
    </row>
    <row r="15" spans="1:18" customFormat="1" ht="15.75" customHeight="1">
      <c r="A15" s="38"/>
      <c r="B15" s="395">
        <v>2017</v>
      </c>
      <c r="C15" s="243"/>
      <c r="D15" s="393"/>
      <c r="E15" s="398"/>
      <c r="F15" s="243"/>
      <c r="G15" s="393"/>
      <c r="H15" s="404" t="str">
        <f>IFERROR(SUMIFS('Surface DEET'!$X$9:$X$38,'Surface DEET'!$B$9:$B$38,"&lt;="&amp;Site!$B15,'Surface DEET'!$C$9:$C$38,"&gt;="&amp;Site!$B15)/C15,"")</f>
        <v/>
      </c>
      <c r="I15" s="545"/>
      <c r="J15" s="546"/>
      <c r="K15" s="547"/>
      <c r="L15" s="548"/>
      <c r="M15" s="474"/>
      <c r="N15" s="473"/>
      <c r="O15" s="38"/>
      <c r="P15" s="38"/>
      <c r="Q15" s="38"/>
      <c r="R15" s="38"/>
    </row>
    <row r="16" spans="1:18" customFormat="1" ht="15.75" customHeight="1">
      <c r="A16" s="38"/>
      <c r="B16" s="395">
        <v>2018</v>
      </c>
      <c r="C16" s="243"/>
      <c r="D16" s="393"/>
      <c r="E16" s="398"/>
      <c r="F16" s="243"/>
      <c r="G16" s="393"/>
      <c r="H16" s="404" t="str">
        <f>IFERROR(SUMIFS('Surface DEET'!$X$9:$X$38,'Surface DEET'!$B$9:$B$38,"&lt;="&amp;Site!$B16,'Surface DEET'!$C$9:$C$38,"&gt;="&amp;Site!$B16)/C16,"")</f>
        <v/>
      </c>
      <c r="I16" s="545"/>
      <c r="J16" s="546"/>
      <c r="K16" s="547"/>
      <c r="L16" s="548"/>
      <c r="M16" s="474"/>
      <c r="N16" s="473"/>
      <c r="O16" s="38"/>
      <c r="P16" s="38"/>
      <c r="Q16" s="38"/>
      <c r="R16" s="38"/>
    </row>
    <row r="17" spans="1:18" customFormat="1" ht="15.75" customHeight="1">
      <c r="A17" s="38"/>
      <c r="B17" s="395">
        <v>2019</v>
      </c>
      <c r="C17" s="243"/>
      <c r="D17" s="393"/>
      <c r="E17" s="398"/>
      <c r="F17" s="243"/>
      <c r="G17" s="393"/>
      <c r="H17" s="404" t="str">
        <f>IFERROR(SUMIFS('Surface DEET'!$X$9:$X$38,'Surface DEET'!$B$9:$B$38,"&lt;="&amp;Site!$B17,'Surface DEET'!$C$9:$C$38,"&gt;="&amp;Site!$B17)/C17,"")</f>
        <v/>
      </c>
      <c r="I17" s="545"/>
      <c r="J17" s="546"/>
      <c r="K17" s="547"/>
      <c r="L17" s="548"/>
      <c r="M17" s="471"/>
      <c r="N17" s="473"/>
      <c r="O17" s="38"/>
      <c r="P17" s="38"/>
      <c r="Q17" s="38"/>
      <c r="R17" s="38"/>
    </row>
    <row r="18" spans="1:18" customFormat="1" ht="15.75" customHeight="1">
      <c r="A18" s="38"/>
      <c r="B18" s="395">
        <v>2020</v>
      </c>
      <c r="C18" s="243"/>
      <c r="D18" s="393"/>
      <c r="E18" s="398"/>
      <c r="F18" s="243"/>
      <c r="G18" s="393"/>
      <c r="H18" s="404" t="str">
        <f>IFERROR(SUMIFS('Surface DEET'!$X$9:$X$38,'Surface DEET'!$B$9:$B$38,"&lt;="&amp;Site!$B18,'Surface DEET'!$C$9:$C$38,"&gt;="&amp;Site!$B18)/C18,"")</f>
        <v/>
      </c>
      <c r="I18" s="545"/>
      <c r="J18" s="546"/>
      <c r="K18" s="547"/>
      <c r="L18" s="548"/>
      <c r="M18" s="471"/>
      <c r="N18" s="473"/>
      <c r="O18" s="38"/>
      <c r="P18" s="38"/>
      <c r="Q18" s="38"/>
      <c r="R18" s="38"/>
    </row>
    <row r="19" spans="1:18" customFormat="1" ht="15.75" customHeight="1">
      <c r="A19" s="38"/>
      <c r="B19" s="395">
        <v>2021</v>
      </c>
      <c r="C19" s="243"/>
      <c r="D19" s="393"/>
      <c r="E19" s="398"/>
      <c r="F19" s="243"/>
      <c r="G19" s="393"/>
      <c r="H19" s="404" t="str">
        <f>IFERROR(SUMIFS('Surface DEET'!$X$9:$X$38,'Surface DEET'!$B$9:$B$38,"&lt;="&amp;Site!$B19,'Surface DEET'!$C$9:$C$38,"&gt;="&amp;Site!$B19)/C19,"")</f>
        <v/>
      </c>
      <c r="I19" s="545"/>
      <c r="J19" s="546"/>
      <c r="K19" s="547"/>
      <c r="L19" s="548"/>
      <c r="M19" s="471"/>
      <c r="N19" s="473"/>
      <c r="O19" s="38"/>
      <c r="P19" s="38"/>
      <c r="Q19" s="38"/>
      <c r="R19" s="38"/>
    </row>
    <row r="20" spans="1:18" customFormat="1" ht="39" customHeight="1">
      <c r="A20" s="38"/>
      <c r="B20" s="395">
        <v>2022</v>
      </c>
      <c r="C20" s="243"/>
      <c r="D20" s="393"/>
      <c r="E20" s="398"/>
      <c r="F20" s="243"/>
      <c r="G20" s="393"/>
      <c r="H20" s="404" t="str">
        <f>IFERROR(SUMIFS('Surface DEET'!$X$9:$X$38,'Surface DEET'!$B$9:$B$38,"&lt;="&amp;Site!$B20,'Surface DEET'!$C$9:$C$38,"&gt;="&amp;Site!$B20)/C20,"")</f>
        <v/>
      </c>
      <c r="I20" s="545"/>
      <c r="J20" s="546"/>
      <c r="K20" s="547"/>
      <c r="L20" s="548"/>
      <c r="M20" s="471"/>
      <c r="N20" s="473"/>
      <c r="O20" s="38"/>
      <c r="P20" s="38"/>
      <c r="Q20" s="38"/>
      <c r="R20" s="38"/>
    </row>
    <row r="21" spans="1:18" customFormat="1" ht="48" customHeight="1">
      <c r="A21" s="38"/>
      <c r="B21" s="395">
        <v>2023</v>
      </c>
      <c r="C21" s="243"/>
      <c r="D21" s="393"/>
      <c r="E21" s="398"/>
      <c r="F21" s="243"/>
      <c r="G21" s="393"/>
      <c r="H21" s="404" t="str">
        <f>IFERROR(SUMIFS('Surface DEET'!$X$9:$X$38,'Surface DEET'!$B$9:$B$38,"&lt;="&amp;Site!$B21,'Surface DEET'!$C$9:$C$38,"&gt;="&amp;Site!$B21)/C21,"")</f>
        <v/>
      </c>
      <c r="I21" s="545"/>
      <c r="J21" s="546"/>
      <c r="K21" s="547"/>
      <c r="L21" s="548"/>
      <c r="M21" s="471"/>
      <c r="N21" s="473"/>
      <c r="O21" s="38"/>
      <c r="P21" s="38"/>
      <c r="Q21" s="38"/>
      <c r="R21" s="38"/>
    </row>
    <row r="22" spans="1:18" customFormat="1" ht="48" customHeight="1">
      <c r="A22" s="38"/>
      <c r="B22" s="395">
        <v>2024</v>
      </c>
      <c r="C22" s="243"/>
      <c r="D22" s="393"/>
      <c r="E22" s="398"/>
      <c r="F22" s="243"/>
      <c r="G22" s="393"/>
      <c r="H22" s="404" t="str">
        <f>IFERROR(SUMIFS('Surface DEET'!$X$9:$X$38,'Surface DEET'!$B$9:$B$38,"&lt;="&amp;Site!$B22,'Surface DEET'!$C$9:$C$38,"&gt;="&amp;Site!$B22)/C22,"")</f>
        <v/>
      </c>
      <c r="I22" s="545"/>
      <c r="J22" s="546"/>
      <c r="K22" s="547"/>
      <c r="L22" s="548"/>
      <c r="M22" s="471"/>
      <c r="N22" s="473"/>
    </row>
    <row r="23" spans="1:18" customFormat="1" ht="60" customHeight="1">
      <c r="A23" s="38"/>
      <c r="B23" s="395">
        <v>2025</v>
      </c>
      <c r="C23" s="243"/>
      <c r="D23" s="393"/>
      <c r="E23" s="398"/>
      <c r="F23" s="243"/>
      <c r="G23" s="393"/>
      <c r="H23" s="404" t="str">
        <f>IFERROR(SUMIFS('Surface DEET'!$X$9:$X$38,'Surface DEET'!$B$9:$B$38,"&lt;="&amp;Site!$B23,'Surface DEET'!$C$9:$C$38,"&gt;="&amp;Site!$B23)/C23,"")</f>
        <v/>
      </c>
      <c r="I23" s="545"/>
      <c r="J23" s="546"/>
      <c r="K23" s="547"/>
      <c r="L23" s="548"/>
      <c r="M23" s="474"/>
      <c r="N23" s="473"/>
    </row>
    <row r="24" spans="1:18" s="264" customFormat="1" ht="60" customHeight="1">
      <c r="A24" s="38"/>
      <c r="B24" s="395">
        <v>2026</v>
      </c>
      <c r="C24" s="243"/>
      <c r="D24" s="393"/>
      <c r="E24" s="398"/>
      <c r="F24" s="243"/>
      <c r="G24" s="393"/>
      <c r="H24" s="404" t="str">
        <f>IFERROR(SUMIFS('Surface DEET'!$X$9:$X$38,'Surface DEET'!$B$9:$B$38,"&lt;="&amp;Site!$B24,'Surface DEET'!$C$9:$C$38,"&gt;="&amp;Site!$B24)/C24,"")</f>
        <v/>
      </c>
      <c r="I24" s="545"/>
      <c r="J24" s="546"/>
      <c r="K24" s="547"/>
      <c r="L24" s="548"/>
      <c r="M24" s="474"/>
      <c r="N24" s="473"/>
    </row>
    <row r="25" spans="1:18" s="479" customFormat="1" ht="60" customHeight="1">
      <c r="A25" s="38"/>
      <c r="B25" s="395">
        <v>2027</v>
      </c>
      <c r="C25" s="243"/>
      <c r="D25" s="393"/>
      <c r="E25" s="398"/>
      <c r="F25" s="243"/>
      <c r="G25" s="393"/>
      <c r="H25" s="404" t="str">
        <f>IFERROR(SUMIFS('Surface DEET'!$X$9:$X$38,'Surface DEET'!$B$9:$B$38,"&lt;="&amp;Site!$B25,'Surface DEET'!$C$9:$C$38,"&gt;="&amp;Site!$B25)/C25,"")</f>
        <v/>
      </c>
      <c r="I25" s="545"/>
      <c r="J25" s="546"/>
      <c r="K25" s="547"/>
      <c r="L25" s="548"/>
      <c r="M25" s="474"/>
      <c r="N25" s="473"/>
    </row>
    <row r="26" spans="1:18" s="479" customFormat="1" ht="60" customHeight="1">
      <c r="A26" s="38"/>
      <c r="B26" s="395">
        <v>2028</v>
      </c>
      <c r="C26" s="243"/>
      <c r="D26" s="393"/>
      <c r="E26" s="398"/>
      <c r="F26" s="243"/>
      <c r="G26" s="393"/>
      <c r="H26" s="404"/>
      <c r="I26" s="545"/>
      <c r="J26" s="546"/>
      <c r="K26" s="547"/>
      <c r="L26" s="548"/>
      <c r="M26" s="474"/>
      <c r="N26" s="473"/>
    </row>
    <row r="27" spans="1:18" s="479" customFormat="1" ht="60" customHeight="1">
      <c r="A27" s="38"/>
      <c r="B27" s="395">
        <v>2029</v>
      </c>
      <c r="C27" s="243"/>
      <c r="D27" s="393"/>
      <c r="E27" s="398"/>
      <c r="F27" s="243"/>
      <c r="G27" s="393"/>
      <c r="H27" s="404"/>
      <c r="I27" s="545"/>
      <c r="J27" s="546"/>
      <c r="K27" s="547"/>
      <c r="L27" s="548"/>
      <c r="M27" s="474"/>
      <c r="N27" s="473"/>
    </row>
    <row r="28" spans="1:18" s="479" customFormat="1" ht="60" customHeight="1" thickBot="1">
      <c r="A28" s="38"/>
      <c r="B28" s="396">
        <v>2030</v>
      </c>
      <c r="C28" s="399"/>
      <c r="D28" s="400"/>
      <c r="E28" s="401"/>
      <c r="F28" s="399"/>
      <c r="G28" s="400"/>
      <c r="H28" s="405"/>
      <c r="I28" s="545"/>
      <c r="J28" s="546"/>
      <c r="K28" s="547"/>
      <c r="L28" s="548"/>
      <c r="M28" s="474"/>
      <c r="N28" s="473"/>
    </row>
    <row r="29" spans="1:18" customFormat="1">
      <c r="A29" s="38"/>
      <c r="B29" s="37"/>
      <c r="C29" s="37"/>
      <c r="D29" s="38"/>
      <c r="E29" s="38"/>
      <c r="F29" s="38"/>
      <c r="G29" s="38"/>
      <c r="H29" s="392"/>
      <c r="J29" s="38"/>
      <c r="K29" s="38"/>
      <c r="M29" s="38"/>
      <c r="N29" s="38"/>
    </row>
    <row r="30" spans="1:18" customFormat="1">
      <c r="A30" s="38"/>
      <c r="B30" s="38"/>
      <c r="C30" s="109" t="s">
        <v>14</v>
      </c>
      <c r="D30" s="38"/>
      <c r="E30" s="38"/>
      <c r="F30" s="109"/>
      <c r="G30" s="529"/>
      <c r="H30" s="529"/>
      <c r="I30" s="171"/>
      <c r="J30" s="124"/>
      <c r="K30" s="124"/>
      <c r="L30" s="124"/>
      <c r="M30" s="124"/>
      <c r="N30" s="124"/>
    </row>
    <row r="31" spans="1:18" customFormat="1" ht="13.5" customHeight="1">
      <c r="A31" s="38"/>
      <c r="B31" s="38"/>
      <c r="C31" s="38"/>
      <c r="D31" s="38"/>
      <c r="E31" s="38"/>
      <c r="F31" s="74"/>
      <c r="G31" s="38"/>
      <c r="H31" s="38"/>
      <c r="I31" s="38"/>
      <c r="J31" s="124"/>
      <c r="K31" s="124"/>
      <c r="L31" s="124"/>
      <c r="M31" s="124"/>
      <c r="N31" s="124"/>
    </row>
    <row r="32" spans="1:18" customFormat="1" ht="13.5" customHeight="1">
      <c r="A32" s="38"/>
      <c r="B32" s="38"/>
      <c r="C32" s="38"/>
      <c r="D32" s="38"/>
      <c r="E32" s="38"/>
      <c r="F32" s="38"/>
      <c r="G32" s="38"/>
      <c r="H32" s="38"/>
      <c r="I32" s="38"/>
      <c r="J32" s="124"/>
      <c r="K32" s="124"/>
      <c r="L32" s="124"/>
      <c r="M32" s="124"/>
      <c r="N32" s="124"/>
    </row>
    <row r="33" spans="1:14" customFormat="1" ht="13.5" customHeight="1">
      <c r="A33" s="38"/>
      <c r="C33" s="77" t="s">
        <v>15</v>
      </c>
      <c r="D33" s="120"/>
      <c r="E33" s="38"/>
      <c r="F33" s="38"/>
      <c r="G33" s="38"/>
      <c r="H33" s="109" t="s">
        <v>16</v>
      </c>
      <c r="I33" s="147"/>
      <c r="J33" s="124"/>
      <c r="K33" s="124"/>
      <c r="L33" s="124"/>
      <c r="M33" s="124"/>
      <c r="N33" s="124"/>
    </row>
    <row r="34" spans="1:14" customFormat="1" ht="13.5" customHeight="1">
      <c r="A34" s="38"/>
      <c r="B34" s="38"/>
      <c r="C34" s="38"/>
      <c r="D34" s="38"/>
      <c r="E34" s="38"/>
      <c r="F34" s="38"/>
      <c r="G34" s="38"/>
      <c r="H34" s="38"/>
      <c r="I34" s="38"/>
      <c r="J34" s="124"/>
      <c r="K34" s="124"/>
      <c r="L34" s="124"/>
      <c r="M34" s="124"/>
      <c r="N34" s="124"/>
    </row>
    <row r="35" spans="1:14" customFormat="1" ht="35.25" customHeight="1">
      <c r="A35" s="75"/>
      <c r="C35" s="38"/>
      <c r="D35" s="38"/>
      <c r="E35" s="38"/>
      <c r="F35" s="38"/>
      <c r="G35" s="38"/>
      <c r="H35" s="38"/>
      <c r="I35" s="38"/>
      <c r="J35" s="38"/>
      <c r="K35" s="38"/>
      <c r="L35" s="38"/>
      <c r="M35" s="38"/>
      <c r="N35" s="38"/>
    </row>
    <row r="36" spans="1:14" customFormat="1" ht="29.25" customHeight="1" thickBot="1">
      <c r="A36" s="75" t="s">
        <v>17</v>
      </c>
      <c r="B36" s="38"/>
      <c r="C36" s="38"/>
      <c r="D36" s="38"/>
      <c r="E36" s="38"/>
      <c r="F36" s="38"/>
      <c r="G36" s="38"/>
      <c r="H36" s="38"/>
      <c r="I36" s="38"/>
      <c r="J36" s="38"/>
      <c r="K36" s="70"/>
      <c r="L36" s="70"/>
      <c r="M36" s="70"/>
      <c r="N36" s="38"/>
    </row>
    <row r="37" spans="1:14" ht="94.5" customHeight="1" thickBot="1">
      <c r="B37" s="100" t="s">
        <v>18</v>
      </c>
      <c r="C37" s="76" t="s">
        <v>19</v>
      </c>
      <c r="D37" s="98" t="s">
        <v>20</v>
      </c>
      <c r="E37" s="99" t="s">
        <v>21</v>
      </c>
      <c r="F37" s="99" t="s">
        <v>22</v>
      </c>
      <c r="G37" s="161" t="s">
        <v>23</v>
      </c>
      <c r="H37" s="162" t="s">
        <v>24</v>
      </c>
      <c r="I37" s="312" t="s">
        <v>527</v>
      </c>
      <c r="K37" s="552" t="s">
        <v>844</v>
      </c>
      <c r="L37" s="552"/>
      <c r="M37" s="552"/>
      <c r="N37" s="552"/>
    </row>
    <row r="38" spans="1:14" s="549" customFormat="1" ht="27" customHeight="1">
      <c r="A38" s="286"/>
      <c r="B38" s="289" t="s">
        <v>25</v>
      </c>
      <c r="C38" s="455" t="s">
        <v>918</v>
      </c>
      <c r="D38" s="448" t="s">
        <v>26</v>
      </c>
      <c r="E38" s="449" t="s">
        <v>27</v>
      </c>
      <c r="F38" s="449" t="s">
        <v>28</v>
      </c>
      <c r="G38" s="450" t="s">
        <v>29</v>
      </c>
      <c r="H38" s="311" t="s">
        <v>26</v>
      </c>
      <c r="I38" s="451">
        <v>40179</v>
      </c>
      <c r="J38" s="38"/>
      <c r="K38" s="108"/>
      <c r="L38" s="108"/>
    </row>
    <row r="39" spans="1:14" ht="27" customHeight="1">
      <c r="A39" s="286"/>
      <c r="B39" s="122" t="s">
        <v>30</v>
      </c>
      <c r="C39" s="456" t="s">
        <v>919</v>
      </c>
      <c r="D39" s="420" t="s">
        <v>26</v>
      </c>
      <c r="E39" s="421" t="s">
        <v>31</v>
      </c>
      <c r="F39" s="421" t="s">
        <v>184</v>
      </c>
      <c r="G39" s="230" t="s">
        <v>185</v>
      </c>
      <c r="H39" s="230" t="s">
        <v>26</v>
      </c>
      <c r="I39" s="453">
        <v>40179</v>
      </c>
      <c r="K39" s="108"/>
      <c r="L39" s="108"/>
      <c r="M39" s="108"/>
      <c r="N39" s="108"/>
    </row>
    <row r="40" spans="1:14" ht="27" customHeight="1">
      <c r="A40" s="286"/>
      <c r="B40" s="122" t="s">
        <v>34</v>
      </c>
      <c r="C40" s="456" t="s">
        <v>920</v>
      </c>
      <c r="D40" s="420" t="s">
        <v>26</v>
      </c>
      <c r="E40" s="421" t="s">
        <v>35</v>
      </c>
      <c r="F40" s="421" t="s">
        <v>36</v>
      </c>
      <c r="G40" s="230" t="s">
        <v>37</v>
      </c>
      <c r="H40" s="230" t="s">
        <v>26</v>
      </c>
      <c r="I40" s="453">
        <v>42736</v>
      </c>
      <c r="K40" s="108"/>
      <c r="L40" s="108"/>
      <c r="M40" s="108"/>
      <c r="N40" s="108"/>
    </row>
    <row r="41" spans="1:14" ht="27" customHeight="1">
      <c r="A41" s="286"/>
      <c r="B41" s="122" t="s">
        <v>38</v>
      </c>
      <c r="C41" s="456"/>
      <c r="D41" s="420"/>
      <c r="E41" s="421"/>
      <c r="F41" s="421"/>
      <c r="G41" s="230"/>
      <c r="H41" s="230"/>
      <c r="I41" s="453"/>
      <c r="K41" s="108"/>
      <c r="L41" s="108"/>
      <c r="M41" s="108"/>
      <c r="N41" s="108"/>
    </row>
    <row r="42" spans="1:14" ht="27" customHeight="1">
      <c r="B42" s="122" t="s">
        <v>39</v>
      </c>
      <c r="C42" s="452"/>
      <c r="D42" s="420"/>
      <c r="E42" s="421"/>
      <c r="F42" s="421"/>
      <c r="G42" s="230"/>
      <c r="H42" s="230"/>
      <c r="I42" s="453"/>
      <c r="K42" s="108"/>
      <c r="L42" s="108"/>
      <c r="M42" s="549"/>
      <c r="N42" s="549"/>
    </row>
    <row r="43" spans="1:14" ht="27" customHeight="1">
      <c r="B43" s="122" t="s">
        <v>40</v>
      </c>
      <c r="C43" s="452"/>
      <c r="D43" s="420"/>
      <c r="E43" s="421"/>
      <c r="F43" s="421"/>
      <c r="G43" s="230"/>
      <c r="H43" s="230"/>
      <c r="I43" s="453"/>
      <c r="K43" s="108"/>
      <c r="L43" s="108"/>
      <c r="M43" s="108"/>
      <c r="N43" s="108"/>
    </row>
    <row r="44" spans="1:14" ht="27" customHeight="1">
      <c r="B44" s="122" t="s">
        <v>41</v>
      </c>
      <c r="C44" s="452"/>
      <c r="D44" s="420"/>
      <c r="E44" s="421"/>
      <c r="F44" s="421"/>
      <c r="G44" s="230"/>
      <c r="H44" s="230"/>
      <c r="I44" s="453"/>
      <c r="K44" s="108"/>
      <c r="L44" s="108"/>
      <c r="M44" s="108"/>
      <c r="N44" s="108"/>
    </row>
    <row r="45" spans="1:14" ht="27" customHeight="1" thickBot="1">
      <c r="B45" s="123" t="s">
        <v>42</v>
      </c>
      <c r="C45" s="454"/>
      <c r="D45" s="422"/>
      <c r="E45" s="423"/>
      <c r="F45" s="423"/>
      <c r="G45" s="313"/>
      <c r="H45" s="313"/>
      <c r="I45" s="453"/>
      <c r="K45" s="108"/>
      <c r="L45" s="108"/>
      <c r="M45" s="108"/>
      <c r="N45" s="108"/>
    </row>
    <row r="46" spans="1:14">
      <c r="K46" s="108"/>
      <c r="L46" s="108"/>
      <c r="M46" s="108"/>
      <c r="N46" s="108"/>
    </row>
    <row r="47" spans="1:14" ht="18.5">
      <c r="A47" s="75" t="s">
        <v>43</v>
      </c>
      <c r="C47" s="109"/>
      <c r="E47"/>
    </row>
    <row r="48" spans="1:14">
      <c r="B48"/>
    </row>
    <row r="49" spans="1:14" customFormat="1">
      <c r="A49" s="38"/>
      <c r="B49" s="54" t="s">
        <v>44</v>
      </c>
      <c r="C49" s="38"/>
      <c r="D49" s="38"/>
      <c r="E49" s="38"/>
      <c r="F49" s="38"/>
      <c r="G49" s="38"/>
      <c r="H49" s="38"/>
      <c r="I49" s="38"/>
      <c r="J49" s="108"/>
      <c r="K49" s="108"/>
      <c r="L49" s="108"/>
      <c r="M49" s="108"/>
      <c r="N49" s="108"/>
    </row>
    <row r="50" spans="1:14" customFormat="1">
      <c r="A50" s="38"/>
      <c r="B50" s="38"/>
      <c r="C50" s="38"/>
      <c r="D50" s="38"/>
      <c r="E50" s="38"/>
      <c r="F50" s="38"/>
      <c r="G50" s="38"/>
      <c r="H50" s="38"/>
      <c r="I50" s="38"/>
      <c r="J50" s="108"/>
      <c r="K50" s="108"/>
      <c r="L50" s="108"/>
      <c r="M50" s="108"/>
      <c r="N50" s="108"/>
    </row>
    <row r="51" spans="1:14" customFormat="1">
      <c r="A51" s="38"/>
      <c r="B51" s="54" t="s">
        <v>529</v>
      </c>
      <c r="C51" s="411" t="str">
        <f>Liste_CABS!F30</f>
        <v>H2b</v>
      </c>
      <c r="D51" s="38"/>
      <c r="E51" s="38"/>
      <c r="F51" s="38"/>
      <c r="G51" s="38"/>
      <c r="H51" s="38"/>
      <c r="I51" s="38"/>
      <c r="J51" s="108"/>
      <c r="K51" s="108"/>
      <c r="L51" s="108"/>
      <c r="M51" s="108"/>
      <c r="N51" s="108"/>
    </row>
    <row r="52" spans="1:14" customFormat="1">
      <c r="A52" s="38"/>
      <c r="B52" s="38"/>
      <c r="C52" s="292"/>
      <c r="D52" s="38"/>
      <c r="E52" s="38"/>
      <c r="F52" s="38"/>
      <c r="G52" s="38"/>
      <c r="H52" s="38"/>
      <c r="I52" s="38"/>
      <c r="J52" s="108"/>
      <c r="K52" s="108"/>
      <c r="L52" s="108"/>
      <c r="M52" s="108"/>
      <c r="N52" s="108"/>
    </row>
    <row r="53" spans="1:14" customFormat="1">
      <c r="A53" s="38"/>
      <c r="B53" s="38"/>
      <c r="C53" s="38"/>
      <c r="D53" s="38"/>
      <c r="E53" s="38"/>
      <c r="F53" s="38"/>
      <c r="G53" s="38"/>
      <c r="H53" s="38"/>
      <c r="I53" s="38"/>
      <c r="J53" s="108"/>
      <c r="K53" s="108"/>
      <c r="L53" s="108"/>
      <c r="M53" s="108"/>
      <c r="N53" s="108"/>
    </row>
    <row r="54" spans="1:14" customFormat="1">
      <c r="A54" s="38"/>
      <c r="B54" s="38"/>
      <c r="C54" s="38"/>
      <c r="D54" s="38"/>
      <c r="E54" s="38"/>
      <c r="F54" s="38"/>
      <c r="G54" s="38"/>
      <c r="H54" s="38"/>
      <c r="I54" s="38"/>
      <c r="J54" s="108"/>
      <c r="K54" s="108"/>
      <c r="L54" s="108"/>
      <c r="M54" s="108"/>
      <c r="N54" s="108"/>
    </row>
    <row r="55" spans="1:14" customFormat="1">
      <c r="A55" s="38"/>
      <c r="B55" s="38"/>
      <c r="C55" s="38"/>
      <c r="D55" s="38"/>
      <c r="E55" s="38"/>
      <c r="F55" s="38"/>
      <c r="G55" s="38"/>
      <c r="H55" s="38"/>
      <c r="I55" s="38"/>
      <c r="J55" s="108"/>
      <c r="K55" s="108"/>
      <c r="L55" s="108"/>
      <c r="M55" s="108"/>
      <c r="N55" s="108"/>
    </row>
    <row r="56" spans="1:14" customFormat="1">
      <c r="A56" s="38"/>
      <c r="B56" s="38"/>
      <c r="D56" s="38"/>
      <c r="E56" s="38"/>
      <c r="F56" s="38"/>
      <c r="G56" s="38"/>
      <c r="H56" s="38"/>
      <c r="I56" s="38"/>
      <c r="J56" s="70"/>
      <c r="K56" s="70"/>
      <c r="L56" s="70"/>
      <c r="M56" s="70"/>
      <c r="N56" s="70"/>
    </row>
    <row r="57" spans="1:14" customFormat="1">
      <c r="A57" s="38"/>
      <c r="B57" s="38"/>
      <c r="C57" s="54"/>
      <c r="D57" s="38"/>
      <c r="E57" s="38"/>
      <c r="F57" s="38"/>
      <c r="G57" s="38"/>
      <c r="H57" s="38"/>
      <c r="I57" s="38"/>
      <c r="J57" s="70"/>
      <c r="K57" s="70"/>
      <c r="L57" s="70"/>
      <c r="M57" s="70"/>
      <c r="N57" s="70"/>
    </row>
    <row r="58" spans="1:14" customFormat="1" ht="14.25" customHeight="1">
      <c r="A58" s="38"/>
      <c r="B58" s="38"/>
      <c r="C58" s="38"/>
      <c r="D58" s="38"/>
      <c r="E58" s="38"/>
      <c r="F58" s="38"/>
      <c r="G58" s="38"/>
      <c r="H58" s="38"/>
      <c r="I58" s="38"/>
      <c r="J58" s="70"/>
      <c r="K58" s="70"/>
      <c r="L58" s="70"/>
      <c r="M58" s="70"/>
      <c r="N58" s="70"/>
    </row>
    <row r="59" spans="1:14" customFormat="1" ht="18.5">
      <c r="A59" s="75" t="s">
        <v>45</v>
      </c>
      <c r="B59" s="38"/>
      <c r="C59" s="38"/>
      <c r="D59" s="38"/>
      <c r="E59" s="38"/>
      <c r="F59" s="75" t="s">
        <v>46</v>
      </c>
      <c r="G59" s="74"/>
      <c r="H59" s="38"/>
      <c r="I59" s="38"/>
      <c r="J59" s="38"/>
      <c r="K59" s="38"/>
      <c r="L59" s="38"/>
      <c r="M59" s="38"/>
      <c r="N59" s="38"/>
    </row>
    <row r="60" spans="1:14" customFormat="1">
      <c r="A60" s="38"/>
      <c r="B60" s="38"/>
      <c r="C60" s="38"/>
      <c r="D60" s="38"/>
      <c r="E60" s="38"/>
      <c r="F60" s="153" t="s">
        <v>47</v>
      </c>
      <c r="G60" s="38"/>
      <c r="H60" s="108"/>
      <c r="I60" s="108"/>
      <c r="J60" s="108"/>
      <c r="K60" s="38"/>
      <c r="L60" s="38"/>
      <c r="M60" s="38"/>
      <c r="N60" s="38"/>
    </row>
    <row r="61" spans="1:14" customFormat="1">
      <c r="A61" s="38"/>
      <c r="C61" s="54" t="s">
        <v>48</v>
      </c>
      <c r="D61" s="38"/>
      <c r="E61" s="38"/>
      <c r="F61" s="157" t="s">
        <v>924</v>
      </c>
      <c r="G61" s="152"/>
      <c r="H61" s="108"/>
      <c r="I61" s="108"/>
      <c r="J61" s="108"/>
      <c r="K61" s="38"/>
      <c r="L61" s="38"/>
      <c r="M61" s="38"/>
      <c r="N61" s="38"/>
    </row>
    <row r="62" spans="1:14" customFormat="1">
      <c r="A62" s="38"/>
      <c r="B62" s="38"/>
      <c r="C62" s="38"/>
      <c r="D62" s="38"/>
      <c r="E62" s="38"/>
      <c r="F62" s="392" t="s">
        <v>925</v>
      </c>
      <c r="G62" s="392"/>
      <c r="H62" s="392"/>
      <c r="I62" s="392"/>
      <c r="J62" s="392"/>
      <c r="K62" s="392"/>
      <c r="L62" s="38"/>
      <c r="M62" s="38"/>
      <c r="N62" s="38"/>
    </row>
    <row r="63" spans="1:14" customFormat="1">
      <c r="A63" s="38"/>
      <c r="B63" s="38"/>
      <c r="C63" s="54" t="s">
        <v>49</v>
      </c>
      <c r="D63" s="38"/>
      <c r="E63" s="38"/>
      <c r="F63" s="392"/>
      <c r="G63" s="392"/>
      <c r="H63" s="392"/>
      <c r="I63" s="392"/>
      <c r="J63" s="392"/>
      <c r="K63" s="392"/>
      <c r="L63" s="38"/>
      <c r="M63" s="38"/>
      <c r="N63" s="38"/>
    </row>
    <row r="64" spans="1:14" customFormat="1" ht="20.25" customHeight="1">
      <c r="A64" s="38"/>
      <c r="B64" s="38"/>
      <c r="D64" s="38"/>
      <c r="E64" s="38"/>
      <c r="F64" s="392"/>
      <c r="G64" s="392"/>
      <c r="H64" s="392"/>
      <c r="I64" s="392"/>
      <c r="J64" s="392"/>
      <c r="K64" s="392"/>
      <c r="L64" s="38"/>
      <c r="M64" s="38"/>
      <c r="N64" s="38"/>
    </row>
    <row r="65" spans="1:14" customFormat="1">
      <c r="A65" s="38"/>
      <c r="B65" s="38"/>
      <c r="C65" s="38"/>
      <c r="D65" s="38"/>
      <c r="E65" s="38"/>
      <c r="F65" s="392"/>
      <c r="G65" s="392"/>
      <c r="H65" s="392"/>
      <c r="I65" s="392"/>
      <c r="J65" s="392"/>
      <c r="K65" s="392"/>
      <c r="L65" s="38"/>
      <c r="M65" s="38"/>
      <c r="N65" s="38"/>
    </row>
    <row r="66" spans="1:14" s="495" customFormat="1" ht="20.5" customHeight="1">
      <c r="A66" s="38"/>
      <c r="B66" s="38"/>
      <c r="C66" s="38"/>
      <c r="D66" s="38"/>
      <c r="E66" s="38"/>
      <c r="F66" s="38"/>
      <c r="G66" s="38"/>
      <c r="H66" s="38"/>
      <c r="I66" s="38"/>
      <c r="J66" s="38"/>
      <c r="K66" s="392"/>
      <c r="L66" s="38"/>
      <c r="M66" s="38"/>
      <c r="N66" s="38"/>
    </row>
    <row r="67" spans="1:14" s="495" customFormat="1" ht="18.5">
      <c r="A67" s="75" t="s">
        <v>53</v>
      </c>
      <c r="B67" s="38"/>
      <c r="C67" s="38"/>
      <c r="D67" s="38"/>
      <c r="E67" s="38"/>
      <c r="F67" s="518" t="s">
        <v>926</v>
      </c>
      <c r="G67" s="517"/>
      <c r="H67" s="517"/>
      <c r="I67" s="517"/>
      <c r="J67" s="517"/>
      <c r="K67" s="392"/>
      <c r="L67" s="38"/>
      <c r="M67" s="38"/>
      <c r="N67" s="38"/>
    </row>
    <row r="68" spans="1:14" s="495" customFormat="1">
      <c r="A68" s="38"/>
      <c r="B68" s="38"/>
      <c r="C68" s="54" t="s">
        <v>54</v>
      </c>
      <c r="D68" s="38"/>
      <c r="E68" s="38"/>
      <c r="F68" s="516"/>
      <c r="G68" s="108"/>
      <c r="H68" s="108"/>
      <c r="I68" s="108"/>
      <c r="J68" s="108"/>
      <c r="K68" s="38"/>
      <c r="L68" s="38"/>
      <c r="M68" s="38"/>
      <c r="N68" s="38"/>
    </row>
    <row r="69" spans="1:14" s="495" customFormat="1" ht="14.65" customHeight="1">
      <c r="A69" s="38"/>
      <c r="B69" s="38"/>
      <c r="C69" s="38"/>
      <c r="D69" s="38"/>
      <c r="E69" s="38"/>
      <c r="F69" s="516" t="s">
        <v>50</v>
      </c>
      <c r="G69" s="108"/>
      <c r="H69" s="155">
        <v>70</v>
      </c>
      <c r="I69" s="156" t="s">
        <v>51</v>
      </c>
      <c r="K69" s="38"/>
      <c r="L69" s="38"/>
      <c r="M69" s="38"/>
      <c r="N69" s="38"/>
    </row>
    <row r="70" spans="1:14" s="495" customFormat="1" ht="27" customHeight="1">
      <c r="A70" s="38"/>
      <c r="B70" s="38"/>
      <c r="C70" s="38"/>
      <c r="D70" s="38"/>
      <c r="E70" s="38"/>
      <c r="F70" s="550" t="s">
        <v>52</v>
      </c>
      <c r="G70" s="551"/>
      <c r="H70" s="551"/>
      <c r="I70" s="108"/>
      <c r="J70" s="108"/>
      <c r="K70" s="38"/>
      <c r="L70" s="38"/>
      <c r="M70" s="38"/>
      <c r="N70" s="38"/>
    </row>
    <row r="71" spans="1:14" customFormat="1">
      <c r="A71" s="38"/>
      <c r="B71" s="38"/>
      <c r="C71" s="38"/>
      <c r="D71" s="38"/>
      <c r="E71" s="38"/>
      <c r="F71" s="38"/>
      <c r="G71" s="38"/>
      <c r="H71" s="38"/>
      <c r="I71" s="38"/>
      <c r="J71" s="38"/>
      <c r="K71" s="38"/>
      <c r="L71" s="38"/>
      <c r="M71" s="38"/>
      <c r="N71" s="38"/>
    </row>
    <row r="72" spans="1:14" customFormat="1" ht="31" customHeight="1">
      <c r="A72" s="38"/>
      <c r="B72" s="38"/>
      <c r="C72" s="38"/>
      <c r="D72" s="38"/>
      <c r="E72" s="38"/>
      <c r="F72" s="38"/>
      <c r="G72" s="38"/>
      <c r="H72" s="38"/>
      <c r="I72" s="38"/>
      <c r="J72" s="38"/>
      <c r="K72" s="38"/>
      <c r="L72" s="38"/>
      <c r="M72" s="38"/>
      <c r="N72" s="38"/>
    </row>
    <row r="73" spans="1:14">
      <c r="F73" s="516"/>
      <c r="G73" s="108"/>
      <c r="H73" s="108"/>
      <c r="I73" s="108"/>
      <c r="J73" s="108"/>
    </row>
    <row r="74" spans="1:14"/>
    <row r="75" spans="1:14">
      <c r="B75" s="528" t="s">
        <v>55</v>
      </c>
      <c r="C75" s="528"/>
      <c r="D75" s="528"/>
      <c r="E75" s="528"/>
      <c r="F75" s="528"/>
      <c r="G75" s="528"/>
      <c r="H75" s="528"/>
      <c r="I75" s="528"/>
      <c r="J75" s="528"/>
    </row>
    <row r="76" spans="1:14">
      <c r="B76" s="528"/>
      <c r="C76" s="528"/>
      <c r="D76" s="528"/>
      <c r="E76" s="528"/>
      <c r="F76" s="528"/>
      <c r="G76" s="528"/>
      <c r="H76" s="528"/>
      <c r="I76" s="528"/>
      <c r="J76" s="528"/>
    </row>
    <row r="77" spans="1:14"/>
    <row r="78" spans="1:14"/>
  </sheetData>
  <sheetProtection sheet="1" formatColumns="0" formatRows="0"/>
  <protectedRanges>
    <protectedRange sqref="K6:K7" name="Site"/>
    <protectedRange sqref="H69" name="Forçage chauffage"/>
    <protectedRange sqref="C8:H28" name="Batiment_Activités_1"/>
    <protectedRange sqref="C21:D28" name="Plage2_1"/>
    <protectedRange sqref="C9:D20" name="Plage2_1_2"/>
    <protectedRange sqref="F16:F20" name="Plage2_1_1"/>
    <protectedRange sqref="K8:K14" name="Site_1"/>
    <protectedRange sqref="I8:J14" name="Batiment_Activités_1_1"/>
    <protectedRange sqref="I8:I14" name="Plage2_5_1"/>
    <protectedRange sqref="I33" name="Places_Parking_1"/>
    <protectedRange sqref="K15:K28" name="Site_2"/>
    <protectedRange sqref="I15:J28" name="Batiment_Activités_2"/>
    <protectedRange sqref="I41:I44 C43:G45" name="Compteurs_2"/>
    <protectedRange sqref="I38:I40 I45" name="Plage3_1_2_1"/>
    <protectedRange sqref="C2:E2" name="Nom_etablissement_1"/>
  </protectedRanges>
  <mergeCells count="31">
    <mergeCell ref="I17:L17"/>
    <mergeCell ref="I18:L18"/>
    <mergeCell ref="I19:L19"/>
    <mergeCell ref="M38:XFD38"/>
    <mergeCell ref="F70:H70"/>
    <mergeCell ref="M42:N42"/>
    <mergeCell ref="I20:L20"/>
    <mergeCell ref="I21:L21"/>
    <mergeCell ref="I22:L22"/>
    <mergeCell ref="K37:N37"/>
    <mergeCell ref="I24:L24"/>
    <mergeCell ref="I25:L25"/>
    <mergeCell ref="I26:L26"/>
    <mergeCell ref="I27:L27"/>
    <mergeCell ref="I28:L28"/>
    <mergeCell ref="B75:J76"/>
    <mergeCell ref="G30:H30"/>
    <mergeCell ref="C2:E2"/>
    <mergeCell ref="C6:E6"/>
    <mergeCell ref="F6:G6"/>
    <mergeCell ref="I6:L7"/>
    <mergeCell ref="I8:L8"/>
    <mergeCell ref="I9:L9"/>
    <mergeCell ref="I10:L10"/>
    <mergeCell ref="I11:L11"/>
    <mergeCell ref="I23:L23"/>
    <mergeCell ref="I12:L12"/>
    <mergeCell ref="I13:L13"/>
    <mergeCell ref="I14:L14"/>
    <mergeCell ref="I15:L15"/>
    <mergeCell ref="I16:L16"/>
  </mergeCells>
  <phoneticPr fontId="42" type="noConversion"/>
  <conditionalFormatting sqref="C9:G23 C28:E28">
    <cfRule type="containsBlanks" dxfId="157" priority="157">
      <formula>LEN(TRIM(C9))=0</formula>
    </cfRule>
    <cfRule type="cellIs" dxfId="156" priority="158" operator="greaterThan">
      <formula>0</formula>
    </cfRule>
  </conditionalFormatting>
  <conditionalFormatting sqref="C8:H23 C28:E28">
    <cfRule type="containsBlanks" dxfId="155" priority="107">
      <formula>LEN(TRIM(C8))=0</formula>
    </cfRule>
    <cfRule type="cellIs" dxfId="154" priority="108" operator="greaterThan">
      <formula>0</formula>
    </cfRule>
  </conditionalFormatting>
  <conditionalFormatting sqref="E9:E23 E28">
    <cfRule type="containsBlanks" dxfId="153" priority="103">
      <formula>LEN(TRIM(E9))=0</formula>
    </cfRule>
    <cfRule type="cellIs" dxfId="152" priority="104" operator="greaterThan">
      <formula>0</formula>
    </cfRule>
  </conditionalFormatting>
  <conditionalFormatting sqref="I8:I28">
    <cfRule type="containsBlanks" dxfId="151" priority="49">
      <formula>LEN(TRIM(I8))=0</formula>
    </cfRule>
    <cfRule type="cellIs" dxfId="150" priority="50" operator="greaterThan">
      <formula>0</formula>
    </cfRule>
  </conditionalFormatting>
  <conditionalFormatting sqref="E8">
    <cfRule type="containsBlanks" dxfId="149" priority="41">
      <formula>LEN(TRIM(E8))=0</formula>
    </cfRule>
    <cfRule type="cellIs" dxfId="148" priority="42" operator="greaterThan">
      <formula>0</formula>
    </cfRule>
  </conditionalFormatting>
  <conditionalFormatting sqref="E8">
    <cfRule type="containsBlanks" dxfId="147" priority="39">
      <formula>LEN(TRIM(E8))=0</formula>
    </cfRule>
    <cfRule type="cellIs" dxfId="146" priority="40" operator="greaterThan">
      <formula>0</formula>
    </cfRule>
  </conditionalFormatting>
  <conditionalFormatting sqref="G8">
    <cfRule type="containsBlanks" dxfId="145" priority="37">
      <formula>LEN(TRIM(G8))=0</formula>
    </cfRule>
    <cfRule type="cellIs" dxfId="144" priority="38" operator="greaterThan">
      <formula>0</formula>
    </cfRule>
  </conditionalFormatting>
  <conditionalFormatting sqref="C39:C45">
    <cfRule type="notContainsBlanks" dxfId="143" priority="19">
      <formula>LEN(TRIM(C39))&gt;0</formula>
    </cfRule>
  </conditionalFormatting>
  <conditionalFormatting sqref="C38:G45">
    <cfRule type="containsBlanks" dxfId="142" priority="20">
      <formula>LEN(TRIM(C38))=0</formula>
    </cfRule>
    <cfRule type="cellIs" dxfId="141" priority="21" operator="greaterThan">
      <formula>0</formula>
    </cfRule>
  </conditionalFormatting>
  <conditionalFormatting sqref="I38 H39:I45">
    <cfRule type="containsBlanks" dxfId="140" priority="17">
      <formula>LEN(TRIM(H38))=0</formula>
    </cfRule>
    <cfRule type="cellIs" dxfId="139" priority="18" operator="greaterThan">
      <formula>0</formula>
    </cfRule>
  </conditionalFormatting>
  <conditionalFormatting sqref="H38">
    <cfRule type="containsBlanks" dxfId="138" priority="15">
      <formula>LEN(TRIM(H38))=0</formula>
    </cfRule>
    <cfRule type="cellIs" dxfId="137" priority="16" operator="greaterThan">
      <formula>0</formula>
    </cfRule>
  </conditionalFormatting>
  <conditionalFormatting sqref="F28:G28">
    <cfRule type="containsBlanks" dxfId="136" priority="13">
      <formula>LEN(TRIM(F28))=0</formula>
    </cfRule>
    <cfRule type="cellIs" dxfId="135" priority="14" operator="greaterThan">
      <formula>0</formula>
    </cfRule>
  </conditionalFormatting>
  <conditionalFormatting sqref="F28:H28">
    <cfRule type="containsBlanks" dxfId="134" priority="11">
      <formula>LEN(TRIM(F28))=0</formula>
    </cfRule>
    <cfRule type="cellIs" dxfId="133" priority="12" operator="greaterThan">
      <formula>0</formula>
    </cfRule>
  </conditionalFormatting>
  <conditionalFormatting sqref="C24:G27">
    <cfRule type="containsBlanks" dxfId="132" priority="5">
      <formula>LEN(TRIM(C24))=0</formula>
    </cfRule>
    <cfRule type="cellIs" dxfId="131" priority="6" operator="greaterThan">
      <formula>0</formula>
    </cfRule>
  </conditionalFormatting>
  <conditionalFormatting sqref="C24:H27">
    <cfRule type="containsBlanks" dxfId="130" priority="3">
      <formula>LEN(TRIM(C24))=0</formula>
    </cfRule>
    <cfRule type="cellIs" dxfId="129" priority="4" operator="greaterThan">
      <formula>0</formula>
    </cfRule>
  </conditionalFormatting>
  <conditionalFormatting sqref="E24:E27">
    <cfRule type="containsBlanks" dxfId="128" priority="1">
      <formula>LEN(TRIM(E24))=0</formula>
    </cfRule>
    <cfRule type="cellIs" dxfId="127" priority="2" operator="greaterThan">
      <formula>0</formula>
    </cfRule>
  </conditionalFormatting>
  <dataValidations count="4">
    <dataValidation type="list" allowBlank="1" showInputMessage="1" showErrorMessage="1" sqref="G38:G45" xr:uid="{00000000-0002-0000-0300-000000000000}">
      <formula1>Combustibles</formula1>
    </dataValidation>
    <dataValidation type="list" allowBlank="1" showInputMessage="1" showErrorMessage="1" sqref="D38:D45" xr:uid="{00000000-0002-0000-0300-000001000000}">
      <formula1>Liste_Type_compteur</formula1>
    </dataValidation>
    <dataValidation type="list" allowBlank="1" showInputMessage="1" showErrorMessage="1" sqref="E38:F45" xr:uid="{00000000-0002-0000-0300-000002000000}">
      <formula1>INDIRECT(D38)</formula1>
    </dataValidation>
    <dataValidation type="date" allowBlank="1" showInputMessage="1" showErrorMessage="1" sqref="I38:I45" xr:uid="{00000000-0002-0000-0300-000003000000}">
      <formula1>40179</formula1>
      <formula2>47848</formula2>
    </dataValidation>
  </dataValidation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3" r:id="rId4" name="Drop Down 7">
              <controlPr defaultSize="0" autoLine="0" autoPict="0">
                <anchor moveWithCells="1">
                  <from>
                    <xdr:col>3</xdr:col>
                    <xdr:colOff>285750</xdr:colOff>
                    <xdr:row>60</xdr:row>
                    <xdr:rowOff>19050</xdr:rowOff>
                  </from>
                  <to>
                    <xdr:col>4</xdr:col>
                    <xdr:colOff>76200</xdr:colOff>
                    <xdr:row>61</xdr:row>
                    <xdr:rowOff>76200</xdr:rowOff>
                  </to>
                </anchor>
              </controlPr>
            </control>
          </mc:Choice>
        </mc:AlternateContent>
        <mc:AlternateContent xmlns:mc="http://schemas.openxmlformats.org/markup-compatibility/2006">
          <mc:Choice Requires="x14">
            <control shapeId="9226" r:id="rId5" name="Drop Down 10">
              <controlPr defaultSize="0" autoLine="0" autoPict="0">
                <anchor moveWithCells="1">
                  <from>
                    <xdr:col>3</xdr:col>
                    <xdr:colOff>76200</xdr:colOff>
                    <xdr:row>28</xdr:row>
                    <xdr:rowOff>171450</xdr:rowOff>
                  </from>
                  <to>
                    <xdr:col>4</xdr:col>
                    <xdr:colOff>361950</xdr:colOff>
                    <xdr:row>30</xdr:row>
                    <xdr:rowOff>76200</xdr:rowOff>
                  </to>
                </anchor>
              </controlPr>
            </control>
          </mc:Choice>
        </mc:AlternateContent>
        <mc:AlternateContent xmlns:mc="http://schemas.openxmlformats.org/markup-compatibility/2006">
          <mc:Choice Requires="x14">
            <control shapeId="9227" r:id="rId6" name="Drop Down 11">
              <controlPr defaultSize="0" autoLine="0" autoPict="0">
                <anchor moveWithCells="1">
                  <from>
                    <xdr:col>3</xdr:col>
                    <xdr:colOff>285750</xdr:colOff>
                    <xdr:row>62</xdr:row>
                    <xdr:rowOff>19050</xdr:rowOff>
                  </from>
                  <to>
                    <xdr:col>4</xdr:col>
                    <xdr:colOff>57150</xdr:colOff>
                    <xdr:row>63</xdr:row>
                    <xdr:rowOff>76200</xdr:rowOff>
                  </to>
                </anchor>
              </controlPr>
            </control>
          </mc:Choice>
        </mc:AlternateContent>
        <mc:AlternateContent xmlns:mc="http://schemas.openxmlformats.org/markup-compatibility/2006">
          <mc:Choice Requires="x14">
            <control shapeId="9230" r:id="rId7" name="Drop Down 14">
              <controlPr defaultSize="0" autoLine="0" autoPict="0">
                <anchor moveWithCells="1">
                  <from>
                    <xdr:col>3</xdr:col>
                    <xdr:colOff>196850</xdr:colOff>
                    <xdr:row>66</xdr:row>
                    <xdr:rowOff>190500</xdr:rowOff>
                  </from>
                  <to>
                    <xdr:col>4</xdr:col>
                    <xdr:colOff>44450</xdr:colOff>
                    <xdr:row>68</xdr:row>
                    <xdr:rowOff>0</xdr:rowOff>
                  </to>
                </anchor>
              </controlPr>
            </control>
          </mc:Choice>
        </mc:AlternateContent>
        <mc:AlternateContent xmlns:mc="http://schemas.openxmlformats.org/markup-compatibility/2006">
          <mc:Choice Requires="x14">
            <control shapeId="9248" r:id="rId8" name="Drop Down 32">
              <controlPr defaultSize="0" autoLine="0" autoPict="0">
                <anchor moveWithCells="1">
                  <from>
                    <xdr:col>3</xdr:col>
                    <xdr:colOff>76200</xdr:colOff>
                    <xdr:row>31</xdr:row>
                    <xdr:rowOff>133350</xdr:rowOff>
                  </from>
                  <to>
                    <xdr:col>5</xdr:col>
                    <xdr:colOff>590550</xdr:colOff>
                    <xdr:row>33</xdr:row>
                    <xdr:rowOff>76200</xdr:rowOff>
                  </to>
                </anchor>
              </controlPr>
            </control>
          </mc:Choice>
        </mc:AlternateContent>
        <mc:AlternateContent xmlns:mc="http://schemas.openxmlformats.org/markup-compatibility/2006">
          <mc:Choice Requires="x14">
            <control shapeId="9249" r:id="rId9" name="Drop Down 33">
              <controlPr defaultSize="0" autoLine="0" autoPict="0">
                <anchor moveWithCells="1">
                  <from>
                    <xdr:col>7</xdr:col>
                    <xdr:colOff>247650</xdr:colOff>
                    <xdr:row>58</xdr:row>
                    <xdr:rowOff>209550</xdr:rowOff>
                  </from>
                  <to>
                    <xdr:col>8</xdr:col>
                    <xdr:colOff>457200</xdr:colOff>
                    <xdr:row>60</xdr:row>
                    <xdr:rowOff>38100</xdr:rowOff>
                  </to>
                </anchor>
              </controlPr>
            </control>
          </mc:Choice>
        </mc:AlternateContent>
        <mc:AlternateContent xmlns:mc="http://schemas.openxmlformats.org/markup-compatibility/2006">
          <mc:Choice Requires="x14">
            <control shapeId="9250" r:id="rId10" name="Drop Down 34">
              <controlPr defaultSize="0" autoLine="0" autoPict="0">
                <anchor moveWithCells="1">
                  <from>
                    <xdr:col>6</xdr:col>
                    <xdr:colOff>1054100</xdr:colOff>
                    <xdr:row>66</xdr:row>
                    <xdr:rowOff>19050</xdr:rowOff>
                  </from>
                  <to>
                    <xdr:col>8</xdr:col>
                    <xdr:colOff>107950</xdr:colOff>
                    <xdr:row>67</xdr:row>
                    <xdr:rowOff>44450</xdr:rowOff>
                  </to>
                </anchor>
              </controlPr>
            </control>
          </mc:Choice>
        </mc:AlternateContent>
        <mc:AlternateContent xmlns:mc="http://schemas.openxmlformats.org/markup-compatibility/2006">
          <mc:Choice Requires="x14">
            <control shapeId="9256" r:id="rId11" name="Drop Down 40">
              <controlPr defaultSize="0" autoLine="0" autoPict="0">
                <anchor moveWithCells="1">
                  <from>
                    <xdr:col>2</xdr:col>
                    <xdr:colOff>57150</xdr:colOff>
                    <xdr:row>47</xdr:row>
                    <xdr:rowOff>152400</xdr:rowOff>
                  </from>
                  <to>
                    <xdr:col>3</xdr:col>
                    <xdr:colOff>323850</xdr:colOff>
                    <xdr:row>49</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Liste!$T$16:$T$17</xm:f>
          </x14:formula1>
          <xm:sqref>H38:H45</xm:sqref>
        </x14:dataValidation>
      </x14:dataValidations>
    </ext>
    <ext xmlns:x14="http://schemas.microsoft.com/office/spreadsheetml/2009/9/main" uri="{A8765BA9-456A-4dab-B4F3-ACF838C121DE}">
      <x14:slicerList>
        <x14:slicer r:id="rId1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
    <tabColor theme="4"/>
  </sheetPr>
  <dimension ref="A1:K33"/>
  <sheetViews>
    <sheetView zoomScaleNormal="100" workbookViewId="0">
      <selection activeCell="G30" sqref="G30"/>
    </sheetView>
  </sheetViews>
  <sheetFormatPr baseColWidth="10" defaultColWidth="0" defaultRowHeight="14.5" zeroHeight="1"/>
  <cols>
    <col min="1" max="9" width="11.453125" customWidth="1"/>
    <col min="10" max="10" width="12.81640625" customWidth="1"/>
    <col min="11" max="11" width="14.26953125" customWidth="1"/>
    <col min="12" max="16384" width="18.453125" hidden="1"/>
  </cols>
  <sheetData>
    <row r="1" spans="1:11">
      <c r="A1" s="38"/>
      <c r="B1" s="105" t="s">
        <v>0</v>
      </c>
      <c r="C1" s="553">
        <f>Site!C2</f>
        <v>0</v>
      </c>
      <c r="D1" s="553"/>
      <c r="E1" s="553"/>
      <c r="F1" s="38"/>
      <c r="G1" s="38"/>
      <c r="H1" s="38"/>
      <c r="I1" s="38"/>
      <c r="J1" s="38"/>
      <c r="K1" s="38"/>
    </row>
    <row r="2" spans="1:11">
      <c r="A2" s="38"/>
      <c r="C2" s="38"/>
      <c r="D2" s="38"/>
      <c r="E2" s="38"/>
      <c r="F2" s="38"/>
      <c r="G2" s="38"/>
      <c r="H2" s="38"/>
      <c r="I2" s="38"/>
      <c r="J2" s="38"/>
      <c r="K2" s="38"/>
    </row>
    <row r="3" spans="1:11">
      <c r="A3" s="110"/>
      <c r="B3" s="38"/>
      <c r="C3" s="38"/>
      <c r="D3" s="38"/>
      <c r="E3" s="38"/>
      <c r="F3" s="38"/>
      <c r="G3" s="38"/>
      <c r="H3" s="38"/>
      <c r="I3" s="38"/>
      <c r="J3" s="38"/>
    </row>
    <row r="4" spans="1:11">
      <c r="B4" s="38"/>
      <c r="C4" s="38"/>
      <c r="D4" s="38"/>
      <c r="E4" s="38"/>
      <c r="F4" s="38"/>
      <c r="G4" s="38"/>
      <c r="H4" s="38"/>
      <c r="I4" s="38"/>
      <c r="J4" s="38"/>
      <c r="K4" s="38"/>
    </row>
    <row r="5" spans="1:11">
      <c r="A5" s="38"/>
      <c r="B5" s="38"/>
      <c r="C5" s="38"/>
      <c r="D5" s="38"/>
      <c r="E5" s="38"/>
      <c r="F5" s="38"/>
      <c r="G5" s="38"/>
      <c r="H5" s="38"/>
      <c r="I5" s="110"/>
      <c r="J5" s="38"/>
      <c r="K5" s="38"/>
    </row>
    <row r="6" spans="1:11">
      <c r="A6" s="38"/>
      <c r="B6" s="38"/>
      <c r="C6" s="478" t="s">
        <v>901</v>
      </c>
      <c r="D6" s="38"/>
      <c r="E6" s="38"/>
      <c r="F6" s="38"/>
      <c r="G6" s="38"/>
      <c r="H6" s="38"/>
      <c r="J6" s="38"/>
      <c r="K6" s="54"/>
    </row>
    <row r="7" spans="1:11">
      <c r="A7" s="38"/>
      <c r="B7" s="38"/>
      <c r="C7" s="38"/>
      <c r="D7" s="38"/>
      <c r="E7" s="38"/>
      <c r="F7" s="38"/>
      <c r="G7" s="38"/>
      <c r="H7" s="38"/>
      <c r="I7" s="38"/>
      <c r="J7" s="38"/>
      <c r="K7" s="38"/>
    </row>
    <row r="8" spans="1:11">
      <c r="A8" s="38"/>
      <c r="B8" s="38"/>
      <c r="C8" s="38"/>
      <c r="D8" s="38"/>
      <c r="E8" s="38"/>
      <c r="F8" s="38"/>
      <c r="G8" s="38"/>
      <c r="H8" s="38"/>
      <c r="I8" s="38"/>
      <c r="J8" s="38"/>
      <c r="K8" s="38"/>
    </row>
    <row r="9" spans="1:11">
      <c r="A9" s="38"/>
      <c r="B9" s="38"/>
      <c r="C9" s="478" t="s">
        <v>902</v>
      </c>
      <c r="D9" s="38"/>
      <c r="E9" s="38"/>
      <c r="F9" s="38"/>
      <c r="G9" s="38"/>
      <c r="H9" s="38"/>
      <c r="I9" s="38"/>
      <c r="J9" s="38"/>
      <c r="K9" s="38"/>
    </row>
    <row r="10" spans="1:11">
      <c r="A10" s="38"/>
      <c r="B10" s="38"/>
      <c r="C10" s="38"/>
      <c r="D10" s="38"/>
      <c r="E10" s="38"/>
      <c r="F10" s="38"/>
      <c r="G10" s="38"/>
      <c r="H10" s="38"/>
      <c r="I10" s="38"/>
      <c r="J10" s="38"/>
      <c r="K10" s="38"/>
    </row>
    <row r="11" spans="1:11">
      <c r="A11" s="38"/>
      <c r="B11" s="38"/>
      <c r="C11" s="38"/>
      <c r="D11" s="38"/>
      <c r="E11" s="38"/>
      <c r="F11" s="38"/>
      <c r="G11" s="38"/>
      <c r="H11" s="38"/>
      <c r="I11" s="38"/>
      <c r="J11" s="38"/>
      <c r="K11" s="38"/>
    </row>
    <row r="12" spans="1:11">
      <c r="A12" s="38"/>
      <c r="B12" s="38"/>
      <c r="C12" s="38"/>
      <c r="D12" s="38"/>
      <c r="E12" s="38"/>
      <c r="F12" s="38"/>
      <c r="G12" s="38"/>
      <c r="H12" s="38"/>
      <c r="I12" s="38"/>
      <c r="J12" s="38"/>
      <c r="K12" s="38"/>
    </row>
    <row r="13" spans="1:11">
      <c r="A13" s="38"/>
      <c r="B13" s="38"/>
      <c r="C13" s="38"/>
      <c r="D13" s="38"/>
      <c r="E13" s="38"/>
      <c r="F13" s="38"/>
      <c r="G13" s="38"/>
      <c r="H13" s="38"/>
      <c r="I13" s="38"/>
      <c r="J13" s="38"/>
      <c r="K13" s="38"/>
    </row>
    <row r="14" spans="1:11">
      <c r="A14" s="38"/>
      <c r="B14" s="38"/>
      <c r="C14" s="38"/>
      <c r="D14" s="38"/>
      <c r="E14" s="38"/>
      <c r="F14" s="38"/>
      <c r="G14" s="38"/>
      <c r="H14" s="38"/>
      <c r="I14" s="38"/>
      <c r="J14" s="38"/>
      <c r="K14" s="38"/>
    </row>
    <row r="15" spans="1:11">
      <c r="A15" s="38"/>
      <c r="B15" s="38"/>
      <c r="C15" s="38"/>
      <c r="D15" s="38"/>
      <c r="E15" s="38"/>
      <c r="F15" s="38"/>
      <c r="G15" s="38"/>
      <c r="H15" s="38"/>
      <c r="I15" s="38"/>
      <c r="J15" s="38"/>
      <c r="K15" s="38"/>
    </row>
    <row r="16" spans="1:11">
      <c r="A16" s="38"/>
      <c r="B16" s="38"/>
      <c r="C16" s="38"/>
      <c r="D16" s="38"/>
      <c r="E16" s="38"/>
      <c r="F16" s="38"/>
      <c r="G16" s="38"/>
      <c r="H16" s="38"/>
      <c r="I16" s="38"/>
      <c r="J16" s="38"/>
      <c r="K16" s="38"/>
    </row>
    <row r="17" spans="1:11">
      <c r="A17" s="38"/>
      <c r="B17" s="38"/>
      <c r="C17" s="38"/>
      <c r="D17" s="38"/>
      <c r="E17" s="38"/>
      <c r="F17" s="38"/>
      <c r="G17" s="38"/>
      <c r="H17" s="38"/>
      <c r="I17" s="38"/>
      <c r="J17" s="38"/>
      <c r="K17" s="38"/>
    </row>
    <row r="18" spans="1:11">
      <c r="A18" s="38"/>
      <c r="B18" s="38"/>
      <c r="C18" s="38"/>
      <c r="D18" s="38"/>
      <c r="E18" s="38"/>
      <c r="F18" s="38"/>
      <c r="G18" s="38"/>
      <c r="H18" s="38"/>
      <c r="I18" s="38"/>
      <c r="J18" s="38"/>
      <c r="K18" s="38"/>
    </row>
    <row r="19" spans="1:11">
      <c r="A19" s="38"/>
      <c r="B19" s="38"/>
      <c r="C19" s="38"/>
      <c r="D19" s="38"/>
      <c r="E19" s="38"/>
      <c r="F19" s="38"/>
      <c r="H19" s="38"/>
      <c r="I19" s="38"/>
      <c r="J19" s="38"/>
      <c r="K19" s="38"/>
    </row>
    <row r="20" spans="1:11">
      <c r="A20" s="38"/>
      <c r="B20" s="38"/>
      <c r="C20" s="38"/>
      <c r="D20" s="38"/>
      <c r="E20" s="38"/>
      <c r="F20" s="38"/>
      <c r="G20" s="38"/>
      <c r="H20" s="38"/>
      <c r="I20" s="38"/>
      <c r="J20" s="38"/>
      <c r="K20" s="38"/>
    </row>
    <row r="21" spans="1:11">
      <c r="A21" s="38"/>
      <c r="B21" s="38"/>
      <c r="C21" s="38"/>
      <c r="D21" s="38"/>
      <c r="E21" s="38"/>
      <c r="F21" s="38"/>
      <c r="G21" s="38"/>
      <c r="H21" s="38"/>
      <c r="I21" s="38"/>
      <c r="J21" s="38"/>
      <c r="K21" s="38"/>
    </row>
    <row r="22" spans="1:11">
      <c r="A22" s="38"/>
      <c r="B22" s="38"/>
      <c r="C22" s="38"/>
      <c r="D22" s="38"/>
      <c r="E22" s="38"/>
      <c r="F22" s="38"/>
      <c r="G22" s="38"/>
      <c r="H22" s="38"/>
      <c r="I22" s="38"/>
      <c r="J22" s="38"/>
      <c r="K22" s="38"/>
    </row>
    <row r="23" spans="1:11">
      <c r="A23" s="38"/>
      <c r="B23" s="38"/>
      <c r="C23" s="38"/>
      <c r="D23" s="38"/>
      <c r="E23" s="38"/>
      <c r="F23" s="38"/>
      <c r="G23" s="38"/>
      <c r="H23" s="38"/>
      <c r="I23" s="38"/>
      <c r="J23" s="38"/>
      <c r="K23" s="38"/>
    </row>
    <row r="24" spans="1:11">
      <c r="A24" s="38"/>
      <c r="B24" s="38"/>
      <c r="C24" s="38"/>
      <c r="D24" s="38"/>
      <c r="E24" s="38"/>
      <c r="F24" s="38"/>
      <c r="G24" s="38"/>
      <c r="H24" s="38"/>
      <c r="I24" s="38"/>
      <c r="J24" s="38"/>
      <c r="K24" s="38"/>
    </row>
    <row r="25" spans="1:11">
      <c r="A25" s="38"/>
      <c r="B25" s="38"/>
      <c r="C25" s="38"/>
      <c r="D25" s="38"/>
      <c r="E25" s="38"/>
      <c r="F25" s="38"/>
      <c r="G25" s="38"/>
      <c r="H25" s="38"/>
      <c r="I25" s="38"/>
      <c r="J25" s="38"/>
      <c r="K25" s="38"/>
    </row>
    <row r="26" spans="1:11">
      <c r="A26" s="38"/>
      <c r="B26" s="38"/>
      <c r="C26" s="38"/>
      <c r="D26" s="38"/>
      <c r="E26" s="38"/>
      <c r="F26" s="38"/>
      <c r="G26" s="38"/>
      <c r="H26" s="38"/>
      <c r="I26" s="38"/>
      <c r="J26" s="38"/>
      <c r="K26" s="38"/>
    </row>
    <row r="27" spans="1:11">
      <c r="A27" s="38"/>
      <c r="B27" s="38"/>
      <c r="C27" s="38"/>
      <c r="D27" s="38"/>
      <c r="E27" s="38"/>
      <c r="F27" s="38"/>
      <c r="G27" s="38"/>
      <c r="H27" s="38"/>
      <c r="I27" s="38"/>
      <c r="J27" s="38"/>
      <c r="K27" s="38"/>
    </row>
    <row r="28" spans="1:11">
      <c r="A28" s="38"/>
      <c r="B28" s="38"/>
      <c r="C28" s="38"/>
      <c r="D28" s="38"/>
      <c r="E28" s="38"/>
      <c r="F28" s="38"/>
      <c r="G28" s="38"/>
      <c r="H28" s="38"/>
      <c r="I28" s="38"/>
      <c r="J28" s="38"/>
      <c r="K28" s="38"/>
    </row>
    <row r="29" spans="1:11">
      <c r="A29" s="38"/>
      <c r="B29" s="38"/>
      <c r="C29" s="38"/>
      <c r="D29" s="38"/>
      <c r="E29" s="38"/>
      <c r="F29" s="38"/>
      <c r="G29" s="38"/>
      <c r="H29" s="38"/>
      <c r="I29" s="38"/>
      <c r="J29" s="38"/>
      <c r="K29" s="38"/>
    </row>
    <row r="30" spans="1:11">
      <c r="A30" s="38"/>
      <c r="B30" s="38"/>
      <c r="C30" s="38"/>
      <c r="D30" s="38"/>
      <c r="E30" s="38"/>
      <c r="F30" s="38"/>
      <c r="G30" s="38"/>
      <c r="H30" s="38"/>
      <c r="I30" s="38"/>
      <c r="J30" s="38"/>
      <c r="K30" s="38"/>
    </row>
    <row r="31" spans="1:11">
      <c r="A31" s="38"/>
      <c r="B31" s="38"/>
      <c r="C31" s="38"/>
      <c r="D31" s="38"/>
      <c r="E31" s="38"/>
      <c r="F31" s="38"/>
      <c r="G31" s="38"/>
      <c r="H31" s="38"/>
      <c r="I31" s="38"/>
      <c r="J31" s="38"/>
      <c r="K31" s="38"/>
    </row>
    <row r="32" spans="1:11">
      <c r="A32" s="38"/>
      <c r="B32" s="38"/>
      <c r="C32" s="38"/>
      <c r="D32" s="38"/>
      <c r="E32" s="38"/>
      <c r="F32" s="38"/>
      <c r="G32" s="38"/>
      <c r="H32" s="38"/>
      <c r="I32" s="38"/>
      <c r="J32" s="38"/>
      <c r="K32" s="38"/>
    </row>
    <row r="33" spans="1:11" ht="20.25" customHeight="1">
      <c r="A33" s="38"/>
      <c r="B33" s="38"/>
      <c r="C33" s="38"/>
      <c r="D33" s="38"/>
      <c r="E33" s="38"/>
      <c r="F33" s="38"/>
      <c r="G33" s="38"/>
      <c r="H33" s="38"/>
      <c r="I33" s="38"/>
      <c r="J33" s="38"/>
      <c r="K33" s="38"/>
    </row>
  </sheetData>
  <sheetProtection sheet="1" autoFilter="0" pivotTables="0"/>
  <protectedRanges>
    <protectedRange sqref="C1:E1" name="Plage1"/>
  </protectedRanges>
  <mergeCells count="1">
    <mergeCell ref="C1:E1"/>
  </mergeCells>
  <hyperlinks>
    <hyperlink ref="C6" location="Synthèse!C6" tooltip="Talon = Consommation journalière du mois de juillet" display="Synthèse!C6" xr:uid="{CAA69EA1-6FDF-4F7C-AD75-211DEDBD8433}"/>
    <hyperlink ref="C9" location="Synthèse!C9:C10" tooltip="Talon = Puissance minimale nocturne (Voir OptiTURPE) " display="Synthèse!C9:C10" xr:uid="{31A99221-2013-40F9-965C-01D59FDB9A91}"/>
  </hyperlinks>
  <pageMargins left="0.7" right="0.7"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0"/>
  <dimension ref="A1:X50"/>
  <sheetViews>
    <sheetView topLeftCell="G1" zoomScale="70" zoomScaleNormal="70" workbookViewId="0">
      <selection activeCell="N36" sqref="N36"/>
    </sheetView>
  </sheetViews>
  <sheetFormatPr baseColWidth="10" defaultColWidth="11.453125" defaultRowHeight="14.5"/>
  <cols>
    <col min="1" max="1" width="23.1796875" bestFit="1" customWidth="1"/>
    <col min="2" max="2" width="21.7265625" bestFit="1" customWidth="1"/>
    <col min="3" max="3" width="26.1796875" bestFit="1" customWidth="1"/>
    <col min="4" max="4" width="33.6328125" bestFit="1" customWidth="1"/>
    <col min="5" max="5" width="11.7265625" bestFit="1" customWidth="1"/>
    <col min="6" max="6" width="23.1796875" customWidth="1"/>
    <col min="7" max="7" width="19" bestFit="1" customWidth="1"/>
    <col min="8" max="8" width="26.1796875" bestFit="1" customWidth="1"/>
    <col min="9" max="9" width="24.08984375" bestFit="1" customWidth="1"/>
    <col min="10" max="10" width="20.26953125" bestFit="1" customWidth="1"/>
    <col min="12" max="12" width="19.54296875" bestFit="1" customWidth="1"/>
    <col min="13" max="13" width="22" bestFit="1" customWidth="1"/>
    <col min="14" max="14" width="17.1796875" customWidth="1"/>
    <col min="15" max="15" width="18.6328125" bestFit="1" customWidth="1"/>
    <col min="16" max="16" width="21.453125" bestFit="1" customWidth="1"/>
    <col min="17" max="17" width="15.54296875" bestFit="1" customWidth="1"/>
    <col min="18" max="18" width="18.453125" bestFit="1" customWidth="1"/>
    <col min="19" max="19" width="25.453125" bestFit="1" customWidth="1"/>
    <col min="20" max="20" width="23" bestFit="1" customWidth="1"/>
    <col min="24" max="24" width="36.1796875" customWidth="1"/>
  </cols>
  <sheetData>
    <row r="1" spans="2:24">
      <c r="B1" t="s">
        <v>309</v>
      </c>
      <c r="C1" s="180" t="s">
        <v>868</v>
      </c>
      <c r="D1" s="503" t="s" vm="5">
        <v>852</v>
      </c>
      <c r="G1" t="s">
        <v>310</v>
      </c>
      <c r="H1" s="180" t="s">
        <v>868</v>
      </c>
      <c r="I1" s="503" t="s" vm="5">
        <v>852</v>
      </c>
    </row>
    <row r="2" spans="2:24">
      <c r="C2" s="180" t="s">
        <v>20</v>
      </c>
      <c r="D2" s="503" t="s" vm="1">
        <v>26</v>
      </c>
      <c r="H2" s="180" t="s">
        <v>20</v>
      </c>
      <c r="I2" s="503" t="s" vm="1">
        <v>26</v>
      </c>
      <c r="M2" t="s">
        <v>311</v>
      </c>
      <c r="N2">
        <f>VALUE(I1)</f>
        <v>2025</v>
      </c>
    </row>
    <row r="3" spans="2:24">
      <c r="C3" s="180" t="s">
        <v>21</v>
      </c>
      <c r="D3" s="503" t="s" vm="2">
        <v>891</v>
      </c>
      <c r="H3" s="180" t="s">
        <v>21</v>
      </c>
      <c r="I3" s="503" t="s" vm="2">
        <v>891</v>
      </c>
      <c r="L3">
        <v>2</v>
      </c>
      <c r="M3" t="s">
        <v>915</v>
      </c>
      <c r="N3" cm="1">
        <f t="array" ref="N3">INDEX(Site!$C$8:$H$24,MATCH($N$2,Site!$B$8:$B$24,0),ROW(M3)-2)</f>
        <v>0</v>
      </c>
    </row>
    <row r="4" spans="2:24">
      <c r="H4" s="461"/>
      <c r="I4" s="461"/>
      <c r="L4">
        <v>3</v>
      </c>
      <c r="M4" t="s">
        <v>313</v>
      </c>
      <c r="N4" s="461" cm="1">
        <f t="array" ref="N4">INDEX(Site!$C$8:$H$24,MATCH($N$2,Site!$B$8:$B$24,0),ROW(M4)-2)</f>
        <v>0</v>
      </c>
    </row>
    <row r="5" spans="2:24">
      <c r="C5" s="180" t="s">
        <v>64</v>
      </c>
      <c r="D5" t="s">
        <v>862</v>
      </c>
      <c r="H5" s="180" t="s">
        <v>64</v>
      </c>
      <c r="I5" t="s">
        <v>869</v>
      </c>
      <c r="L5">
        <v>4</v>
      </c>
      <c r="M5" t="s">
        <v>314</v>
      </c>
      <c r="N5" s="461" cm="1">
        <f t="array" ref="N5">INDEX(Site!$C$8:$H$24,MATCH($N$2,Site!$B$8:$B$24,0),ROW(M5)-2)</f>
        <v>0</v>
      </c>
    </row>
    <row r="6" spans="2:24">
      <c r="C6" s="89" t="s">
        <v>29</v>
      </c>
      <c r="D6" s="241">
        <v>127658.61290322595</v>
      </c>
      <c r="H6" s="89" t="s">
        <v>37</v>
      </c>
      <c r="I6" s="241">
        <v>0</v>
      </c>
      <c r="L6">
        <v>5</v>
      </c>
      <c r="M6" t="s">
        <v>11</v>
      </c>
      <c r="N6" s="461" cm="1">
        <f t="array" ref="N6">INDEX(Site!$C$8:$H$24,MATCH($N$2,Site!$B$8:$B$24,0),ROW(M6)-2)</f>
        <v>0</v>
      </c>
    </row>
    <row r="7" spans="2:24">
      <c r="C7" s="89" t="s">
        <v>185</v>
      </c>
      <c r="D7" s="241">
        <v>264427.92792792839</v>
      </c>
      <c r="H7" s="89" t="s">
        <v>29</v>
      </c>
      <c r="I7" s="241">
        <v>23621.281290322582</v>
      </c>
      <c r="L7">
        <v>6</v>
      </c>
      <c r="M7" t="s">
        <v>315</v>
      </c>
      <c r="N7" s="461" cm="1">
        <f t="array" ref="N7">INDEX(Site!$C$8:$H$24,MATCH($N$2,Site!$B$8:$B$24,0),ROW(M7)-2)</f>
        <v>0</v>
      </c>
    </row>
    <row r="8" spans="2:24">
      <c r="C8" s="89" t="s">
        <v>89</v>
      </c>
      <c r="D8" s="241">
        <v>392086.54083115433</v>
      </c>
      <c r="H8" s="89" t="s">
        <v>185</v>
      </c>
      <c r="I8" s="241">
        <v>33198.830000000031</v>
      </c>
      <c r="M8" t="s">
        <v>316</v>
      </c>
      <c r="N8" s="177">
        <f>IFERROR(N3/(N6+N7),0)</f>
        <v>0</v>
      </c>
    </row>
    <row r="9" spans="2:24">
      <c r="H9" s="89" t="s">
        <v>89</v>
      </c>
      <c r="I9" s="241">
        <v>56820.111290322566</v>
      </c>
      <c r="L9" t="s">
        <v>317</v>
      </c>
    </row>
    <row r="10" spans="2:24">
      <c r="L10" t="s">
        <v>318</v>
      </c>
      <c r="M10" s="144">
        <f>GETPIVOTDATA("[Measures].[Somme de Conso_kWh_PCI]",$C$5)/1000</f>
        <v>392.08654083115431</v>
      </c>
    </row>
    <row r="11" spans="2:24">
      <c r="L11" t="s">
        <v>319</v>
      </c>
      <c r="M11" s="78">
        <f>GETPIVOTDATA("[Measures].[Somme de Cout_jour]",$H$5)</f>
        <v>56820.111290322566</v>
      </c>
    </row>
    <row r="12" spans="2:24" ht="18.5">
      <c r="X12" s="149" t="s">
        <v>320</v>
      </c>
    </row>
    <row r="13" spans="2:24">
      <c r="L13" t="s">
        <v>321</v>
      </c>
      <c r="M13" t="s">
        <v>322</v>
      </c>
      <c r="N13" t="s">
        <v>323</v>
      </c>
      <c r="O13" t="s">
        <v>324</v>
      </c>
      <c r="P13" t="s">
        <v>894</v>
      </c>
    </row>
    <row r="14" spans="2:24">
      <c r="M14" s="32" t="s">
        <v>189</v>
      </c>
      <c r="N14" s="510">
        <f>IFERROR(GETPIVOTDATA("[Measures].[Somme de Conso_kWh_PCI]",TCD_Conso!$B$3,"[Tab_concat].[Type]","[Tab_concat].[Type].&amp;[Consommation]","[Tab_concat].[Detail usage]","[Tab_concat].[Detail usage].&amp;["&amp;M14&amp;"]","[Tab_concat].[Annee]","[Tab_concat].[Annee].&amp;["&amp;$N$2&amp;"]"),0)</f>
        <v>0</v>
      </c>
      <c r="O14" s="510">
        <f>IFERROR(GETPIVOTDATA("[Measures].[Somme de Conso_kWhEP]",TCD_Conso!$B$3,"[Tab_concat].[Type]","[Tab_concat].[Type].&amp;[Consommation]","[Tab_concat].[Detail usage]","[Tab_concat].[Detail usage].&amp;["&amp;M14&amp;"]","[Tab_concat].[Annee]","[Tab_concat].[Annee].&amp;["&amp;$N$2&amp;"]"),0)</f>
        <v>0</v>
      </c>
      <c r="P14" s="510">
        <f>IFERROR(GETPIVOTDATA("[Measures].[Moyenne de Conso_kWh_PCI]",$C$46,"[Tab_concat].[Detail usage]","[Tab_concat].[Detail usage].&amp;["&amp;M15&amp;"]"),0)</f>
        <v>0</v>
      </c>
      <c r="R14" s="32" t="s">
        <v>325</v>
      </c>
      <c r="W14" t="s">
        <v>306</v>
      </c>
      <c r="X14" t="str">
        <f>Controle_des_données!$B$43</f>
        <v>Oui</v>
      </c>
    </row>
    <row r="15" spans="2:24">
      <c r="M15" s="77" t="s">
        <v>149</v>
      </c>
      <c r="N15" s="510">
        <f>IFERROR(GETPIVOTDATA("[Measures].[Somme de Conso_kWh_PCI]",TCD_Conso!$B$3,"[Tab_concat].[Type]","[Tab_concat].[Type].&amp;[Consommation]","[Tab_concat].[Detail usage]","[Tab_concat].[Detail usage].&amp;["&amp;M15&amp;"]","[Tab_concat].[Annee]","[Tab_concat].[Annee].&amp;["&amp;$N$2&amp;"]"),0)</f>
        <v>0</v>
      </c>
      <c r="O15" s="510">
        <f>IFERROR(GETPIVOTDATA("[Measures].[Somme de Conso_kWhEP]",TCD_Conso!$B$3,"[Tab_concat].[Type]","[Tab_concat].[Type].&amp;[Consommation]","[Tab_concat].[Detail usage]","[Tab_concat].[Detail usage].&amp;["&amp;M15&amp;"]","[Tab_concat].[Annee]","[Tab_concat].[Annee].&amp;["&amp;$N$2&amp;"]"),0)</f>
        <v>0</v>
      </c>
      <c r="P15" s="510">
        <f t="shared" ref="P15:P18" si="0">IFERROR(GETPIVOTDATA("[Measures].[Moyenne de Conso_kWh_PCI]",$C$46,"[Tab_concat].[Detail usage]","[Tab_concat].[Detail usage].&amp;["&amp;M16&amp;"]"),0)</f>
        <v>0</v>
      </c>
      <c r="R15" t="s">
        <v>326</v>
      </c>
      <c r="S15" t="str">
        <f>IF(SUM(Site!F8:F23)&gt;0,"oui","non")</f>
        <v>non</v>
      </c>
      <c r="W15" t="s">
        <v>307</v>
      </c>
      <c r="X15" t="str">
        <f>Controle_des_données!$B$44</f>
        <v>Non</v>
      </c>
    </row>
    <row r="16" spans="2:24">
      <c r="B16" t="s">
        <v>327</v>
      </c>
      <c r="C16" s="180" t="s">
        <v>868</v>
      </c>
      <c r="D16" s="503" t="s" vm="5">
        <v>852</v>
      </c>
      <c r="M16" s="77" t="s">
        <v>166</v>
      </c>
      <c r="N16" s="510">
        <f>IFERROR(GETPIVOTDATA("[Measures].[Somme de Conso_kWh_PCI]",TCD_Conso!$B$3,"[Tab_concat].[Type]","[Tab_concat].[Type].&amp;[Consommation]","[Tab_concat].[Detail usage]","[Tab_concat].[Detail usage].&amp;["&amp;M16&amp;"]","[Tab_concat].[Annee]","[Tab_concat].[Annee].&amp;["&amp;$N$2&amp;"]"),0)</f>
        <v>0</v>
      </c>
      <c r="O16" s="510">
        <f>IFERROR(GETPIVOTDATA("[Measures].[Somme de Conso_kWhEP]",TCD_Conso!$B$3,"[Tab_concat].[Type]","[Tab_concat].[Type].&amp;[Consommation]","[Tab_concat].[Detail usage]","[Tab_concat].[Detail usage].&amp;["&amp;M16&amp;"]","[Tab_concat].[Annee]","[Tab_concat].[Annee].&amp;["&amp;$N$2&amp;"]"),0)</f>
        <v>0</v>
      </c>
      <c r="P16" s="510">
        <f t="shared" si="0"/>
        <v>0</v>
      </c>
      <c r="R16" s="89"/>
      <c r="S16" t="str">
        <f>IF($S$15="oui",Liste!B44,Liste!C44)</f>
        <v>Bâtiment à usage de bureau ou d'administration</v>
      </c>
      <c r="T16" t="s">
        <v>328</v>
      </c>
      <c r="W16" t="s">
        <v>308</v>
      </c>
      <c r="X16">
        <f>Controle_des_données!$B$45</f>
        <v>70</v>
      </c>
    </row>
    <row r="17" spans="3:24">
      <c r="C17" s="180" t="s">
        <v>20</v>
      </c>
      <c r="D17" s="503" t="s" vm="1">
        <v>26</v>
      </c>
      <c r="M17" s="77" t="s">
        <v>329</v>
      </c>
      <c r="N17" s="510">
        <f>IFERROR(GETPIVOTDATA("[Measures].[Somme de Conso_kWh_PCI]",TCD_Conso!$B$3,"[Tab_concat].[Type]","[Tab_concat].[Type].&amp;[Consommation]","[Tab_concat].[Detail usage]","[Tab_concat].[Detail usage].&amp;["&amp;M17&amp;"]","[Tab_concat].[Annee]","[Tab_concat].[Annee].&amp;["&amp;$N$2&amp;"]"),0)</f>
        <v>0</v>
      </c>
      <c r="O17" s="510">
        <f>IFERROR(GETPIVOTDATA("[Measures].[Somme de Conso_kWhEP]",TCD_Conso!$B$3,"[Tab_concat].[Type]","[Tab_concat].[Type].&amp;[Consommation]","[Tab_concat].[Detail usage]","[Tab_concat].[Detail usage].&amp;["&amp;M17&amp;"]","[Tab_concat].[Annee]","[Tab_concat].[Annee].&amp;["&amp;$N$2&amp;"]"),0)</f>
        <v>0</v>
      </c>
      <c r="P17" s="510">
        <f t="shared" si="0"/>
        <v>156.49943198330294</v>
      </c>
      <c r="Q17" s="514"/>
      <c r="R17" s="89" t="s">
        <v>259</v>
      </c>
      <c r="S17">
        <f>IF($S$15="oui",Liste!B45,Liste!C45)</f>
        <v>50</v>
      </c>
      <c r="T17">
        <f>S17</f>
        <v>50</v>
      </c>
      <c r="W17" t="s">
        <v>330</v>
      </c>
      <c r="X17" s="89">
        <f t="array" ref="X17">MATCH(TRUE,(N16:N18)&gt;0,0)</f>
        <v>3</v>
      </c>
    </row>
    <row r="18" spans="3:24">
      <c r="C18" s="180" t="s">
        <v>21</v>
      </c>
      <c r="D18" s="503" t="s" vm="2">
        <v>891</v>
      </c>
      <c r="M18" s="32" t="s">
        <v>184</v>
      </c>
      <c r="N18" s="510">
        <f>IFERROR(GETPIVOTDATA("[Measures].[Somme de Conso_kWh_PCI]",TCD_Conso!$B$3,"[Tab_concat].[Type]","[Tab_concat].[Type].&amp;[Consommation]","[Tab_concat].[Detail usage]","[Tab_concat].[Detail usage].&amp;["&amp;M18&amp;"]","[Tab_concat].[Annee]","[Tab_concat].[Annee].&amp;["&amp;$N$2&amp;"]"),0)</f>
        <v>264427.92792792822</v>
      </c>
      <c r="O18" s="510">
        <f>IFERROR(GETPIVOTDATA("[Measures].[Somme de Conso_kWhEP]",TCD_Conso!$B$3,"[Tab_concat].[Type]","[Tab_concat].[Type].&amp;[Consommation]","[Tab_concat].[Detail usage]","[Tab_concat].[Detail usage].&amp;["&amp;M18&amp;"]","[Tab_concat].[Annee]","[Tab_concat].[Annee].&amp;["&amp;$N$2&amp;"]"),0)</f>
        <v>293514.99999999988</v>
      </c>
      <c r="P18" s="510">
        <f t="shared" si="0"/>
        <v>0</v>
      </c>
      <c r="R18" s="89" t="s">
        <v>260</v>
      </c>
      <c r="S18">
        <f>IF($S$15="oui",Liste!B46,Liste!C46)</f>
        <v>110</v>
      </c>
      <c r="T18">
        <f>S18-S17</f>
        <v>60</v>
      </c>
      <c r="X18" s="150"/>
    </row>
    <row r="19" spans="3:24">
      <c r="C19" s="461"/>
      <c r="D19" s="461"/>
      <c r="M19" s="77" t="s">
        <v>331</v>
      </c>
      <c r="N19" s="510">
        <f>SUM(N14:N18)</f>
        <v>264427.92792792822</v>
      </c>
      <c r="O19" s="510">
        <f>SUM(O14:O18)</f>
        <v>293514.99999999988</v>
      </c>
      <c r="P19" s="510">
        <f>SUM(P14:P18)</f>
        <v>156.49943198330294</v>
      </c>
      <c r="R19" s="89" t="s">
        <v>261</v>
      </c>
      <c r="S19">
        <f>IF($S$15="oui",Liste!B47,Liste!C47)</f>
        <v>210</v>
      </c>
      <c r="T19">
        <f>S19-S18</f>
        <v>100</v>
      </c>
      <c r="X19" s="150"/>
    </row>
    <row r="20" spans="3:24">
      <c r="C20" s="180" t="s">
        <v>64</v>
      </c>
      <c r="D20" t="s">
        <v>873</v>
      </c>
      <c r="M20" s="77" t="s">
        <v>332</v>
      </c>
      <c r="N20">
        <f>'CALCUL DEET'!V7</f>
        <v>2322.9499999999998</v>
      </c>
      <c r="R20" s="89" t="s">
        <v>262</v>
      </c>
      <c r="S20">
        <f>IF($S$15="oui",Liste!B48,Liste!C48)</f>
        <v>350</v>
      </c>
      <c r="T20">
        <f>S20-S19</f>
        <v>140</v>
      </c>
      <c r="X20" s="150"/>
    </row>
    <row r="21" spans="3:24">
      <c r="C21" s="89" t="s">
        <v>37</v>
      </c>
      <c r="D21" s="241">
        <v>1937.2257891866773</v>
      </c>
      <c r="M21" s="77" t="s">
        <v>333</v>
      </c>
      <c r="N21">
        <f>GETPIVOTDATA("DJU(chauffagiste)",DJU!$H$13,"annee",N2)</f>
        <v>2046</v>
      </c>
      <c r="R21" s="89" t="s">
        <v>263</v>
      </c>
      <c r="S21">
        <f>IF($S$15="oui",Liste!B49,Liste!C49)</f>
        <v>540</v>
      </c>
      <c r="T21">
        <f>S21-S20</f>
        <v>190</v>
      </c>
      <c r="W21" s="32"/>
      <c r="X21" s="32"/>
    </row>
    <row r="22" spans="3:24">
      <c r="C22" s="89" t="s">
        <v>29</v>
      </c>
      <c r="D22" s="241">
        <v>127658.61290322595</v>
      </c>
      <c r="M22" s="77" t="s">
        <v>896</v>
      </c>
      <c r="N22" s="52" t="e">
        <f>N19/$N$4*(N20/N21)</f>
        <v>#DIV/0!</v>
      </c>
      <c r="O22" s="52" t="e">
        <f>O19/$N$4*(N20/N21)</f>
        <v>#DIV/0!</v>
      </c>
      <c r="P22" s="512" t="str">
        <f>IFERROR((X26)/(12*N3),"N/A")</f>
        <v>N/A</v>
      </c>
      <c r="T22">
        <f>SUM(T17:T21)</f>
        <v>540</v>
      </c>
      <c r="W22" s="89" t="s">
        <v>311</v>
      </c>
      <c r="X22">
        <f>N2</f>
        <v>2025</v>
      </c>
    </row>
    <row r="23" spans="3:24">
      <c r="C23" s="89" t="s">
        <v>185</v>
      </c>
      <c r="D23" s="241">
        <v>293515.00000000012</v>
      </c>
      <c r="M23" s="77" t="s">
        <v>27</v>
      </c>
      <c r="R23" s="89" t="s">
        <v>334</v>
      </c>
      <c r="S23" s="145" t="e">
        <f>O28</f>
        <v>#DIV/0!</v>
      </c>
      <c r="W23" t="s">
        <v>335</v>
      </c>
      <c r="X23" s="131">
        <f>N26</f>
        <v>127658.61290322569</v>
      </c>
    </row>
    <row r="24" spans="3:24">
      <c r="C24" s="89" t="s">
        <v>89</v>
      </c>
      <c r="D24" s="241">
        <v>423110.83869241236</v>
      </c>
      <c r="M24" t="s">
        <v>28</v>
      </c>
      <c r="N24" s="510">
        <f>IFERROR(GETPIVOTDATA("[Measures].[Somme de Conso_kWh_PCI]",TCD_Conso!$B$3,"[Tab_concat].[Type]","[Tab_concat].[Type].&amp;[Consommation]","[Tab_concat].[Detail usage]","[Tab_concat].[Detail usage].&amp;["&amp;M24&amp;"]","[Tab_concat].[Annee]","[Tab_concat].[Annee].&amp;["&amp;$N$2&amp;"]"),0)</f>
        <v>127658.61290322569</v>
      </c>
      <c r="O24" s="510">
        <f>IFERROR(GETPIVOTDATA("[Measures].[Somme de Conso_kWhEP]",TCD_Conso!$B$3,"[Tab_concat].[Type]","[Tab_concat].[Type].&amp;[Consommation]","[Tab_concat].[Detail usage]","[Tab_concat].[Detail usage].&amp;["&amp;M24&amp;"]","[Tab_concat].[Annee]","[Tab_concat].[Annee].&amp;["&amp;$N$2&amp;"]"),0)</f>
        <v>242551.36451612902</v>
      </c>
      <c r="P24" s="510"/>
      <c r="R24" s="89" t="s">
        <v>336</v>
      </c>
      <c r="S24" s="131" t="e">
        <f>S23-0.5*S25</f>
        <v>#DIV/0!</v>
      </c>
      <c r="W24" t="s">
        <v>337</v>
      </c>
      <c r="X24" s="131">
        <f>N25</f>
        <v>0</v>
      </c>
    </row>
    <row r="25" spans="3:24">
      <c r="M25" t="s">
        <v>156</v>
      </c>
      <c r="N25" s="510">
        <f>IFERROR(GETPIVOTDATA("[Measures].[Somme de Conso_kWh_PCI]",TCD_Conso!$B$3,"[Tab_concat].[Type]","[Tab_concat].[Type].&amp;[Consommation]","[Tab_concat].[Detail usage]","[Tab_concat].[Detail usage].&amp;["&amp;M25&amp;"]","[Tab_concat].[Annee]","[Tab_concat].[Annee].&amp;["&amp;$N$2&amp;"]"),0)</f>
        <v>0</v>
      </c>
      <c r="O25" s="510">
        <f>IFERROR(GETPIVOTDATA("[Measures].[Somme de Conso_kWhEP]",TCD_Conso!$B$3,"[Tab_concat].[Type]","[Tab_concat].[Type].&amp;[Consommation]","[Tab_concat].[Detail usage]","[Tab_concat].[Detail usage].&amp;["&amp;M25&amp;"]","[Tab_concat].[Annee]","[Tab_concat].[Annee].&amp;["&amp;$N$2&amp;"]"),0)</f>
        <v>0</v>
      </c>
      <c r="P25" s="510"/>
      <c r="R25" s="89" t="s">
        <v>338</v>
      </c>
      <c r="S25" s="131">
        <v>30</v>
      </c>
      <c r="W25" t="str">
        <f>IF(X14="Oui","Chauffage seul",INDEX(M16:M18,X17,1))</f>
        <v>Chauffage seul</v>
      </c>
      <c r="X25" s="131">
        <f>SUM(N16:N18)-X26</f>
        <v>203557.65765765792</v>
      </c>
    </row>
    <row r="26" spans="3:24">
      <c r="M26" s="77" t="s">
        <v>339</v>
      </c>
      <c r="N26" s="510">
        <f>IF(N19&gt;0,N24-N25,(N24-N25)*(N21/N20))</f>
        <v>127658.61290322569</v>
      </c>
      <c r="O26" s="510">
        <f>O24-O25</f>
        <v>242551.36451612902</v>
      </c>
      <c r="P26" s="511">
        <f>15000</f>
        <v>15000</v>
      </c>
      <c r="R26" s="89" t="s">
        <v>340</v>
      </c>
      <c r="S26" s="131" t="e">
        <f>SUM(T17:T22)-S24-S25</f>
        <v>#DIV/0!</v>
      </c>
      <c r="W26" s="32" t="str">
        <f>IF(X26&gt;0,Estimation_ECS!B44,"")</f>
        <v>ECS+Cuisson estimées</v>
      </c>
      <c r="X26" s="131">
        <f>HLOOKUP($X$22,Estimation_ECS!$C$40:$R$44,5)</f>
        <v>60870.270270270288</v>
      </c>
    </row>
    <row r="27" spans="3:24">
      <c r="M27" s="77" t="s">
        <v>895</v>
      </c>
      <c r="N27" s="52" t="e">
        <f>N26/$N$3</f>
        <v>#DIV/0!</v>
      </c>
      <c r="O27" s="52" t="e">
        <f>O26/$N$3</f>
        <v>#DIV/0!</v>
      </c>
      <c r="P27" s="476" t="e">
        <f>VLOOKUP(N2,Compteur_1!K11:L31,2,1)*1000/N3</f>
        <v>#DIV/0!</v>
      </c>
      <c r="S27" s="131"/>
      <c r="W27" t="str">
        <f>IF(X27&gt;0,"Cuisson seule","")</f>
        <v/>
      </c>
      <c r="X27" s="131">
        <f>N14</f>
        <v>0</v>
      </c>
    </row>
    <row r="28" spans="3:24">
      <c r="M28" t="s">
        <v>341</v>
      </c>
      <c r="N28" s="52" t="e">
        <f>(N19*(N20/N21)+N26)/N3</f>
        <v>#DIV/0!</v>
      </c>
      <c r="O28" s="101" t="e">
        <f>(O19*(N20/N21)+O26)/N3</f>
        <v>#DIV/0!</v>
      </c>
    </row>
    <row r="29" spans="3:24">
      <c r="M29" t="s">
        <v>342</v>
      </c>
      <c r="N29">
        <f>DATE(N2,12,31)-DATE(N2,1,1)+1</f>
        <v>365</v>
      </c>
    </row>
    <row r="30" spans="3:24">
      <c r="M30" t="s">
        <v>343</v>
      </c>
      <c r="N30">
        <f>Ouverture!K10</f>
        <v>0</v>
      </c>
      <c r="Q30" t="str">
        <f>IFERROR((X26*1000)/(12*30*N3),"N/A")</f>
        <v>N/A</v>
      </c>
    </row>
    <row r="31" spans="3:24">
      <c r="L31" t="s">
        <v>37</v>
      </c>
      <c r="M31" t="s">
        <v>344</v>
      </c>
      <c r="N31">
        <f>N29-N30</f>
        <v>365</v>
      </c>
      <c r="Q31">
        <f>70803/(365*3024)</f>
        <v>6.4147097195042399E-2</v>
      </c>
    </row>
    <row r="32" spans="3:24">
      <c r="M32" t="s">
        <v>345</v>
      </c>
      <c r="N32" s="80" t="str">
        <f>IFERROR(GETPIVOTDATA("[Measures].[Somme de Demande_jour]",$C$20,"[Tab_concat].[Combustible]","[Tab_concat].[Combustible].&amp;[Eau (m3)]")/(N6+N7)*1000/N31,"N/A")</f>
        <v>N/A</v>
      </c>
    </row>
    <row r="33" spans="1:16">
      <c r="A33" s="461"/>
      <c r="P33" t="e">
        <f>P22/(24*6)</f>
        <v>#VALUE!</v>
      </c>
    </row>
    <row r="35" spans="1:16">
      <c r="L35" s="461"/>
      <c r="M35" s="461"/>
      <c r="P35" t="e">
        <f>15000*6*24/N3</f>
        <v>#DIV/0!</v>
      </c>
    </row>
    <row r="36" spans="1:16">
      <c r="L36" s="461"/>
      <c r="M36" s="461"/>
    </row>
    <row r="41" spans="1:16">
      <c r="C41" s="180" t="s">
        <v>868</v>
      </c>
      <c r="D41" s="503" t="s" vm="5">
        <v>852</v>
      </c>
    </row>
    <row r="42" spans="1:16">
      <c r="B42" s="475" t="s">
        <v>892</v>
      </c>
      <c r="C42" s="180" t="s">
        <v>20</v>
      </c>
      <c r="D42" s="503" t="s" vm="1">
        <v>26</v>
      </c>
      <c r="E42" s="475"/>
      <c r="F42" s="475"/>
      <c r="G42" s="475"/>
      <c r="H42" s="475"/>
      <c r="I42" s="475"/>
    </row>
    <row r="43" spans="1:16">
      <c r="B43" s="475"/>
      <c r="C43" s="180" t="s">
        <v>21</v>
      </c>
      <c r="D43" s="503" t="s" vm="2">
        <v>891</v>
      </c>
      <c r="E43" s="475"/>
      <c r="F43" s="475"/>
      <c r="G43" s="475"/>
      <c r="H43" s="475"/>
      <c r="I43" s="475"/>
    </row>
    <row r="44" spans="1:16">
      <c r="B44" s="475"/>
      <c r="C44" s="180" t="s">
        <v>68</v>
      </c>
      <c r="D44" s="503" t="s" vm="3">
        <v>893</v>
      </c>
      <c r="E44" s="475"/>
      <c r="F44" s="475"/>
      <c r="G44" s="475"/>
      <c r="H44" s="475"/>
      <c r="I44" s="475"/>
    </row>
    <row r="45" spans="1:16">
      <c r="B45" s="475"/>
      <c r="C45" s="475"/>
      <c r="D45" s="475"/>
      <c r="E45" s="475"/>
      <c r="F45" s="475"/>
      <c r="G45" s="475"/>
      <c r="H45" s="475"/>
      <c r="I45" s="475"/>
    </row>
    <row r="46" spans="1:16">
      <c r="B46" s="475"/>
      <c r="C46" s="180" t="s">
        <v>64</v>
      </c>
      <c r="D46" t="s">
        <v>875</v>
      </c>
      <c r="E46" s="475"/>
      <c r="F46" s="475"/>
      <c r="G46" s="475"/>
    </row>
    <row r="47" spans="1:16">
      <c r="B47" s="475"/>
      <c r="C47" s="89" t="s">
        <v>184</v>
      </c>
      <c r="D47" s="241">
        <v>156.49943198330294</v>
      </c>
      <c r="E47" s="475"/>
      <c r="F47" s="475"/>
      <c r="G47" s="475"/>
    </row>
    <row r="48" spans="1:16">
      <c r="B48" s="475"/>
      <c r="C48" s="89" t="s">
        <v>28</v>
      </c>
      <c r="D48" s="241">
        <v>447.23850156087377</v>
      </c>
      <c r="E48" s="475"/>
      <c r="F48" s="475"/>
      <c r="G48" s="475"/>
    </row>
    <row r="49" spans="2:7">
      <c r="B49" s="475"/>
      <c r="C49" s="89" t="s">
        <v>36</v>
      </c>
      <c r="D49" s="241">
        <v>0</v>
      </c>
      <c r="E49" s="475"/>
      <c r="F49" s="475"/>
      <c r="G49" s="475"/>
    </row>
    <row r="50" spans="2:7">
      <c r="C50" s="89" t="s">
        <v>89</v>
      </c>
      <c r="D50" s="241">
        <v>201.24597784805891</v>
      </c>
    </row>
  </sheetData>
  <pageMargins left="0.7" right="0.7" top="0.75" bottom="0.75" header="0.3" footer="0.3"/>
  <pageSetup paperSize="9" orientation="portrait" r:id="rId5"/>
  <legacy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3">
    <tabColor theme="6"/>
  </sheetPr>
  <dimension ref="A1:K33"/>
  <sheetViews>
    <sheetView workbookViewId="0">
      <selection activeCell="E5" sqref="E5"/>
    </sheetView>
  </sheetViews>
  <sheetFormatPr baseColWidth="10" defaultColWidth="0" defaultRowHeight="15" customHeight="1" zeroHeight="1"/>
  <cols>
    <col min="1" max="11" width="11.453125" customWidth="1"/>
    <col min="12" max="16384" width="11.453125" hidden="1"/>
  </cols>
  <sheetData>
    <row r="1" spans="1:11" ht="14.5">
      <c r="A1" s="38"/>
      <c r="B1" s="38"/>
      <c r="C1" s="38"/>
      <c r="D1" s="38"/>
      <c r="E1" s="38"/>
      <c r="F1" s="38"/>
      <c r="G1" s="38"/>
      <c r="H1" s="38"/>
      <c r="I1" s="38"/>
      <c r="J1" s="38"/>
      <c r="K1" s="38"/>
    </row>
    <row r="2" spans="1:11" ht="14.5">
      <c r="A2" s="38"/>
      <c r="B2" s="38"/>
      <c r="C2" s="38"/>
      <c r="D2" s="38"/>
      <c r="E2" s="38"/>
      <c r="F2" s="38"/>
      <c r="G2" s="38"/>
      <c r="H2" s="38"/>
      <c r="I2" s="38"/>
      <c r="J2" s="38"/>
      <c r="K2" s="38"/>
    </row>
    <row r="3" spans="1:11" ht="14.5">
      <c r="A3" s="38"/>
      <c r="B3" s="107" t="s">
        <v>0</v>
      </c>
      <c r="C3" s="554">
        <f>Site!C2</f>
        <v>0</v>
      </c>
      <c r="D3" s="554"/>
      <c r="E3" s="554"/>
      <c r="F3" s="38"/>
      <c r="G3" s="38"/>
      <c r="H3" s="38"/>
      <c r="I3" s="38"/>
      <c r="J3" s="38"/>
      <c r="K3" s="38"/>
    </row>
    <row r="4" spans="1:11" ht="14.5">
      <c r="A4" s="38"/>
      <c r="B4" s="38"/>
      <c r="C4" s="38"/>
      <c r="D4" s="38"/>
      <c r="E4" s="38"/>
      <c r="F4" s="38"/>
      <c r="G4" s="38"/>
      <c r="H4" s="38"/>
      <c r="I4" s="38"/>
      <c r="J4" s="38"/>
      <c r="K4" s="38"/>
    </row>
    <row r="5" spans="1:11" ht="14.5">
      <c r="A5" s="38"/>
      <c r="B5" s="106"/>
      <c r="C5" s="106" t="s">
        <v>56</v>
      </c>
      <c r="D5" s="79" t="str">
        <f>DJU!A2</f>
        <v>Le Mans</v>
      </c>
      <c r="E5" s="38"/>
      <c r="F5" s="38"/>
      <c r="G5" s="38"/>
      <c r="H5" s="38"/>
      <c r="I5" s="38"/>
      <c r="J5" s="38"/>
      <c r="K5" s="38"/>
    </row>
    <row r="6" spans="1:11" ht="14.5">
      <c r="A6" s="38"/>
      <c r="B6" s="38"/>
      <c r="C6" s="38"/>
      <c r="D6" s="38"/>
      <c r="E6" s="38"/>
      <c r="F6" s="38"/>
      <c r="G6" s="38"/>
      <c r="H6" s="38"/>
      <c r="I6" s="38"/>
      <c r="J6" s="38"/>
      <c r="K6" s="38"/>
    </row>
    <row r="7" spans="1:11" ht="14.5">
      <c r="A7" s="38"/>
      <c r="B7" s="38"/>
      <c r="C7" s="38"/>
      <c r="D7" s="38"/>
      <c r="E7" s="38"/>
      <c r="F7" s="38"/>
      <c r="G7" s="38"/>
      <c r="H7" s="38"/>
      <c r="I7" s="38"/>
      <c r="J7" s="38"/>
      <c r="K7" s="38"/>
    </row>
    <row r="8" spans="1:11" ht="14.5">
      <c r="A8" s="38"/>
      <c r="B8" s="38"/>
      <c r="C8" s="38"/>
      <c r="D8" s="38"/>
      <c r="E8" s="38"/>
      <c r="F8" s="38"/>
      <c r="G8" s="38"/>
      <c r="H8" s="38"/>
      <c r="I8" s="38"/>
      <c r="J8" s="38"/>
      <c r="K8" s="38"/>
    </row>
    <row r="9" spans="1:11" ht="14.5">
      <c r="A9" s="38"/>
      <c r="B9" s="38"/>
      <c r="C9" s="38"/>
      <c r="D9" s="38"/>
      <c r="E9" s="38"/>
      <c r="F9" s="38"/>
      <c r="G9" s="38"/>
      <c r="H9" s="38"/>
      <c r="I9" s="38"/>
      <c r="J9" s="38"/>
      <c r="K9" s="38"/>
    </row>
    <row r="10" spans="1:11" ht="14.5">
      <c r="A10" s="38"/>
      <c r="B10" s="38"/>
      <c r="C10" s="38"/>
      <c r="D10" s="38"/>
      <c r="E10" s="38"/>
      <c r="F10" s="38"/>
      <c r="G10" s="38"/>
      <c r="H10" s="38"/>
      <c r="I10" s="38"/>
      <c r="J10" s="38"/>
      <c r="K10" s="38"/>
    </row>
    <row r="11" spans="1:11" ht="14.5">
      <c r="A11" s="38"/>
      <c r="B11" s="38"/>
      <c r="C11" s="38"/>
      <c r="D11" s="38"/>
      <c r="E11" s="38"/>
      <c r="F11" s="38"/>
      <c r="G11" s="38"/>
      <c r="H11" s="38"/>
      <c r="I11" s="38"/>
      <c r="J11" s="38"/>
      <c r="K11" s="38"/>
    </row>
    <row r="12" spans="1:11" ht="14.5">
      <c r="A12" s="38"/>
      <c r="B12" s="38"/>
      <c r="C12" s="38"/>
      <c r="D12" s="38"/>
      <c r="E12" s="38"/>
      <c r="F12" s="38"/>
      <c r="G12" s="38"/>
      <c r="H12" s="38"/>
      <c r="I12" s="38"/>
      <c r="J12" s="38"/>
      <c r="K12" s="38"/>
    </row>
    <row r="13" spans="1:11" ht="14.5">
      <c r="A13" s="38"/>
      <c r="B13" s="38"/>
      <c r="C13" s="38"/>
      <c r="D13" s="38"/>
      <c r="E13" s="38"/>
      <c r="F13" s="38"/>
      <c r="G13" s="38"/>
      <c r="H13" s="38"/>
      <c r="I13" s="38"/>
      <c r="J13" s="38"/>
      <c r="K13" s="38"/>
    </row>
    <row r="14" spans="1:11" ht="14.5">
      <c r="A14" s="38"/>
      <c r="B14" s="38"/>
      <c r="C14" s="38"/>
      <c r="D14" s="38"/>
      <c r="E14" s="38"/>
      <c r="F14" s="38"/>
      <c r="G14" s="38"/>
      <c r="H14" s="38"/>
      <c r="I14" s="38"/>
      <c r="J14" s="38"/>
      <c r="K14" s="38"/>
    </row>
    <row r="15" spans="1:11" ht="14.5">
      <c r="A15" s="38"/>
      <c r="B15" s="38"/>
      <c r="C15" s="38"/>
      <c r="D15" s="38"/>
      <c r="E15" s="38"/>
      <c r="F15" s="38"/>
      <c r="G15" s="38"/>
      <c r="H15" s="38"/>
      <c r="I15" s="38"/>
      <c r="J15" s="38"/>
      <c r="K15" s="38"/>
    </row>
    <row r="16" spans="1:11" ht="14.5">
      <c r="A16" s="38"/>
      <c r="B16" s="38"/>
      <c r="C16" s="38"/>
      <c r="D16" s="38"/>
      <c r="E16" s="38"/>
      <c r="F16" s="38"/>
      <c r="G16" s="38"/>
      <c r="H16" s="38"/>
      <c r="I16" s="38"/>
      <c r="J16" s="38"/>
      <c r="K16" s="38"/>
    </row>
    <row r="17" spans="1:11" ht="14.5">
      <c r="A17" s="38"/>
      <c r="B17" s="38"/>
      <c r="C17" s="38"/>
      <c r="D17" s="38"/>
      <c r="E17" s="38"/>
      <c r="F17" s="38"/>
      <c r="G17" s="38"/>
      <c r="H17" s="38"/>
      <c r="I17" s="38"/>
      <c r="J17" s="38"/>
      <c r="K17" s="38"/>
    </row>
    <row r="18" spans="1:11" ht="14.5">
      <c r="A18" s="38"/>
      <c r="B18" s="38"/>
      <c r="C18" s="38"/>
      <c r="D18" s="38"/>
      <c r="E18" s="38"/>
      <c r="F18" s="38"/>
      <c r="G18" s="38"/>
      <c r="H18" s="38"/>
      <c r="I18" s="38"/>
      <c r="J18" s="38"/>
      <c r="K18" s="38"/>
    </row>
    <row r="19" spans="1:11" ht="14.5">
      <c r="A19" s="38"/>
      <c r="B19" s="38"/>
      <c r="C19" s="38"/>
      <c r="D19" s="38"/>
      <c r="E19" s="38"/>
      <c r="F19" s="38"/>
      <c r="G19" s="38"/>
      <c r="H19" s="38"/>
      <c r="I19" s="38"/>
      <c r="J19" s="38"/>
      <c r="K19" s="38"/>
    </row>
    <row r="20" spans="1:11" ht="14.5">
      <c r="A20" s="38"/>
      <c r="B20" s="38"/>
      <c r="C20" s="38"/>
      <c r="D20" s="38"/>
      <c r="E20" s="38"/>
      <c r="F20" s="38"/>
      <c r="G20" s="38"/>
      <c r="H20" s="38"/>
      <c r="I20" s="38"/>
      <c r="J20" s="38"/>
      <c r="K20" s="38"/>
    </row>
    <row r="21" spans="1:11" ht="14.5">
      <c r="A21" s="38"/>
      <c r="B21" s="38"/>
      <c r="C21" s="38"/>
      <c r="D21" s="38"/>
      <c r="E21" s="38"/>
      <c r="F21" s="38"/>
      <c r="G21" s="38"/>
      <c r="H21" s="38"/>
      <c r="I21" s="38"/>
      <c r="J21" s="38"/>
      <c r="K21" s="38"/>
    </row>
    <row r="22" spans="1:11" ht="14.5">
      <c r="A22" s="38"/>
      <c r="B22" s="38"/>
      <c r="C22" s="38"/>
      <c r="D22" s="38"/>
      <c r="E22" s="38"/>
      <c r="F22" s="38"/>
      <c r="G22" s="38"/>
      <c r="H22" s="38"/>
      <c r="I22" s="38"/>
      <c r="J22" s="38"/>
      <c r="K22" s="38"/>
    </row>
    <row r="23" spans="1:11" ht="14.5">
      <c r="A23" s="38"/>
      <c r="B23" s="38"/>
      <c r="C23" s="38"/>
      <c r="D23" s="38"/>
      <c r="E23" s="38"/>
      <c r="F23" s="38"/>
      <c r="G23" s="38"/>
      <c r="H23" s="38"/>
      <c r="I23" s="38"/>
      <c r="J23" s="38"/>
      <c r="K23" s="38"/>
    </row>
    <row r="24" spans="1:11" ht="14.5">
      <c r="A24" s="38"/>
      <c r="B24" s="38"/>
      <c r="C24" s="38"/>
      <c r="D24" s="38"/>
      <c r="E24" s="38"/>
      <c r="F24" s="38"/>
      <c r="G24" s="38"/>
      <c r="H24" s="38"/>
      <c r="I24" s="38"/>
      <c r="J24" s="38"/>
      <c r="K24" s="38"/>
    </row>
    <row r="25" spans="1:11" ht="14.5">
      <c r="A25" s="38"/>
      <c r="B25" s="38"/>
      <c r="C25" s="38"/>
      <c r="D25" s="38"/>
      <c r="E25" s="38"/>
      <c r="F25" s="38"/>
      <c r="G25" s="38"/>
      <c r="H25" s="38"/>
      <c r="I25" s="38"/>
      <c r="J25" s="38"/>
      <c r="K25" s="38"/>
    </row>
    <row r="26" spans="1:11" ht="14.5">
      <c r="A26" s="38"/>
      <c r="B26" s="38"/>
      <c r="C26" s="38"/>
      <c r="D26" s="38"/>
      <c r="E26" s="38"/>
      <c r="F26" s="38"/>
      <c r="G26" s="38"/>
      <c r="H26" s="38"/>
      <c r="I26" s="38"/>
      <c r="J26" s="38"/>
      <c r="K26" s="38"/>
    </row>
    <row r="27" spans="1:11" ht="14.5">
      <c r="A27" s="38"/>
      <c r="B27" s="38"/>
      <c r="C27" s="38"/>
      <c r="D27" s="38"/>
      <c r="E27" s="38"/>
      <c r="F27" s="38"/>
      <c r="G27" s="38"/>
      <c r="H27" s="38"/>
      <c r="I27" s="38"/>
      <c r="J27" s="38"/>
      <c r="K27" s="38"/>
    </row>
    <row r="28" spans="1:11" ht="14.5">
      <c r="A28" s="38"/>
      <c r="B28" s="38"/>
      <c r="C28" s="38"/>
      <c r="D28" s="38"/>
      <c r="E28" s="38"/>
      <c r="F28" s="38"/>
      <c r="G28" s="38"/>
      <c r="H28" s="38"/>
      <c r="I28" s="38"/>
      <c r="J28" s="38"/>
      <c r="K28" s="38"/>
    </row>
    <row r="29" spans="1:11" ht="14.5">
      <c r="A29" s="38"/>
      <c r="B29" s="38"/>
      <c r="C29" s="38"/>
      <c r="D29" s="38"/>
      <c r="E29" s="38"/>
      <c r="F29" s="38"/>
      <c r="G29" s="38"/>
      <c r="H29" s="38"/>
      <c r="I29" s="38"/>
      <c r="J29" s="38"/>
      <c r="K29" s="38"/>
    </row>
    <row r="30" spans="1:11" ht="14.5">
      <c r="A30" s="38"/>
      <c r="B30" s="38"/>
      <c r="C30" s="38"/>
      <c r="D30" s="38"/>
      <c r="E30" s="38"/>
      <c r="F30" s="38"/>
      <c r="G30" s="38"/>
      <c r="H30" s="38"/>
      <c r="I30" s="38"/>
      <c r="J30" s="38"/>
      <c r="K30" s="38"/>
    </row>
    <row r="31" spans="1:11" ht="14.5">
      <c r="A31" s="38"/>
      <c r="B31" s="38"/>
      <c r="C31" s="38"/>
      <c r="D31" s="38"/>
      <c r="E31" s="38"/>
      <c r="F31" s="38"/>
      <c r="G31" s="38"/>
      <c r="H31" s="38"/>
      <c r="I31" s="38"/>
      <c r="J31" s="38"/>
      <c r="K31" s="38"/>
    </row>
    <row r="32" spans="1:11" ht="14.5">
      <c r="A32" s="38"/>
      <c r="B32" s="38"/>
      <c r="C32" s="38"/>
      <c r="D32" s="38"/>
      <c r="E32" s="38"/>
      <c r="F32" s="38"/>
      <c r="G32" s="38"/>
      <c r="H32" s="38"/>
      <c r="I32" s="38"/>
      <c r="J32" s="38"/>
      <c r="K32" s="38"/>
    </row>
    <row r="33" spans="1:11" ht="14.5">
      <c r="A33" s="38"/>
      <c r="B33" s="38"/>
      <c r="C33" s="38"/>
      <c r="D33" s="38"/>
      <c r="E33" s="38"/>
      <c r="F33" s="38"/>
      <c r="G33" s="38" t="s">
        <v>57</v>
      </c>
      <c r="H33" s="38"/>
      <c r="I33" s="38"/>
      <c r="J33" s="38"/>
      <c r="K33" s="38"/>
    </row>
  </sheetData>
  <sheetProtection sheet="1" objects="1" scenarios="1"/>
  <protectedRanges>
    <protectedRange sqref="C3:E3" name="Plage1"/>
  </protectedRanges>
  <mergeCells count="1">
    <mergeCell ref="C3:E3"/>
  </mergeCells>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s q m i d = " 7 b f a 5 8 7 9 - a 6 8 7 - 4 7 f 9 - a a e 6 - 1 a 0 5 b 5 0 5 9 6 5 4 "   x m l n s = " h t t p : / / s c h e m a s . m i c r o s o f t . c o m / D a t a M a s h u p " > A A A A A B w I A A B Q S w M E F A A C A A g A T l B T X L + 1 N o u m A A A A 9 w A A A B I A H A B D b 2 5 m a W c v U G F j a 2 F n Z S 5 4 b W w g o h g A K K A U A A A A A A A A A A A A A A A A A A A A A A A A A A A A h Y 8 x D o I w G I W v Q r r T l p I Y J T 9 l M H G S x G h i X B u o 0 A j F t M V y N w e P 5 B X E K O r m + L 7 3 D e / d r z f I h r Y J L t J Y 1 e k U R Z i i Q O q i K 5 W u U t S 7 Y z h H G Y e N K E 6 i k s E o a 5 s M t k x R 7 d w 5 I c R 7 j 3 2 M O 1 M R R m l E D v l 6 V 9 S y F e g j q / 9 y q L R 1 Q h c S c d i / x n C G F z M c s 4 j F m A K Z K O R K f w 0 2 D n 6 2 P x C W f e N 6 I / n R h K s t k C k C e Z / g D 1 B L A w Q U A A I A C A B O U F N 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l B T X G t e u U o U B Q A A J k c A A B M A H A B G b 3 J t d W x h c y 9 T Z W N 0 a W 9 u M S 5 t I K I Y A C i g F A A A A A A A A A A A A A A A A A A A A A A A A A A A A O 2 b X 2 8 i N x D A 3 5 H 4 D t b m B X R 7 9 J Y Q k u p 6 l U 4 h l S 5 N 7 q 4 h V R 8 Q Q g t r L m 5 2 b e r 1 X o l Q v k + 5 r 8 E X q 7 1 / 2 H / e A C E S D 5 n k I d i e 9 c z Y M / M b I q 2 P J 4 I w i v r R X + t 9 v V a v + X c 2 x w 6 6 t c c u t o O f 0 Q f k Y l G v I f n T Z w G f Y D l z M Z 9 g t 3 U e c I 6 p + I v x + z F j 9 4 3 m Y v D Z 9 v A H I 3 n W G D 4 O z h k V U m h o R l s c G b c P M 4 w 8 5 p A p W S 0 N u V k o 3 b r l N v W n j H v n z A 0 8 q q T 8 R q T Q X C y M v r B D U 6 9 X S 7 F a M s N E Q u 0 j 8 F w 8 m m h h 2 J R i L G c / U d H t t N T T 4 b T H i F + S V Z M j G n i Y s / I T v c s / G 5 M 7 O 5 h O 7 W / E F 7 h Z I e I S T 1 o 0 I Z g W J B 6 b a 1 e / Y u 4 z S m 2 X + K s l R v b f L J D G 4 9 T p j 4 4 T u d s o n o u J j J 4 t l E f Y n t y h I 0 c O G o P Q y 6 G J B h k X 5 N B q N v X H a 2 0 4 3 2 o T 1 Z n H B o S H p / R v 4 Z q 1 h W + W c m 5 K 6 C i + n N B B p a t 1 Q Z 0 v 0 2 s Z M H e N g Z o Y N j c q b O s V V p o X n + t a 7 5 W 8 4 1 Y 4 E 6 s 0 U S / g Y a z J 6 Q c 5 m 1 g 6 f B v b 9 M Y y j 5 x Y p m G Z 7 9 R v s 8 p S 5 K y W 3 7 H L Z r N s s F / M Z z Z 1 l O 5 N F r d T i 1 M N 8 i E p i n 3 k B 7 M Z J 5 6 U 8 9 P N b 7 D H v u N o 4 9 I V 5 + w x d X m 1 T q U k e Q r 5 k o R F e o W P G s t k Y W B e y T A q y 0 N q m N a N M P A 0 O a g m R 9 l J o y o X I 8 l 0 z s j G 7 R X 5 p j R O i S t 4 3 r o + d m U Z v G H / 5 k z L + B F H z K B o y B D 9 8 i u i g e s i e a c V y 4 Z R b Y J V Y U P J 1 N i A x q D g o M 6 A w q r U 3 6 z X C K 2 2 o V D 7 R + f M m w k c 8 F H 7 m Q T I 7 L A 3 B 6 J n U g P M d G K R f g y H R m + 1 H A c C O R j J E O e E O f k a Z h b l f y N 0 e + E / A p s K I s I C H Y r J t B h j X h a M A 8 j a J N f D n r w 0 P J L p z j f v G Y i t B D / J H e e J k E 0 f d F t R n / 1 0 W d 4 r F Y w / Z u o a x x 5 Z / c d l 3 L h R + G j L T / + e z M o 4 s 0 o 1 A i X x s Y G L T 6 u V 6 Z 7 s k + S H k Q m 8 5 y a + x r g k / Q v x s k 6 + V N V H 9 U h I F o y i 0 q 1 x L D 1 o X a a n q w m u 0 p k i t 6 K V Q T n u k 1 w L Z a / t e W P x r k S 3 k j d v t T s 1 0 R t k p W W 0 h L 9 6 r V k M l 1 4 C G s x l / f C L J 6 F B Y P n c 9 m a f 3 g i z o k p o a k E u 4 7 N Z L T P X F T a K U y h J u W x i 6 b A o 7 f D C c M r Z z L i D + U Y u Z g L d S I 8 n X z 8 y N e I J 6 F U R R 2 f m m n p K Y 5 E 0 6 7 k s 3 3 b s Q M v G J b 2 n n 6 / F K H s C m Z Y + 4 + g N / i d Y / R B q u 8 C X 8 U n z J / 0 Z y 9 B y L h n R 9 q S J U q k p + Q K T m 0 y / 1 p h I 7 f E 7 o U 7 r C k / F l 0 B g n v E / + e b 0 R O s X f l 4 H v t 7 s v M Z F u Q H S t T p b C 1 Z H R 7 s i O r R + x e E h e I C f b D D a 1 Q 3 G 8 d 4 N x v E r b D D U 1 y Q p C v 3 F A f u L Y + g v 1 B L 0 F y / V X 6 R J D e 1 F V X u h M 9 + q v i F d e 6 F c 9 S Q r b M J x 7 t 8 X u / Q P e j t e X R u R h b 7 W 5 E r u d / b m f g e 4 D 9 w / A P c 7 w H 2 1 B N w H 7 g P 3 g f s 7 c v 9 k b + 6 f A P e B + w f g / g l w X y 0 B 9 4 H 7 w H 3 g / o 7 c 7 + 7 N / S 5 w H 7 h / A O 5 3 g f t q C b g P 3 A f u A / d 3 5 P 7 p 3 t w / B e 4 D 9 w / A / V P g v l o C 7 g P 3 g f v A / R 2 5 f 7 Y 3 9 8 + A + 8 D 9 A 3 D / D L i v l o D 7 w H 3 g P n B / O + 5 P G J 3 Y Y m / m W 8 B 8 Y P 4 B m G 8 B 8 9 U S M P 9 1 M z + X i u 0 N l b Y C / d r X 9 1 7 i L b 3 2 6 8 N w 6 d A 0 F V B e 9 p h Q 3 F h U v q O X I 2 y 7 M D 4 u j D u F 8 U l h 3 C 2 M T w v j s 2 e 0 k G X v s i 8 W 6 q P z 5 V 4 t L X Q 7 e S X v / w d Q S w E C L Q A U A A I A C A B O U F N c v 7 U 2 i 6 Y A A A D 3 A A A A E g A A A A A A A A A A A A A A A A A A A A A A Q 2 9 u Z m l n L 1 B h Y 2 t h Z 2 U u e G 1 s U E s B A i 0 A F A A C A A g A T l B T X A / K 6 a u k A A A A 6 Q A A A B M A A A A A A A A A A A A A A A A A 8 g A A A F t D b 2 5 0 Z W 5 0 X 1 R 5 c G V z X S 5 4 b W x Q S w E C L Q A U A A I A C A B O U F N c a 1 6 5 S h Q F A A A m R w A A E w A A A A A A A A A A A A A A A A D j A Q A A R m 9 y b X V s Y X M v U 2 V j d G l v b j E u b V B L B Q Y A A A A A A w A D A M I A A A B E B 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L c Q A A A A A A A G l x 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f Q 2 9 t c H R l d X J f M j w v S X R l b V B h d G g + P C 9 J d G V t T G 9 j Y X R p b 2 4 + P F N 0 Y W J s Z U V u d H J p Z X M + P E V u d H J 5 I F R 5 c G U 9 I k l z U H J p d m F 0 Z S I g V m F s d W U 9 I m w w I i A v P j x F b n R y e S B U e X B l P S J G a W x s R W 5 h Y m x l Z C I g V m F s d W U 9 I m w w I i A v P j x F b n R y e S B U e X B l P S J S Z X N 1 b H R U e X B l I i B W Y W x 1 Z T 0 i c 1 R h Y m x l I i A v P j x F b n R y e S B U e X B l P S J G a W x s Z W R D b 2 1 w b G V 0 Z V J l c 3 V s d F R v V 2 9 y a 3 N o Z W V 0 I i B W Y W x 1 Z T 0 i b D A i I C 8 + P E V u d H J 5 I F R 5 c G U 9 I k Z p b G x P Y m p l Y 3 R U e X B l I i B W Y W x 1 Z T 0 i c 0 N v b m 5 l Y 3 R p b 2 5 P b m x 5 I i A v P j x F b n R y e S B U e X B l P S J G a W x s V G 9 E Y X R h T W 9 k Z W x F b m F i b G V k I i B W Y W x 1 Z T 0 i b D A i I C 8 + P E V u d H J 5 I F R 5 c G U 9 I k 5 h d m l n Y X R p b 2 5 T d G V w T m F t Z S I g V m F s d W U 9 I n N O Y X Z p Z 2 F 0 a W 9 u I i A v P j x F b n R y e S B U e X B l P S J G a W x s U 3 R h d H V z I i B W Y W x 1 Z T 0 i c 0 N v b X B s Z X R l I i A v P j x F b n R y e S B U e X B l P S J C d W Z m Z X J O Z X h 0 U m V m c m V z a C I g V m F s d W U 9 I m w x I i A v P j x F b n R y e S B U e X B l P S J G a W x s T G F z d F V w Z G F 0 Z W Q i I F Z h b H V l P S J k M j A y N S 0 x M S 0 x N F Q x N T o z N T o w N C 4 z N z g z N z Q 0 W i I g L z 4 8 R W 5 0 c n k g V H l w Z T 0 i R m l s b E V y c m 9 y Q 2 9 k Z S I g V m F s d W U 9 I n N V b m t u b 3 d u I i A v P j x F b n R y e S B U e X B l P S J B Z G R l Z F R v R G F 0 Y U 1 v Z G V s I i B W Y W x 1 Z T 0 i b D A i I C 8 + P C 9 T d G F i b G V F b n R y a W V z P j w v S X R l b T 4 8 S X R l b T 4 8 S X R l b U x v Y 2 F 0 a W 9 u P j x J d G V t V H l w Z T 5 G b 3 J t d W x h P C 9 J d G V t V H l w Z T 4 8 S X R l b V B h d G g + U 2 V j d G l v b j E v V G F i X 0 N v b X B 0 Z X V y X z 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R m l s b G V k Q 2 9 t c G x l d G V S Z X N 1 b H R U b 1 d v c m t z a G V l d C I g V m F s d W U 9 I m w w I i A v P j x F b n R y e S B U e X B l P S J G a W x s R X J y b 3 J D b 2 R l I i B W Y W x 1 Z T 0 i c 1 V u a 2 5 v d 2 4 i I C 8 + P E V u d H J 5 I F R 5 c G U 9 I k J 1 Z m Z l c k 5 l e H R S Z W Z y Z X N o I i B W Y W x 1 Z T 0 i b D E i I C 8 + P E V u d H J 5 I F R 5 c G U 9 I k F k Z G V k V G 9 E Y X R h T W 9 k Z W w i I F Z h b H V l P S J s M C I g L z 4 8 R W 5 0 c n k g V H l w Z T 0 i T m F 2 a W d h d G l v b l N 0 Z X B O Y W 1 l I i B W Y W x 1 Z T 0 i c 0 5 h d m l n Y X R p b 2 4 i I C 8 + P E V u d H J 5 I F R 5 c G U 9 I k Z p b G x M Y X N 0 V X B k Y X R l Z C I g V m F s d W U 9 I m Q y M D I 1 L T E x L T E 0 V D E 1 O j M 1 O j A 0 L j Q w O T c 1 M j h a I i A v P j x F b n R y e S B U e X B l P S J G a W x s U 3 R h d H V z I i B W Y W x 1 Z T 0 i c 0 N v b X B s Z X R l I i A v P j w v U 3 R h Y m x l R W 5 0 c m l l c z 4 8 L 0 l 0 Z W 0 + P E l 0 Z W 0 + P E l 0 Z W 1 M b 2 N h d G l v b j 4 8 S X R l b V R 5 c G U + R m 9 y b X V s Y T w v S X R l b V R 5 c G U + P E l 0 Z W 1 Q Y X R o P l N l Y 3 R p b 2 4 x L 1 R h Y l 9 D b 2 1 w d G V 1 c l 8 z L 1 N v d X J j Z T w v S X R l b V B h d G g + P C 9 J d G V t T G 9 j Y X R p b 2 4 + P F N 0 Y W J s Z U V u d H J p Z X M g L z 4 8 L 0 l 0 Z W 0 + P E l 0 Z W 0 + P E l 0 Z W 1 M b 2 N h d G l v b j 4 8 S X R l b V R 5 c G U + R m 9 y b X V s Y T w v S X R l b V R 5 c G U + P E l 0 Z W 1 Q Y X R o P l N l Y 3 R p b 2 4 x L 1 R h Y l 9 D b 2 1 w d G V 1 c l 8 z L 1 R 5 c G U l M j B t b 2 R p Z m k l Q z M l Q T k 8 L 0 l 0 Z W 1 Q Y X R o P j w v S X R l b U x v Y 2 F 0 a W 9 u P j x T d G F i b G V F b n R y a W V z I C 8 + P C 9 J d G V t P j x J d G V t P j x J d G V t T G 9 j Y X R p b 2 4 + P E l 0 Z W 1 U e X B l P k Z v c m 1 1 b G E 8 L 0 l 0 Z W 1 U e X B l P j x J d G V t U G F 0 a D 5 T Z W N 0 a W 9 u M S 9 U Y W J f Y 2 9 u Y 2 F 0 P C 9 J d G V t U G F 0 a D 4 8 L 0 l 0 Z W 1 M b 2 N h d G l v b j 4 8 U 3 R h Y m x l R W 5 0 c m l l c z 4 8 R W 5 0 c n k g V H l w Z T 0 i S X N Q c m l 2 Y X R l I i B W Y W x 1 Z T 0 i b D A i I C 8 + P E V u d H J 5 I F R 5 c G U 9 I k Z p b G x F b m F i b G V k I i B W Y W x 1 Z T 0 i b D A i I C 8 + P E V u d H J 5 I F R 5 c G U 9 I k Z p b G x P Y m p l Y 3 R U e X B l I i B W Y W x 1 Z T 0 i c 1 B p d m 9 0 V G F i b G U 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X V l c n l J R C I g V m F s d W U 9 I n M y O D A 4 Z j h m N C 0 z M G I 2 L T R h Y W Q t O W F m O C 0 2 M z A y O T d m M W J i Y W Q i I C 8 + P E V u d H J 5 I F R 5 c G U 9 I l B p d m 9 0 T 2 J q Z W N 0 T m F t Z S I g V m F s d W U 9 I n N U Q 0 R f Q 2 9 u c 2 8 h V E N E X 0 N v b n N v X 1 h f Y W 5 u Z W U i I C 8 + P E V u d H J 5 I F R 5 c G U 9 I k Z p b G x M Y X N 0 V X B k Y X R l Z C I g V m F s d W U 9 I m Q y M D I 2 L T A y L T E 5 V D A 5 O j A y O j E 5 L j M z M T M 1 M z h a I i A v P j x F b n R y e S B U e X B l P S J G a W x s Q 2 9 s d W 1 u V H l w Z X M i I F Z h b H V l P S J z Q U F r R k J R T U Q i I C 8 + P E V u d H J 5 I F R 5 c G U 9 I k Z p b G x F c n J v c k N v d W 5 0 I i B W Y W x 1 Z T 0 i b D A i I C 8 + P E V u d H J 5 I F R 5 c G U 9 I k Z p b G x D b 2 x 1 b W 5 O Y W 1 l c y I g V m F s d W U 9 I n N b J n F 1 b 3 Q 7 Q 2 9 t c H R l d X I m c X V v d D s s J n F 1 b 3 Q 7 R G F 0 Z X M m c X V v d D s s J n F 1 b 3 Q 7 R G V t Y W 5 k Z V 9 q b 3 V y J n F 1 b 3 Q 7 L C Z x d W 9 0 O 0 N v d X R f a m 9 1 c i Z x d W 9 0 O y w m c X V v d D t E S l V f Y 2 h h d W Z m Y W d p c 3 R l J n F 1 b 3 Q 7 L C Z x d W 9 0 O 0 R K V V 9 j b G l t Y X R p Y 2 l l b i Z x d W 9 0 O 1 0 i I C 8 + P E V u d H J 5 I F R 5 c G U 9 I k Z p b G x T d G F 0 d X M i I F Z h b H V l P S J z Q 2 9 t c G x l d G U i I C 8 + P E V u d H J 5 I F R 5 c G U 9 I k Z p b G x F c n J v c k N v Z G U i I F Z h b H V l P S J z V W 5 r b m 9 3 b i I g L z 4 8 R W 5 0 c n k g V H l w Z T 0 i R m l s b E N v d W 5 0 I i B W Y W x 1 Z T 0 i b D E 4 M D c 4 I i A v P j x F b n R y e S B U e X B l P S J S Z W x h d G l v b n N o a X B J b m Z v Q 2 9 u d G F p b m V y I i B W Y W x 1 Z T 0 i c 3 s m c X V v d D t j b 2 x 1 b W 5 D b 3 V u d C Z x d W 9 0 O z o 2 L C Z x d W 9 0 O 2 t l e U N v b H V t b k 5 h b W V z J n F 1 b 3 Q 7 O l t d L C Z x d W 9 0 O 3 F 1 Z X J 5 U m V s Y X R p b 2 5 z a G l w c y Z x d W 9 0 O z p b X S w m c X V v d D t j b 2 x 1 b W 5 J Z G V u d G l 0 a W V z J n F 1 b 3 Q 7 O l s m c X V v d D t T Z W N 0 a W 9 u M S 9 U Y W J f Y 2 9 u Y 2 F 0 L 1 J l c X X D q n R l I G F q b 3 V 0 w 6 l l L n t D b 2 1 w d G V 1 c i w w f S Z x d W 9 0 O y w m c X V v d D t T Z W N 0 a W 9 u M S 9 U Y W J f Y 2 9 u Y 2 F 0 L 1 R 5 c G U g b W 9 k a W Z p w 6 k x L n t E Y X R l c y w x f S Z x d W 9 0 O y w m c X V v d D t T Z W N 0 a W 9 u M S 9 U Y W J f Y 2 9 u Y 2 F 0 L 1 J l c X X D q n R l I G F q b 3 V 0 w 6 l l L n t E Z W 1 h b m R l X 2 p v d X I s M n 0 m c X V v d D s s J n F 1 b 3 Q 7 U 2 V j d G l v b j E v V G F i X 2 N v b m N h d C 9 S Z X F 1 w 6 p 0 Z S B h a m 9 1 d M O p Z S 5 7 Q 2 9 1 d F 9 q b 3 V y L D N 9 J n F 1 b 3 Q 7 L C Z x d W 9 0 O 1 N l Y 3 R p b 2 4 x L 1 R h Y l 9 j b 2 5 j Y X Q v U m V x d c O q d G U g Y W p v d X T D q W U u e 0 R K V V 9 j a G F 1 Z m Z h Z 2 l z d G U s N H 0 m c X V v d D s s J n F 1 b 3 Q 7 U 2 V j d G l v b j E v V G F i X 2 N v b m N h d C 9 S Z X F 1 w 6 p 0 Z S B h a m 9 1 d M O p Z S 5 7 R E p V X 2 N s a W 1 h d G l j a W V u L D V 9 J n F 1 b 3 Q 7 X S w m c X V v d D t D b 2 x 1 b W 5 D b 3 V u d C Z x d W 9 0 O z o 2 L C Z x d W 9 0 O 0 t l e U N v b H V t b k 5 h b W V z J n F 1 b 3 Q 7 O l t d L C Z x d W 9 0 O 0 N v b H V t b k l k Z W 5 0 a X R p Z X M m c X V v d D s 6 W y Z x d W 9 0 O 1 N l Y 3 R p b 2 4 x L 1 R h Y l 9 j b 2 5 j Y X Q v U m V x d c O q d G U g Y W p v d X T D q W U u e 0 N v b X B 0 Z X V y L D B 9 J n F 1 b 3 Q 7 L C Z x d W 9 0 O 1 N l Y 3 R p b 2 4 x L 1 R h Y l 9 j b 2 5 j Y X Q v V H l w Z S B t b 2 R p Z m n D q T E u e 0 R h d G V z L D F 9 J n F 1 b 3 Q 7 L C Z x d W 9 0 O 1 N l Y 3 R p b 2 4 x L 1 R h Y l 9 j b 2 5 j Y X Q v U m V x d c O q d G U g Y W p v d X T D q W U u e 0 R l b W F u Z G V f a m 9 1 c i w y f S Z x d W 9 0 O y w m c X V v d D t T Z W N 0 a W 9 u M S 9 U Y W J f Y 2 9 u Y 2 F 0 L 1 J l c X X D q n R l I G F q b 3 V 0 w 6 l l L n t D b 3 V 0 X 2 p v d X I s M 3 0 m c X V v d D s s J n F 1 b 3 Q 7 U 2 V j d G l v b j E v V G F i X 2 N v b m N h d C 9 S Z X F 1 w 6 p 0 Z S B h a m 9 1 d M O p Z S 5 7 R E p V X 2 N o Y X V m Z m F n a X N 0 Z S w 0 f S Z x d W 9 0 O y w m c X V v d D t T Z W N 0 a W 9 u M S 9 U Y W J f Y 2 9 u Y 2 F 0 L 1 J l c X X D q n R l I G F q b 3 V 0 w 6 l l L n t E S l V f Y 2 x p b W F 0 a W N p Z W 4 s N X 0 m c X V v d D t d L C Z x d W 9 0 O 1 J l b G F 0 a W 9 u c 2 h p c E l u Z m 8 m c X V v d D s 6 W 1 1 9 I i A v P j x F b n R y e S B U e X B l P S J B Z G R l Z F R v R G F 0 Y U 1 v Z G V s I i B W Y W x 1 Z T 0 i b D E i I C 8 + P C 9 T d G F i b G V F b n R y a W V z P j w v S X R l b T 4 8 S X R l b T 4 8 S X R l b U x v Y 2 F 0 a W 9 u P j x J d G V t V H l w Z T 5 G b 3 J t d W x h P C 9 J d G V t V H l w Z T 4 8 S X R l b V B h d G g + U 2 V j d G l v b j E v V G F i X 2 N v b m N h d C 9 T b 3 V y Y 2 U 8 L 0 l 0 Z W 1 Q Y X R o P j w v S X R l b U x v Y 2 F 0 a W 9 u P j x T d G F i b G V F b n R y a W V z I C 8 + P C 9 J d G V t P j x J d G V t P j x J d G V t T G 9 j Y X R p b 2 4 + P E l 0 Z W 1 U e X B l P k Z v c m 1 1 b G E 8 L 0 l 0 Z W 1 U e X B l P j x J d G V t U G F 0 a D 5 T Z W N 0 a W 9 u M S 9 U Y W J f Y 2 9 u Y 2 F 0 L 1 R 5 c G U l M j B t b 2 R p Z m k l Q z M l Q T k 8 L 0 l 0 Z W 1 Q Y X R o P j w v S X R l b U x v Y 2 F 0 a W 9 u P j x T d G F i b G V F b n R y a W V z I C 8 + P C 9 J d G V t P j x J d G V t P j x J d G V t T G 9 j Y X R p b 2 4 + P E l 0 Z W 1 U e X B l P k Z v c m 1 1 b G E 8 L 0 l 0 Z W 1 U e X B l P j x J d G V t U G F 0 a D 5 T Z W N 0 a W 9 u M S 9 U Y W J f Q 2 9 t c H R l d X J f 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T G F z d F V w Z G F 0 Z W Q i I F Z h b H V l P S J k M j A y N S 0 x M S 0 x N F Q x N T o z N T o w N C 4 0 M z k y M D M 4 W i I g L z 4 8 R W 5 0 c n k g V H l w Z T 0 i R m l s b E N v b H V t b l R 5 c G V z I i B W Y W x 1 Z T 0 i c 0 J 3 Y 0 R B d 0 1 E Q X d N R E F B P T 0 i I C 8 + P E V u d H J 5 I F R 5 c G U 9 I k Z p b G x F c n J v c k N v Z G U i I F Z h b H V l P S J z V W 5 r b m 9 3 b i I g L z 4 8 R W 5 0 c n k g V H l w Z T 0 i Q W R k Z W R U b 0 R h d G F N b 2 R l b C I g V m F s d W U 9 I m w w I i A v P j x F b n R y e S B U e X B l P S J G a W x s Q 2 9 s d W 1 u T m F t Z X M i I F Z h b H V l P S J z W y Z x d W 9 0 O 0 T D q W J 1 d C B k Z S B w w 6 l y a W 9 k Z S Z x d W 9 0 O y w m c X V v d D t G a W 4 g Z G U g c M O p c m l v Z G U m c X V v d D s s J n F 1 b 3 Q 7 U X V h b n R p d M O p J n F 1 b 3 Q 7 L C Z x d W 9 0 O 0 1 v b n R h b n Q m c X V v d D s s J n F 1 b 3 Q 7 R G V s d G E g S m 9 1 c i Z x d W 9 0 O y w m c X V v d D t E Z W 1 h b m R l X 2 p v d X I m c X V v d D s s J n F 1 b 3 Q 7 Q 2 9 1 d F 9 q b 3 V y J n F 1 b 3 Q 7 L C Z x d W 9 0 O 0 l u Z G V 4 J n F 1 b 3 Q 7 L C Z x d W 9 0 O 0 N v b n N v L 0 p v d X I m c X V v d D s s J n F 1 b 3 Q 7 Q 2 9 t b W V u d G F p c m V z J n F 1 b 3 Q 7 X S 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1 R h Y l 9 D b 2 1 w d G V 1 c l 8 0 L 1 R 5 c G U g b W 9 k a W Z p w 6 k u e 0 T D q W J 1 d C B k Z S B w w 6 l y a W 9 k Z S w w f S Z x d W 9 0 O y w m c X V v d D t T Z W N 0 a W 9 u M S 9 U Y W J f Q 2 9 t c H R l d X J f N C 9 U e X B l I G 1 v Z G l m a c O p L n t G a W 4 g Z G U g c M O p c m l v Z G U s M X 0 m c X V v d D s s J n F 1 b 3 Q 7 U 2 V j d G l v b j E v V G F i X 0 N v b X B 0 Z X V y X z Q v V H l w Z S B t b 2 R p Z m n D q S 5 7 U X V h b n R p d M O p L D J 9 J n F 1 b 3 Q 7 L C Z x d W 9 0 O 1 N l Y 3 R p b 2 4 x L 1 R h Y l 9 D b 2 1 w d G V 1 c l 8 0 L 1 R 5 c G U g b W 9 k a W Z p w 6 k u e 0 1 v b n R h b n Q s M 3 0 m c X V v d D s s J n F 1 b 3 Q 7 U 2 V j d G l v b j E v V G F i X 0 N v b X B 0 Z X V y X z Q v V H l w Z S B t b 2 R p Z m n D q S 5 7 R G V s d G E g S m 9 1 c i w 0 f S Z x d W 9 0 O y w m c X V v d D t T Z W N 0 a W 9 u M S 9 U Y W J f Q 2 9 t c H R l d X J f N C 9 U e X B l I G 1 v Z G l m a c O p L n t E Z W 1 h b m R l X 2 p v d X I s N X 0 m c X V v d D s s J n F 1 b 3 Q 7 U 2 V j d G l v b j E v V G F i X 0 N v b X B 0 Z X V y X z Q v V H l w Z S B t b 2 R p Z m n D q S 5 7 Q 2 9 1 d F 9 q b 3 V y L D Z 9 J n F 1 b 3 Q 7 L C Z x d W 9 0 O 1 N l Y 3 R p b 2 4 x L 1 R h Y l 9 D b 2 1 w d G V 1 c l 8 0 L 1 R 5 c G U g b W 9 k a W Z p w 6 k u e 0 l u Z G V 4 L D d 9 J n F 1 b 3 Q 7 L C Z x d W 9 0 O 1 N l Y 3 R p b 2 4 x L 1 R h Y l 9 D b 2 1 w d G V 1 c l 8 0 L 1 R 5 c G U g b W 9 k a W Z p w 6 k u e 0 N v b n N v L 0 p v d X I s O H 0 m c X V v d D s s J n F 1 b 3 Q 7 U 2 V j d G l v b j E v V G F i X 0 N v b X B 0 Z X V y X z Q v V H l w Z S B t b 2 R p Z m n D q S 5 7 Q 2 9 t b W V u d G F p c m V z L D l 9 J n F 1 b 3 Q 7 X S w m c X V v d D t D b 2 x 1 b W 5 D b 3 V u d C Z x d W 9 0 O z o x M C w m c X V v d D t L Z X l D b 2 x 1 b W 5 O Y W 1 l c y Z x d W 9 0 O z p b X S w m c X V v d D t D b 2 x 1 b W 5 J Z G V u d G l 0 a W V z J n F 1 b 3 Q 7 O l s m c X V v d D t T Z W N 0 a W 9 u M S 9 U Y W J f Q 2 9 t c H R l d X J f N C 9 U e X B l I G 1 v Z G l m a c O p L n t E w 6 l i d X Q g Z G U g c M O p c m l v Z G U s M H 0 m c X V v d D s s J n F 1 b 3 Q 7 U 2 V j d G l v b j E v V G F i X 0 N v b X B 0 Z X V y X z Q v V H l w Z S B t b 2 R p Z m n D q S 5 7 R m l u I G R l I H D D q X J p b 2 R l L D F 9 J n F 1 b 3 Q 7 L C Z x d W 9 0 O 1 N l Y 3 R p b 2 4 x L 1 R h Y l 9 D b 2 1 w d G V 1 c l 8 0 L 1 R 5 c G U g b W 9 k a W Z p w 6 k u e 1 F 1 Y W 5 0 a X T D q S w y f S Z x d W 9 0 O y w m c X V v d D t T Z W N 0 a W 9 u M S 9 U Y W J f Q 2 9 t c H R l d X J f N C 9 U e X B l I G 1 v Z G l m a c O p L n t N b 2 5 0 Y W 5 0 L D N 9 J n F 1 b 3 Q 7 L C Z x d W 9 0 O 1 N l Y 3 R p b 2 4 x L 1 R h Y l 9 D b 2 1 w d G V 1 c l 8 0 L 1 R 5 c G U g b W 9 k a W Z p w 6 k u e 0 R l b H R h I E p v d X I s N H 0 m c X V v d D s s J n F 1 b 3 Q 7 U 2 V j d G l v b j E v V G F i X 0 N v b X B 0 Z X V y X z Q v V H l w Z S B t b 2 R p Z m n D q S 5 7 R G V t Y W 5 k Z V 9 q b 3 V y L D V 9 J n F 1 b 3 Q 7 L C Z x d W 9 0 O 1 N l Y 3 R p b 2 4 x L 1 R h Y l 9 D b 2 1 w d G V 1 c l 8 0 L 1 R 5 c G U g b W 9 k a W Z p w 6 k u e 0 N v d X R f a m 9 1 c i w 2 f S Z x d W 9 0 O y w m c X V v d D t T Z W N 0 a W 9 u M S 9 U Y W J f Q 2 9 t c H R l d X J f N C 9 U e X B l I G 1 v Z G l m a c O p L n t J b m R l e C w 3 f S Z x d W 9 0 O y w m c X V v d D t T Z W N 0 a W 9 u M S 9 U Y W J f Q 2 9 t c H R l d X J f N C 9 U e X B l I G 1 v Z G l m a c O p L n t D b 2 5 z b y 9 K b 3 V y L D h 9 J n F 1 b 3 Q 7 L C Z x d W 9 0 O 1 N l Y 3 R p b 2 4 x L 1 R h Y l 9 D b 2 1 w d G V 1 c l 8 0 L 1 R 5 c G U g b W 9 k a W Z p w 6 k u e 0 N v b W 1 l b n R h a X J l c y w 5 f S Z x d W 9 0 O 1 0 s J n F 1 b 3 Q 7 U m V s Y X R p b 2 5 z a G l w S W 5 m b y Z x d W 9 0 O z p b X X 0 i I C 8 + P C 9 T d G F i b G V F b n R y a W V z P j w v S X R l b T 4 8 S X R l b T 4 8 S X R l b U x v Y 2 F 0 a W 9 u P j x J d G V t V H l w Z T 5 G b 3 J t d W x h P C 9 J d G V t V H l w Z T 4 8 S X R l b V B h d G g + U 2 V j d G l v b j E v V G F i X 0 N v b X B 0 Z X V y X z Q v U 2 9 1 c m N l P C 9 J d G V t U G F 0 a D 4 8 L 0 l 0 Z W 1 M b 2 N h d G l v b j 4 8 U 3 R h Y m x l R W 5 0 c m l l c y A v P j w v S X R l b T 4 8 S X R l b T 4 8 S X R l b U x v Y 2 F 0 a W 9 u P j x J d G V t V H l w Z T 5 G b 3 J t d W x h P C 9 J d G V t V H l w Z T 4 8 S X R l b V B h d G g + U 2 V j d G l v b j E v V G F i X 0 N v b X B 0 Z X V y X z Q v V H l w Z S U y M G 1 v Z G l m a S V D M y V B O T w v S X R l b V B h d G g + P C 9 J d G V t T G 9 j Y X R p b 2 4 + P F N 0 Y W J s Z U V u d H J p Z X M g L z 4 8 L 0 l 0 Z W 0 + P E l 0 Z W 0 + P E l 0 Z W 1 M b 2 N h d G l v b j 4 8 S X R l b V R 5 c G U + R m 9 y b X V s Y T w v S X R l b V R 5 c G U + P E l 0 Z W 1 Q Y X R o P l N l Y 3 R p b 2 4 x L 1 R h Y l 9 D b 2 1 w d G V 1 c l 8 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Z p b G x l Z E N v b X B s Z X R l U m V z d W x 0 V G 9 X b 3 J r c 2 h l Z X Q i I F Z h b H V l P S J s M C I g L z 4 8 R W 5 0 c n k g V H l w Z T 0 i R m l s b E V y c m 9 y Q 2 9 k Z S I g V m F s d W U 9 I n N V b m t u b 3 d u I i A v P j x F b n R y e S B U e X B l P S J C d W Z m Z X J O Z X h 0 U m V m c m V z a C I g V m F s d W U 9 I m w x I i A v P j x F b n R y e S B U e X B l P S J B Z G R l Z F R v R G F 0 Y U 1 v Z G V s I i B W Y W x 1 Z T 0 i b D A i I C 8 + P E V u d H J 5 I F R 5 c G U 9 I k 5 h d m l n Y X R p b 2 5 T d G V w T m F t Z S I g V m F s d W U 9 I n N O Y X Z p Z 2 F 0 a W 9 u I i A v P j x F b n R y e S B U e X B l P S J G a W x s T G F z d F V w Z G F 0 Z W Q i I F Z h b H V l P S J k M j A y N S 0 x M S 0 x N F Q x N T o z N T o w N C 4 0 N z I 3 O D M w W i I g L z 4 8 R W 5 0 c n k g V H l w Z T 0 i R m l s b F N 0 Y X R 1 c y I g V m F s d W U 9 I n N D b 2 1 w b G V 0 Z S I g L z 4 8 L 1 N 0 Y W J s Z U V u d H J p Z X M + P C 9 J d G V t P j x J d G V t P j x J d G V t T G 9 j Y X R p b 2 4 + P E l 0 Z W 1 U e X B l P k Z v c m 1 1 b G E 8 L 0 l 0 Z W 1 U e X B l P j x J d G V t U G F 0 a D 5 T Z W N 0 a W 9 u M S 9 U Y W J f Q 2 9 t c H R l d X J f N S 9 T b 3 V y Y 2 U 8 L 0 l 0 Z W 1 Q Y X R o P j w v S X R l b U x v Y 2 F 0 a W 9 u P j x T d G F i b G V F b n R y a W V z I C 8 + P C 9 J d G V t P j x J d G V t P j x J d G V t T G 9 j Y X R p b 2 4 + P E l 0 Z W 1 U e X B l P k Z v c m 1 1 b G E 8 L 0 l 0 Z W 1 U e X B l P j x J d G V t U G F 0 a D 5 T Z W N 0 a W 9 u M S 9 U Y W J f Q 2 9 t c H R l d X J f N S 9 U e X B l J T I w b W 9 k a W Z p J U M z J U E 5 P C 9 J d G V t U G F 0 a D 4 8 L 0 l 0 Z W 1 M b 2 N h d G l v b j 4 8 U 3 R h Y m x l R W 5 0 c m l l c y A v P j w v S X R l b T 4 8 S X R l b T 4 8 S X R l b U x v Y 2 F 0 a W 9 u P j x J d G V t V H l w Z T 5 G b 3 J t d W x h P C 9 J d G V t V H l w Z T 4 8 S X R l b V B h d G g + U 2 V j d G l v b j E v V G F i X 0 N v b X B 0 Z X V y X z Y 8 L 0 l 0 Z W 1 Q Y X R o P j w v S X R l b U x v Y 2 F 0 a W 9 u P j x T d G F i b G V F b n R y a W V z P j x F b n R y e S B U e X B l P S J J c 1 B y a X Z h d G U i I F Z h b H V l P S J s M C I g L z 4 8 R W 5 0 c n k g V H l w Z T 0 i R m l s b E V u Y W J s Z W Q i I F Z h b H V l P S J s M C I g L z 4 8 R W 5 0 c n k g V H l w Z T 0 i U m V z d W x 0 V H l w Z S I g V m F s d W U 9 I n N U Y W J s Z S I g L z 4 8 R W 5 0 c n k g V H l w Z T 0 i R m l s b G V k Q 2 9 t c G x l d G V S Z X N 1 b H R U b 1 d v c m t z a G V l d C I g V m F s d W U 9 I m w w I i A v P j x F b n R y e S B U e X B l P S J G a W x s T 2 J q Z W N 0 V H l w Z S I g V m F s d W U 9 I n N D b 2 5 u Z W N 0 a W 9 u T 2 5 s e S I g L z 4 8 R W 5 0 c n k g V H l w Z T 0 i R m l s b F R v R G F 0 Y U 1 v Z G V s R W 5 h Y m x l Z C I g V m F s d W U 9 I m w w I i A v P j x F b n R y e S B U e X B l P S J G a W x s R X J y b 3 J D b 2 R l I i B W Y W x 1 Z T 0 i c 1 V u a 2 5 v d 2 4 i I C 8 + P E V u d H J 5 I F R 5 c G U 9 I k J 1 Z m Z l c k 5 l e H R S Z W Z y Z X N o I i B W Y W x 1 Z T 0 i b D E i I C 8 + P E V u d H J 5 I F R 5 c G U 9 I k F k Z G V k V G 9 E Y X R h T W 9 k Z W w i I F Z h b H V l P S J s M C I g L z 4 8 R W 5 0 c n k g V H l w Z T 0 i T m F 2 a W d h d G l v b l N 0 Z X B O Y W 1 l I i B W Y W x 1 Z T 0 i c 0 5 h d m l n Y X R p b 2 4 i I C 8 + P E V u d H J 5 I F R 5 c G U 9 I k Z p b G x M Y X N 0 V X B k Y X R l Z C I g V m F s d W U 9 I m Q y M D I 1 L T E x L T E 0 V D E 1 O j M 1 O j A 0 L j U y N D c 3 M T N a I i A v P j x F b n R y e S B U e X B l P S J G a W x s U 3 R h d H V z I i B W Y W x 1 Z T 0 i c 0 N v b X B s Z X R l I i A v P j w v U 3 R h Y m x l R W 5 0 c m l l c z 4 8 L 0 l 0 Z W 0 + P E l 0 Z W 0 + P E l 0 Z W 1 M b 2 N h d G l v b j 4 8 S X R l b V R 5 c G U + R m 9 y b X V s Y T w v S X R l b V R 5 c G U + P E l 0 Z W 1 Q Y X R o P l N l Y 3 R p b 2 4 x L 1 R h Y l 9 D b 2 1 w d G V 1 c l 8 2 L 1 N v d X J j Z T w v S X R l b V B h d G g + P C 9 J d G V t T G 9 j Y X R p b 2 4 + P F N 0 Y W J s Z U V u d H J p Z X M g L z 4 8 L 0 l 0 Z W 0 + P E l 0 Z W 0 + P E l 0 Z W 1 M b 2 N h d G l v b j 4 8 S X R l b V R 5 c G U + R m 9 y b X V s Y T w v S X R l b V R 5 c G U + P E l 0 Z W 1 Q Y X R o P l N l Y 3 R p b 2 4 x L 1 R h Y l 9 D b 2 1 w d G V 1 c l 8 2 L 1 R 5 c G U l M j B t b 2 R p Z m k l Q z M l Q T k 8 L 0 l 0 Z W 1 Q Y X R o P j w v S X R l b U x v Y 2 F 0 a W 9 u P j x T d G F i b G V F b n R y a W V z I C 8 + P C 9 J d G V t P j x J d G V t P j x J d G V t T G 9 j Y X R p b 2 4 + P E l 0 Z W 1 U e X B l P k Z v c m 1 1 b G E 8 L 0 l 0 Z W 1 U e X B l P j x J d G V t U G F 0 a D 5 T Z W N 0 a W 9 u M S 9 U Y W J f Q 2 9 t c H R l d X J f 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G a W x s Z W R D b 2 1 w b G V 0 Z V J l c 3 V s d F R v V 2 9 y a 3 N o Z W V 0 I i B W Y W x 1 Z T 0 i b D A i I C 8 + P E V u d H J 5 I F R 5 c G U 9 I k Z p b G x F c n J v c k N v Z G U i I F Z h b H V l P S J z V W 5 r b m 9 3 b i I g L z 4 8 R W 5 0 c n k g V H l w Z T 0 i Q n V m Z m V y T m V 4 d F J l Z n J l c 2 g i I F Z h b H V l P S J s M S I g L z 4 8 R W 5 0 c n k g V H l w Z T 0 i Q W R k Z W R U b 0 R h d G F N b 2 R l b C I g V m F s d W U 9 I m w w I i A v P j x F b n R y e S B U e X B l P S J O Y X Z p Z 2 F 0 a W 9 u U 3 R l c E 5 h b W U i I F Z h b H V l P S J z T m F 2 a W d h d G l v b i I g L z 4 8 R W 5 0 c n k g V H l w Z T 0 i R m l s b E x h c 3 R V c G R h d G V k I i B W Y W x 1 Z T 0 i Z D I w M j U t M T E t M T R U M T U 6 M z U 6 M D Q u N T Y 3 O D U y M V o i I C 8 + P E V u d H J 5 I F R 5 c G U 9 I k Z p b G x T d G F 0 d X M i I F Z h b H V l P S J z Q 2 9 t c G x l d G U i I C 8 + P C 9 T d G F i b G V F b n R y a W V z P j w v S X R l b T 4 8 S X R l b T 4 8 S X R l b U x v Y 2 F 0 a W 9 u P j x J d G V t V H l w Z T 5 G b 3 J t d W x h P C 9 J d G V t V H l w Z T 4 8 S X R l b V B h d G g + U 2 V j d G l v b j E v V G F i X 0 N v b X B 0 Z X V y X z c v U 2 9 1 c m N l P C 9 J d G V t U G F 0 a D 4 8 L 0 l 0 Z W 1 M b 2 N h d G l v b j 4 8 U 3 R h Y m x l R W 5 0 c m l l c y A v P j w v S X R l b T 4 8 S X R l b T 4 8 S X R l b U x v Y 2 F 0 a W 9 u P j x J d G V t V H l w Z T 5 G b 3 J t d W x h P C 9 J d G V t V H l w Z T 4 8 S X R l b V B h d G g + U 2 V j d G l v b j E v V G F i X 0 N v b X B 0 Z X V y X z c v V H l w Z S U y M G 1 v Z G l m a S V D M y V B O T w v S X R l b V B h d G g + P C 9 J d G V t T G 9 j Y X R p b 2 4 + P F N 0 Y W J s Z U V u d H J p Z X M g L z 4 8 L 0 l 0 Z W 0 + P E l 0 Z W 0 + P E l 0 Z W 1 M b 2 N h d G l v b j 4 8 S X R l b V R 5 c G U + R m 9 y b X V s Y T w v S X R l b V R 5 c G U + P E l 0 Z W 1 Q Y X R o P l N l Y 3 R p b 2 4 x L 1 R h Y l 9 D b 2 1 w d G V 1 c l 8 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Z p b G x l Z E N v b X B s Z X R l U m V z d W x 0 V G 9 X b 3 J r c 2 h l Z X Q i I F Z h b H V l P S J s M C I g L z 4 8 R W 5 0 c n k g V H l w Z T 0 i R m l s b E V y c m 9 y Q 2 9 k Z S I g V m F s d W U 9 I n N V b m t u b 3 d u I i A v P j x F b n R y e S B U e X B l P S J C d W Z m Z X J O Z X h 0 U m V m c m V z a C I g V m F s d W U 9 I m w x I i A v P j x F b n R y e S B U e X B l P S J B Z G R l Z F R v R G F 0 Y U 1 v Z G V s I i B W Y W x 1 Z T 0 i b D A i I C 8 + P E V u d H J 5 I F R 5 c G U 9 I k 5 h d m l n Y X R p b 2 5 T d G V w T m F t Z S I g V m F s d W U 9 I n N O Y X Z p Z 2 F 0 a W 9 u I i A v P j x F b n R y e S B U e X B l P S J G a W x s T G F z d F V w Z G F 0 Z W Q i I F Z h b H V l P S J k M j A y N S 0 x M S 0 x N F Q x N T o z N T o w N C 4 2 M D g x N T E y W i I g L z 4 8 R W 5 0 c n k g V H l w Z T 0 i R m l s b F N 0 Y X R 1 c y I g V m F s d W U 9 I n N D b 2 1 w b G V 0 Z S I g L z 4 8 L 1 N 0 Y W J s Z U V u d H J p Z X M + P C 9 J d G V t P j x J d G V t P j x J d G V t T G 9 j Y X R p b 2 4 + P E l 0 Z W 1 U e X B l P k Z v c m 1 1 b G E 8 L 0 l 0 Z W 1 U e X B l P j x J d G V t U G F 0 a D 5 T Z W N 0 a W 9 u M S 9 U Y W J f Q 2 9 t c H R l d X J f O C 9 T b 3 V y Y 2 U 8 L 0 l 0 Z W 1 Q Y X R o P j w v S X R l b U x v Y 2 F 0 a W 9 u P j x T d G F i b G V F b n R y a W V z I C 8 + P C 9 J d G V t P j x J d G V t P j x J d G V t T G 9 j Y X R p b 2 4 + P E l 0 Z W 1 U e X B l P k Z v c m 1 1 b G E 8 L 0 l 0 Z W 1 U e X B l P j x J d G V t U G F 0 a D 5 T Z W N 0 a W 9 u M S 9 U Y W J f Q 2 9 t c H R l d X J f O C 9 U e X B l J T I w b W 9 k a W Z p J U M z J U E 5 P C 9 J d G V t U G F 0 a D 4 8 L 0 l 0 Z W 1 M b 2 N h d G l v b j 4 8 U 3 R h Y m x l R W 5 0 c m l l c y A v P j w v S X R l b T 4 8 S X R l b T 4 8 S X R l b U x v Y 2 F 0 a W 9 u P j x J d G V t V H l w Z T 5 G b 3 J t d W x h P C 9 J d G V t V H l w Z T 4 8 S X R l b V B h d G g + U 2 V j d G l v b j E v V G F i X 2 N v b m N h d C 9 M a W d u Z X M l M j B m a W x 0 c i V D M y V B O W V z P C 9 J d G V t U G F 0 a D 4 8 L 0 l 0 Z W 1 M b 2 N h d G l v b j 4 8 U 3 R h Y m x l R W 5 0 c m l l c y A v P j w v S X R l b T 4 8 S X R l b T 4 8 S X R l b U x v Y 2 F 0 a W 9 u P j x J d G V t V H l w Z T 5 G b 3 J t d W x h P C 9 J d G V t V H l w Z T 4 8 S X R l b V B h d G g + U 2 V j d G l v b j E v V G F i X 0 N v b X B 0 Z X V y X z I v U 2 9 1 c m N l P C 9 J d G V t U G F 0 a D 4 8 L 0 l 0 Z W 1 M b 2 N h d G l v b j 4 8 U 3 R h Y m x l R W 5 0 c m l l c y A v P j w v S X R l b T 4 8 S X R l b T 4 8 S X R l b U x v Y 2 F 0 a W 9 u P j x J d G V t V H l w Z T 5 G b 3 J t d W x h P C 9 J d G V t V H l w Z T 4 8 S X R l b V B h d G g + U 2 V j d G l v b j E v V G F i X 0 N v b X B 0 Z X V y X z I v V H l w Z S U y M G 1 v Z G l m a S V D M y V B O T w v S X R l b V B h d G g + P C 9 J d G V t T G 9 j Y X R p b 2 4 + P F N 0 Y W J s Z U V u d H J p Z X M g L z 4 8 L 0 l 0 Z W 0 + P E l 0 Z W 0 + P E l 0 Z W 1 M b 2 N h d G l v b j 4 8 S X R l b V R 5 c G U + R m 9 y b X V s Y T w v S X R l b V R 5 c G U + P E l 0 Z W 1 Q Y X R o P l N l Y 3 R p b 2 4 x L 1 R h Y l 9 D b 2 1 w d G V 1 c l 8 y L 0 N v b G 9 u b m U l M j B D b 2 1 w d G V 1 c i U y M G F q b 3 V 0 J U M z J U E 5 Z T w v S X R l b V B h d G g + P C 9 J d G V t T G 9 j Y X R p b 2 4 + P F N 0 Y W J s Z U V u d H J p Z X M g L z 4 8 L 0 l 0 Z W 0 + P E l 0 Z W 0 + P E l 0 Z W 1 M b 2 N h d G l v b j 4 8 S X R l b V R 5 c G U + R m 9 y b X V s Y T w v S X R l b V R 5 c G U + P E l 0 Z W 1 Q Y X R o P l N l Y 3 R p b 2 4 x L 1 R h Y l 9 D b 2 1 w d G V 1 c l 8 y L 1 B y Z W 1 p J U M z J U E 4 c m V z J T I w b G l n b m V z J T I w c 3 V w c H J p b S V D M y V B O W V z P C 9 J d G V t U G F 0 a D 4 8 L 0 l 0 Z W 1 M b 2 N h d G l v b j 4 8 U 3 R h Y m x l R W 5 0 c m l l c y A v P j w v S X R l b T 4 8 S X R l b T 4 8 S X R l b U x v Y 2 F 0 a W 9 u P j x J d G V t V H l w Z T 5 G b 3 J t d W x h P C 9 J d G V t V H l w Z T 4 8 S X R l b V B h d G g + U 2 V j d G l v b j E v V G F i X 0 N v b X B 0 Z X V y X z I v T G l n b m V z J T I w Z m l s d H I l Q z M l Q T l l c z w v S X R l b V B h d G g + P C 9 J d G V t T G 9 j Y X R p b 2 4 + P F N 0 Y W J s Z U V u d H J p Z X M g L z 4 8 L 0 l 0 Z W 0 + P E l 0 Z W 0 + P E l 0 Z W 1 M b 2 N h d G l v b j 4 8 S X R l b V R 5 c G U + R m 9 y b X V s Y T w v S X R l b V R 5 c G U + P E l 0 Z W 1 Q Y X R o P l N l Y 3 R p b 2 4 x L 1 R h Y l 9 D b 2 1 w d G V 1 c l 8 y L 0 F q b 3 V 0 J T I w T G l z d G U l M j B E Y X R l c z w v S X R l b V B h d G g + P C 9 J d G V t T G 9 j Y X R p b 2 4 + P F N 0 Y W J s Z U V u d H J p Z X M g L z 4 8 L 0 l 0 Z W 0 + P E l 0 Z W 0 + P E l 0 Z W 1 M b 2 N h d G l v b j 4 8 S X R l b V R 5 c G U + R m 9 y b X V s Y T w v S X R l b V R 5 c G U + P E l 0 Z W 1 Q Y X R o P l N l Y 3 R p b 2 4 x L 1 R h Y l 9 D b 2 1 w d G V 1 c l 8 y L 0 Q l Q z M l Q T l 2 Z W x v c H B l c i U y M G x l c y U y M E R h d G V z P C 9 J d G V t U G F 0 a D 4 8 L 0 l 0 Z W 1 M b 2 N h d G l v b j 4 8 U 3 R h Y m x l R W 5 0 c m l l c y A v P j w v S X R l b T 4 8 S X R l b T 4 8 S X R l b U x v Y 2 F 0 a W 9 u P j x J d G V t V H l w Z T 5 G b 3 J t d W x h P C 9 J d G V t V H l w Z T 4 8 S X R l b V B h d G g + U 2 V j d G l v b j E v V G F i X 2 N v b m N h d C 9 Q c m V t a S V D M y V B O H J l c y U y M G x p Z 2 5 l c y U y M H N 1 c H B y a W 0 l Q z M l Q T l l c z w v S X R l b V B h d G g + P C 9 J d G V t T G 9 j Y X R p b 2 4 + P F N 0 Y W J s Z U V u d H J p Z X M g L z 4 8 L 0 l 0 Z W 0 + P E l 0 Z W 0 + P E l 0 Z W 1 M b 2 N h d G l v b j 4 8 S X R l b V R 5 c G U + R m 9 y b X V s Y T w v S X R l b V R 5 c G U + P E l 0 Z W 1 Q Y X R o P l N l Y 3 R p b 2 4 x L 1 R h Y l 9 j b 2 5 j Y X Q v Q 2 9 s b 2 5 u Z S U y M E N v b X B 0 Z X V y J T I w Y W p v d X Q l Q z M l Q T l l P C 9 J d G V t U G F 0 a D 4 8 L 0 l 0 Z W 1 M b 2 N h d G l v b j 4 8 U 3 R h Y m x l R W 5 0 c m l l c y A v P j w v S X R l b T 4 8 S X R l b T 4 8 S X R l b U x v Y 2 F 0 a W 9 u P j x J d G V t V H l w Z T 5 G b 3 J t d W x h P C 9 J d G V t V H l w Z T 4 8 S X R l b V B h d G g + U 2 V j d G l v b j E v V G F i X 2 N v b m N h d C 9 B a m 9 1 d C U y M E x p c 3 R l J T I w R G F 0 Z X M 8 L 0 l 0 Z W 1 Q Y X R o P j w v S X R l b U x v Y 2 F 0 a W 9 u P j x T d G F i b G V F b n R y a W V z I C 8 + P C 9 J d G V t P j x J d G V t P j x J d G V t T G 9 j Y X R p b 2 4 + P E l 0 Z W 1 U e X B l P k Z v c m 1 1 b G E 8 L 0 l 0 Z W 1 U e X B l P j x J d G V t U G F 0 a D 5 T Z W N 0 a W 9 u M S 9 U Y W J f Y 2 9 u Y 2 F 0 L 0 Q l Q z M l Q T l 2 Z W x v c H B l c i U y M G x l c y U y M E R h d G V z P C 9 J d G V t U G F 0 a D 4 8 L 0 l 0 Z W 1 M b 2 N h d G l v b j 4 8 U 3 R h Y m x l R W 5 0 c m l l c y A v P j w v S X R l b T 4 8 S X R l b T 4 8 S X R l b U x v Y 2 F 0 a W 9 u P j x J d G V t V H l w Z T 5 G b 3 J t d W x h P C 9 J d G V t V H l w Z T 4 8 S X R l b V B h d G g + U 2 V j d G l v b j E v V G F i X 2 N v b m N h d C 9 D b 2 x v b m 5 l c y U y M H N 1 c H B y a W 0 l Q z M l Q T l l c z w v S X R l b V B h d G g + P C 9 J d G V t T G 9 j Y X R p b 2 4 + P F N 0 Y W J s Z U V u d H J p Z X M g L z 4 8 L 0 l 0 Z W 0 + P E l 0 Z W 0 + P E l 0 Z W 1 M b 2 N h d G l v b j 4 8 S X R l b V R 5 c G U + R m 9 y b X V s Y T w v S X R l b V R 5 c G U + P E l 0 Z W 1 Q Y X R o P l N l Y 3 R p b 2 4 x L 1 R h Y l 9 j b 2 5 j Y X Q v Q 2 9 s b 2 5 u Z X M l M j B w Z X J t d X Q l Q z M l Q T l l c z w v S X R l b V B h d G g + P C 9 J d G V t T G 9 j Y X R p b 2 4 + P F N 0 Y W J s Z U V u d H J p Z X M g L z 4 8 L 0 l 0 Z W 0 + P E l 0 Z W 0 + P E l 0 Z W 1 M b 2 N h d G l v b j 4 8 S X R l b V R 5 c G U + R m 9 y b X V s Y T w v S X R l b V R 5 c G U + P E l 0 Z W 1 Q Y X R o P l N l Y 3 R p b 2 4 x L 1 R h Y l 9 D b 2 1 w d G V 1 c l 8 y L 0 N v b G 9 u b m V z J T I w c 3 V w c H J p b S V D M y V B O W V z P C 9 J d G V t U G F 0 a D 4 8 L 0 l 0 Z W 1 M b 2 N h d G l v b j 4 8 U 3 R h Y m x l R W 5 0 c m l l c y A v P j w v S X R l b T 4 8 S X R l b T 4 8 S X R l b U x v Y 2 F 0 a W 9 u P j x J d G V t V H l w Z T 5 G b 3 J t d W x h P C 9 J d G V t V H l w Z T 4 8 S X R l b V B h d G g + U 2 V j d G l v b j E v V G F i X 0 N v b X B 0 Z X V y X z I v Q 2 9 s b 2 5 u Z X M l M j B w Z X J t d X Q l Q z M l Q T l l c z w v S X R l b V B h d G g + P C 9 J d G V t T G 9 j Y X R p b 2 4 + P F N 0 Y W J s Z U V u d H J p Z X M g L z 4 8 L 0 l 0 Z W 0 + P E l 0 Z W 0 + P E l 0 Z W 1 M b 2 N h d G l v b j 4 8 S X R l b V R 5 c G U + R m 9 y b X V s Y T w v S X R l b V R 5 c G U + P E l 0 Z W 1 Q Y X R o P l N l Y 3 R p b 2 4 x L 1 R h Y l 9 D b 2 1 w d G V 1 c l 8 z L 1 B y Z W 1 p J U M z J U E 4 c m V z J T I w b G l n b m V z J T I w c 3 V w c H J p b S V D M y V B O W V z P C 9 J d G V t U G F 0 a D 4 8 L 0 l 0 Z W 1 M b 2 N h d G l v b j 4 8 U 3 R h Y m x l R W 5 0 c m l l c y A v P j w v S X R l b T 4 8 S X R l b T 4 8 S X R l b U x v Y 2 F 0 a W 9 u P j x J d G V t V H l w Z T 5 G b 3 J t d W x h P C 9 J d G V t V H l w Z T 4 8 S X R l b V B h d G g + U 2 V j d G l v b j E v V G F i X 0 N v b X B 0 Z X V y X z M v Q 2 9 s b 2 5 u Z S U y M E N v b X B 0 Z X V y J T I w Y W p v d X Q l Q z M l Q T l l P C 9 J d G V t U G F 0 a D 4 8 L 0 l 0 Z W 1 M b 2 N h d G l v b j 4 8 U 3 R h Y m x l R W 5 0 c m l l c y A v P j w v S X R l b T 4 8 S X R l b T 4 8 S X R l b U x v Y 2 F 0 a W 9 u P j x J d G V t V H l w Z T 5 G b 3 J t d W x h P C 9 J d G V t V H l w Z T 4 8 S X R l b V B h d G g + U 2 V j d G l v b j E v V G F i X 0 N v b X B 0 Z X V y X z M v T G l n b m V z J T I w Z m l s d H I l Q z M l Q T l l c z w v S X R l b V B h d G g + P C 9 J d G V t T G 9 j Y X R p b 2 4 + P F N 0 Y W J s Z U V u d H J p Z X M g L z 4 8 L 0 l 0 Z W 0 + P E l 0 Z W 0 + P E l 0 Z W 1 M b 2 N h d G l v b j 4 8 S X R l b V R 5 c G U + R m 9 y b X V s Y T w v S X R l b V R 5 c G U + P E l 0 Z W 1 Q Y X R o P l N l Y 3 R p b 2 4 x L 1 R h Y l 9 D b 2 1 w d G V 1 c l 8 z L 0 F q b 3 V 0 J T I w T G l z d G U l M j B E Y X R l c z w v S X R l b V B h d G g + P C 9 J d G V t T G 9 j Y X R p b 2 4 + P F N 0 Y W J s Z U V u d H J p Z X M g L z 4 8 L 0 l 0 Z W 0 + P E l 0 Z W 0 + P E l 0 Z W 1 M b 2 N h d G l v b j 4 8 S X R l b V R 5 c G U + R m 9 y b X V s Y T w v S X R l b V R 5 c G U + P E l 0 Z W 1 Q Y X R o P l N l Y 3 R p b 2 4 x L 1 R h Y l 9 D b 2 1 w d G V 1 c l 8 z L 0 Q l Q z M l Q T l 2 Z W x v c H B l c i U y M G x l c y U y M E R h d G V z P C 9 J d G V t U G F 0 a D 4 8 L 0 l 0 Z W 1 M b 2 N h d G l v b j 4 8 U 3 R h Y m x l R W 5 0 c m l l c y A v P j w v S X R l b T 4 8 S X R l b T 4 8 S X R l b U x v Y 2 F 0 a W 9 u P j x J d G V t V H l w Z T 5 G b 3 J t d W x h P C 9 J d G V t V H l w Z T 4 8 S X R l b V B h d G g + U 2 V j d G l v b j E v V G F i X 0 N v b X B 0 Z X V y X z M v Q 2 9 s b 2 5 u Z X M l M j B z d X B w c m l t J U M z J U E 5 Z X M 8 L 0 l 0 Z W 1 Q Y X R o P j w v S X R l b U x v Y 2 F 0 a W 9 u P j x T d G F i b G V F b n R y a W V z I C 8 + P C 9 J d G V t P j x J d G V t P j x J d G V t T G 9 j Y X R p b 2 4 + P E l 0 Z W 1 U e X B l P k Z v c m 1 1 b G E 8 L 0 l 0 Z W 1 U e X B l P j x J d G V t U G F 0 a D 5 T Z W N 0 a W 9 u M S 9 U Y W J f Q 2 9 t c H R l d X J f M y 9 D b 2 x v b m 5 l c y U y M H B l c m 1 1 d C V D M y V B O W V z P C 9 J d G V t U G F 0 a D 4 8 L 0 l 0 Z W 1 M b 2 N h d G l v b j 4 8 U 3 R h Y m x l R W 5 0 c m l l c y A v P j w v S X R l b T 4 8 S X R l b T 4 8 S X R l b U x v Y 2 F 0 a W 9 u P j x J d G V t V H l w Z T 5 G b 3 J t d W x h P C 9 J d G V t V H l w Z T 4 8 S X R l b V B h d G g + U 2 V j d G l v b j E v V G F i X 0 N v b X B 0 Z X V y X z Q v U H J l b W k l Q z M l Q T h y Z X M l M j B s a W d u Z X M l M j B z d X B w c m l t J U M z J U E 5 Z X M 8 L 0 l 0 Z W 1 Q Y X R o P j w v S X R l b U x v Y 2 F 0 a W 9 u P j x T d G F i b G V F b n R y a W V z I C 8 + P C 9 J d G V t P j x J d G V t P j x J d G V t T G 9 j Y X R p b 2 4 + P E l 0 Z W 1 U e X B l P k Z v c m 1 1 b G E 8 L 0 l 0 Z W 1 U e X B l P j x J d G V t U G F 0 a D 5 T Z W N 0 a W 9 u M S 9 U Y W J f Q 2 9 t c H R l d X J f N C 9 D b 2 x v b m 5 l J T I w Q 2 9 t c H R l d X I l M j B h a m 9 1 d C V D M y V B O W U 8 L 0 l 0 Z W 1 Q Y X R o P j w v S X R l b U x v Y 2 F 0 a W 9 u P j x T d G F i b G V F b n R y a W V z I C 8 + P C 9 J d G V t P j x J d G V t P j x J d G V t T G 9 j Y X R p b 2 4 + P E l 0 Z W 1 U e X B l P k Z v c m 1 1 b G E 8 L 0 l 0 Z W 1 U e X B l P j x J d G V t U G F 0 a D 5 T Z W N 0 a W 9 u M S 9 U Y W J f Q 2 9 t c H R l d X J f N C 9 M a W d u Z X M l M j B m a W x 0 c i V D M y V B O W V z P C 9 J d G V t U G F 0 a D 4 8 L 0 l 0 Z W 1 M b 2 N h d G l v b j 4 8 U 3 R h Y m x l R W 5 0 c m l l c y A v P j w v S X R l b T 4 8 S X R l b T 4 8 S X R l b U x v Y 2 F 0 a W 9 u P j x J d G V t V H l w Z T 5 G b 3 J t d W x h P C 9 J d G V t V H l w Z T 4 8 S X R l b V B h d G g + U 2 V j d G l v b j E v V G F i X 0 N v b X B 0 Z X V y X z Q v Q W p v d X Q l M j B M a X N 0 Z S U y M E R h d G V z P C 9 J d G V t U G F 0 a D 4 8 L 0 l 0 Z W 1 M b 2 N h d G l v b j 4 8 U 3 R h Y m x l R W 5 0 c m l l c y A v P j w v S X R l b T 4 8 S X R l b T 4 8 S X R l b U x v Y 2 F 0 a W 9 u P j x J d G V t V H l w Z T 5 G b 3 J t d W x h P C 9 J d G V t V H l w Z T 4 8 S X R l b V B h d G g + U 2 V j d G l v b j E v V G F i X 0 N v b X B 0 Z X V y X z Q v R C V D M y V B O X Z l b G 9 w c G V y J T I w b G V z J T I w R G F 0 Z X M 8 L 0 l 0 Z W 1 Q Y X R o P j w v S X R l b U x v Y 2 F 0 a W 9 u P j x T d G F i b G V F b n R y a W V z I C 8 + P C 9 J d G V t P j x J d G V t P j x J d G V t T G 9 j Y X R p b 2 4 + P E l 0 Z W 1 U e X B l P k Z v c m 1 1 b G E 8 L 0 l 0 Z W 1 U e X B l P j x J d G V t U G F 0 a D 5 T Z W N 0 a W 9 u M S 9 U Y W J f Q 2 9 t c H R l d X J f N C 9 D b 2 x v b m 5 l c y U y M H N 1 c H B y a W 0 l Q z M l Q T l l c z w v S X R l b V B h d G g + P C 9 J d G V t T G 9 j Y X R p b 2 4 + P F N 0 Y W J s Z U V u d H J p Z X M g L z 4 8 L 0 l 0 Z W 0 + P E l 0 Z W 0 + P E l 0 Z W 1 M b 2 N h d G l v b j 4 8 S X R l b V R 5 c G U + R m 9 y b X V s Y T w v S X R l b V R 5 c G U + P E l 0 Z W 1 Q Y X R o P l N l Y 3 R p b 2 4 x L 1 R h Y l 9 D b 2 1 w d G V 1 c l 8 0 L 0 N v b G 9 u b m V z J T I w c G V y b X V 0 J U M z J U E 5 Z X M 8 L 0 l 0 Z W 1 Q Y X R o P j w v S X R l b U x v Y 2 F 0 a W 9 u P j x T d G F i b G V F b n R y a W V z I C 8 + P C 9 J d G V t P j x J d G V t P j x J d G V t T G 9 j Y X R p b 2 4 + P E l 0 Z W 1 U e X B l P k Z v c m 1 1 b G E 8 L 0 l 0 Z W 1 U e X B l P j x J d G V t U G F 0 a D 5 T Z W N 0 a W 9 u M S 9 U Y W J f Q 2 9 t c H R l d X J f N S 9 Q c m V t a S V D M y V B O H J l c y U y M G x p Z 2 5 l c y U y M H N 1 c H B y a W 0 l Q z M l Q T l l c z w v S X R l b V B h d G g + P C 9 J d G V t T G 9 j Y X R p b 2 4 + P F N 0 Y W J s Z U V u d H J p Z X M g L z 4 8 L 0 l 0 Z W 0 + P E l 0 Z W 0 + P E l 0 Z W 1 M b 2 N h d G l v b j 4 8 S X R l b V R 5 c G U + R m 9 y b X V s Y T w v S X R l b V R 5 c G U + P E l 0 Z W 1 Q Y X R o P l N l Y 3 R p b 2 4 x L 1 R h Y l 9 D b 2 1 w d G V 1 c l 8 1 L 0 N v b G 9 u b m U l M j B D b 2 1 w d G V 1 c i U y M G F q b 3 V 0 J U M z J U E 5 Z T w v S X R l b V B h d G g + P C 9 J d G V t T G 9 j Y X R p b 2 4 + P F N 0 Y W J s Z U V u d H J p Z X M g L z 4 8 L 0 l 0 Z W 0 + P E l 0 Z W 0 + P E l 0 Z W 1 M b 2 N h d G l v b j 4 8 S X R l b V R 5 c G U + R m 9 y b X V s Y T w v S X R l b V R 5 c G U + P E l 0 Z W 1 Q Y X R o P l N l Y 3 R p b 2 4 x L 1 R h Y l 9 D b 2 1 w d G V 1 c l 8 1 L 0 x p Z 2 5 l c y U y M G Z p b H R y J U M z J U E 5 Z X M 8 L 0 l 0 Z W 1 Q Y X R o P j w v S X R l b U x v Y 2 F 0 a W 9 u P j x T d G F i b G V F b n R y a W V z I C 8 + P C 9 J d G V t P j x J d G V t P j x J d G V t T G 9 j Y X R p b 2 4 + P E l 0 Z W 1 U e X B l P k Z v c m 1 1 b G E 8 L 0 l 0 Z W 1 U e X B l P j x J d G V t U G F 0 a D 5 T Z W N 0 a W 9 u M S 9 U Y W J f Q 2 9 t c H R l d X J f N S 9 B a m 9 1 d C U y M E x p c 3 R l J T I w R G F 0 Z X M 8 L 0 l 0 Z W 1 Q Y X R o P j w v S X R l b U x v Y 2 F 0 a W 9 u P j x T d G F i b G V F b n R y a W V z I C 8 + P C 9 J d G V t P j x J d G V t P j x J d G V t T G 9 j Y X R p b 2 4 + P E l 0 Z W 1 U e X B l P k Z v c m 1 1 b G E 8 L 0 l 0 Z W 1 U e X B l P j x J d G V t U G F 0 a D 5 T Z W N 0 a W 9 u M S 9 U Y W J f Q 2 9 t c H R l d X J f N S 9 E J U M z J U E 5 d m V s b 3 B w Z X I l M j B s Z X M l M j B E Y X R l c z w v S X R l b V B h d G g + P C 9 J d G V t T G 9 j Y X R p b 2 4 + P F N 0 Y W J s Z U V u d H J p Z X M g L z 4 8 L 0 l 0 Z W 0 + P E l 0 Z W 0 + P E l 0 Z W 1 M b 2 N h d G l v b j 4 8 S X R l b V R 5 c G U + R m 9 y b X V s Y T w v S X R l b V R 5 c G U + P E l 0 Z W 1 Q Y X R o P l N l Y 3 R p b 2 4 x L 1 R h Y l 9 D b 2 1 w d G V 1 c l 8 1 L 0 N v b G 9 u b m V z J T I w c 3 V w c H J p b S V D M y V B O W V z P C 9 J d G V t U G F 0 a D 4 8 L 0 l 0 Z W 1 M b 2 N h d G l v b j 4 8 U 3 R h Y m x l R W 5 0 c m l l c y A v P j w v S X R l b T 4 8 S X R l b T 4 8 S X R l b U x v Y 2 F 0 a W 9 u P j x J d G V t V H l w Z T 5 G b 3 J t d W x h P C 9 J d G V t V H l w Z T 4 8 S X R l b V B h d G g + U 2 V j d G l v b j E v V G F i X 0 N v b X B 0 Z X V y X z U v Q 2 9 s b 2 5 u Z X M l M j B w Z X J t d X Q l Q z M l Q T l l c z w v S X R l b V B h d G g + P C 9 J d G V t T G 9 j Y X R p b 2 4 + P F N 0 Y W J s Z U V u d H J p Z X M g L z 4 8 L 0 l 0 Z W 0 + P E l 0 Z W 0 + P E l 0 Z W 1 M b 2 N h d G l v b j 4 8 S X R l b V R 5 c G U + R m 9 y b X V s Y T w v S X R l b V R 5 c G U + P E l 0 Z W 1 Q Y X R o P l N l Y 3 R p b 2 4 x L 1 R h Y l 9 D b 2 1 w d G V 1 c l 8 2 L 1 B y Z W 1 p J U M z J U E 4 c m V z J T I w b G l n b m V z J T I w c 3 V w c H J p b S V D M y V B O W V z P C 9 J d G V t U G F 0 a D 4 8 L 0 l 0 Z W 1 M b 2 N h d G l v b j 4 8 U 3 R h Y m x l R W 5 0 c m l l c y A v P j w v S X R l b T 4 8 S X R l b T 4 8 S X R l b U x v Y 2 F 0 a W 9 u P j x J d G V t V H l w Z T 5 G b 3 J t d W x h P C 9 J d G V t V H l w Z T 4 8 S X R l b V B h d G g + U 2 V j d G l v b j E v V G F i X 0 N v b X B 0 Z X V y X z Y v Q 2 9 s b 2 5 u Z S U y M E N v b X B 0 Z X V y J T I w Y W p v d X Q l Q z M l Q T l l P C 9 J d G V t U G F 0 a D 4 8 L 0 l 0 Z W 1 M b 2 N h d G l v b j 4 8 U 3 R h Y m x l R W 5 0 c m l l c y A v P j w v S X R l b T 4 8 S X R l b T 4 8 S X R l b U x v Y 2 F 0 a W 9 u P j x J d G V t V H l w Z T 5 G b 3 J t d W x h P C 9 J d G V t V H l w Z T 4 8 S X R l b V B h d G g + U 2 V j d G l v b j E v V G F i X 0 N v b X B 0 Z X V y X z Y v T G l n b m V z J T I w Z m l s d H I l Q z M l Q T l l c z w v S X R l b V B h d G g + P C 9 J d G V t T G 9 j Y X R p b 2 4 + P F N 0 Y W J s Z U V u d H J p Z X M g L z 4 8 L 0 l 0 Z W 0 + P E l 0 Z W 0 + P E l 0 Z W 1 M b 2 N h d G l v b j 4 8 S X R l b V R 5 c G U + R m 9 y b X V s Y T w v S X R l b V R 5 c G U + P E l 0 Z W 1 Q Y X R o P l N l Y 3 R p b 2 4 x L 1 R h Y l 9 D b 2 1 w d G V 1 c l 8 2 L 0 F q b 3 V 0 J T I w T G l z d G U l M j B E Y X R l c z w v S X R l b V B h d G g + P C 9 J d G V t T G 9 j Y X R p b 2 4 + P F N 0 Y W J s Z U V u d H J p Z X M g L z 4 8 L 0 l 0 Z W 0 + P E l 0 Z W 0 + P E l 0 Z W 1 M b 2 N h d G l v b j 4 8 S X R l b V R 5 c G U + R m 9 y b X V s Y T w v S X R l b V R 5 c G U + P E l 0 Z W 1 Q Y X R o P l N l Y 3 R p b 2 4 x L 1 R h Y l 9 D b 2 1 w d G V 1 c l 8 2 L 0 Q l Q z M l Q T l 2 Z W x v c H B l c i U y M G x l c y U y M E R h d G V z P C 9 J d G V t U G F 0 a D 4 8 L 0 l 0 Z W 1 M b 2 N h d G l v b j 4 8 U 3 R h Y m x l R W 5 0 c m l l c y A v P j w v S X R l b T 4 8 S X R l b T 4 8 S X R l b U x v Y 2 F 0 a W 9 u P j x J d G V t V H l w Z T 5 G b 3 J t d W x h P C 9 J d G V t V H l w Z T 4 8 S X R l b V B h d G g + U 2 V j d G l v b j E v V G F i X 0 N v b X B 0 Z X V y X z Y v Q 2 9 s b 2 5 u Z X M l M j B z d X B w c m l t J U M z J U E 5 Z X M 8 L 0 l 0 Z W 1 Q Y X R o P j w v S X R l b U x v Y 2 F 0 a W 9 u P j x T d G F i b G V F b n R y a W V z I C 8 + P C 9 J d G V t P j x J d G V t P j x J d G V t T G 9 j Y X R p b 2 4 + P E l 0 Z W 1 U e X B l P k Z v c m 1 1 b G E 8 L 0 l 0 Z W 1 U e X B l P j x J d G V t U G F 0 a D 5 T Z W N 0 a W 9 u M S 9 U Y W J f Q 2 9 t c H R l d X J f N i 9 D b 2 x v b m 5 l c y U y M H B l c m 1 1 d C V D M y V B O W V z P C 9 J d G V t U G F 0 a D 4 8 L 0 l 0 Z W 1 M b 2 N h d G l v b j 4 8 U 3 R h Y m x l R W 5 0 c m l l c y A v P j w v S X R l b T 4 8 S X R l b T 4 8 S X R l b U x v Y 2 F 0 a W 9 u P j x J d G V t V H l w Z T 5 G b 3 J t d W x h P C 9 J d G V t V H l w Z T 4 8 S X R l b V B h d G g + U 2 V j d G l v b j E v V G F i X 0 N v b X B 0 Z X V y X z c v U H J l b W k l Q z M l Q T h y Z X M l M j B s a W d u Z X M l M j B z d X B w c m l t J U M z J U E 5 Z X M 8 L 0 l 0 Z W 1 Q Y X R o P j w v S X R l b U x v Y 2 F 0 a W 9 u P j x T d G F i b G V F b n R y a W V z I C 8 + P C 9 J d G V t P j x J d G V t P j x J d G V t T G 9 j Y X R p b 2 4 + P E l 0 Z W 1 U e X B l P k Z v c m 1 1 b G E 8 L 0 l 0 Z W 1 U e X B l P j x J d G V t U G F 0 a D 5 T Z W N 0 a W 9 u M S 9 U Y W J f Q 2 9 t c H R l d X J f N y 9 D b 2 x v b m 5 l J T I w Q 2 9 t c H R l d X I l M j B h a m 9 1 d C V D M y V B O W U 8 L 0 l 0 Z W 1 Q Y X R o P j w v S X R l b U x v Y 2 F 0 a W 9 u P j x T d G F i b G V F b n R y a W V z I C 8 + P C 9 J d G V t P j x J d G V t P j x J d G V t T G 9 j Y X R p b 2 4 + P E l 0 Z W 1 U e X B l P k Z v c m 1 1 b G E 8 L 0 l 0 Z W 1 U e X B l P j x J d G V t U G F 0 a D 5 T Z W N 0 a W 9 u M S 9 U Y W J f Q 2 9 t c H R l d X J f N y 9 M a W d u Z X M l M j B m a W x 0 c i V D M y V B O W V z P C 9 J d G V t U G F 0 a D 4 8 L 0 l 0 Z W 1 M b 2 N h d G l v b j 4 8 U 3 R h Y m x l R W 5 0 c m l l c y A v P j w v S X R l b T 4 8 S X R l b T 4 8 S X R l b U x v Y 2 F 0 a W 9 u P j x J d G V t V H l w Z T 5 G b 3 J t d W x h P C 9 J d G V t V H l w Z T 4 8 S X R l b V B h d G g + U 2 V j d G l v b j E v V G F i X 0 N v b X B 0 Z X V y X z c v Q W p v d X Q l M j B M a X N 0 Z S U y M E R h d G V z P C 9 J d G V t U G F 0 a D 4 8 L 0 l 0 Z W 1 M b 2 N h d G l v b j 4 8 U 3 R h Y m x l R W 5 0 c m l l c y A v P j w v S X R l b T 4 8 S X R l b T 4 8 S X R l b U x v Y 2 F 0 a W 9 u P j x J d G V t V H l w Z T 5 G b 3 J t d W x h P C 9 J d G V t V H l w Z T 4 8 S X R l b V B h d G g + U 2 V j d G l v b j E v V G F i X 0 N v b X B 0 Z X V y X z c v R C V D M y V B O X Z l b G 9 w c G V y J T I w b G V z J T I w R G F 0 Z X M 8 L 0 l 0 Z W 1 Q Y X R o P j w v S X R l b U x v Y 2 F 0 a W 9 u P j x T d G F i b G V F b n R y a W V z I C 8 + P C 9 J d G V t P j x J d G V t P j x J d G V t T G 9 j Y X R p b 2 4 + P E l 0 Z W 1 U e X B l P k Z v c m 1 1 b G E 8 L 0 l 0 Z W 1 U e X B l P j x J d G V t U G F 0 a D 5 T Z W N 0 a W 9 u M S 9 U Y W J f Q 2 9 t c H R l d X J f N y 9 D b 2 x v b m 5 l c y U y M H N 1 c H B y a W 0 l Q z M l Q T l l c z w v S X R l b V B h d G g + P C 9 J d G V t T G 9 j Y X R p b 2 4 + P F N 0 Y W J s Z U V u d H J p Z X M g L z 4 8 L 0 l 0 Z W 0 + P E l 0 Z W 0 + P E l 0 Z W 1 M b 2 N h d G l v b j 4 8 S X R l b V R 5 c G U + R m 9 y b X V s Y T w v S X R l b V R 5 c G U + P E l 0 Z W 1 Q Y X R o P l N l Y 3 R p b 2 4 x L 1 R h Y l 9 D b 2 1 w d G V 1 c l 8 3 L 0 N v b G 9 u b m V z J T I w c G V y b X V 0 J U M z J U E 5 Z X M 8 L 0 l 0 Z W 1 Q Y X R o P j w v S X R l b U x v Y 2 F 0 a W 9 u P j x T d G F i b G V F b n R y a W V z I C 8 + P C 9 J d G V t P j x J d G V t P j x J d G V t T G 9 j Y X R p b 2 4 + P E l 0 Z W 1 U e X B l P k Z v c m 1 1 b G E 8 L 0 l 0 Z W 1 U e X B l P j x J d G V t U G F 0 a D 5 T Z W N 0 a W 9 u M S 9 U Y W J f Q 2 9 t c H R l d X J f O C 9 Q c m V t a S V D M y V B O H J l c y U y M G x p Z 2 5 l c y U y M H N 1 c H B y a W 0 l Q z M l Q T l l c z w v S X R l b V B h d G g + P C 9 J d G V t T G 9 j Y X R p b 2 4 + P F N 0 Y W J s Z U V u d H J p Z X M g L z 4 8 L 0 l 0 Z W 0 + P E l 0 Z W 0 + P E l 0 Z W 1 M b 2 N h d G l v b j 4 8 S X R l b V R 5 c G U + R m 9 y b X V s Y T w v S X R l b V R 5 c G U + P E l 0 Z W 1 Q Y X R o P l N l Y 3 R p b 2 4 x L 1 R h Y l 9 D b 2 1 w d G V 1 c l 8 4 L 0 N v b G 9 u b m U l M j B D b 2 1 w d G V 1 c i U y M G F q b 3 V 0 J U M z J U E 5 Z T w v S X R l b V B h d G g + P C 9 J d G V t T G 9 j Y X R p b 2 4 + P F N 0 Y W J s Z U V u d H J p Z X M g L z 4 8 L 0 l 0 Z W 0 + P E l 0 Z W 0 + P E l 0 Z W 1 M b 2 N h d G l v b j 4 8 S X R l b V R 5 c G U + R m 9 y b X V s Y T w v S X R l b V R 5 c G U + P E l 0 Z W 1 Q Y X R o P l N l Y 3 R p b 2 4 x L 1 R h Y l 9 D b 2 1 w d G V 1 c l 8 4 L 0 x p Z 2 5 l c y U y M G Z p b H R y J U M z J U E 5 Z X M 8 L 0 l 0 Z W 1 Q Y X R o P j w v S X R l b U x v Y 2 F 0 a W 9 u P j x T d G F i b G V F b n R y a W V z I C 8 + P C 9 J d G V t P j x J d G V t P j x J d G V t T G 9 j Y X R p b 2 4 + P E l 0 Z W 1 U e X B l P k Z v c m 1 1 b G E 8 L 0 l 0 Z W 1 U e X B l P j x J d G V t U G F 0 a D 5 T Z W N 0 a W 9 u M S 9 U Y W J f Q 2 9 t c H R l d X J f O C 9 B a m 9 1 d C U y M E x p c 3 R l J T I w R G F 0 Z X M 8 L 0 l 0 Z W 1 Q Y X R o P j w v S X R l b U x v Y 2 F 0 a W 9 u P j x T d G F i b G V F b n R y a W V z I C 8 + P C 9 J d G V t P j x J d G V t P j x J d G V t T G 9 j Y X R p b 2 4 + P E l 0 Z W 1 U e X B l P k Z v c m 1 1 b G E 8 L 0 l 0 Z W 1 U e X B l P j x J d G V t U G F 0 a D 5 T Z W N 0 a W 9 u M S 9 U Y W J f Q 2 9 t c H R l d X J f O C 9 E J U M z J U E 5 d m V s b 3 B w Z X I l M j B s Z X M l M j B E Y X R l c z w v S X R l b V B h d G g + P C 9 J d G V t T G 9 j Y X R p b 2 4 + P F N 0 Y W J s Z U V u d H J p Z X M g L z 4 8 L 0 l 0 Z W 0 + P E l 0 Z W 0 + P E l 0 Z W 1 M b 2 N h d G l v b j 4 8 S X R l b V R 5 c G U + R m 9 y b X V s Y T w v S X R l b V R 5 c G U + P E l 0 Z W 1 Q Y X R o P l N l Y 3 R p b 2 4 x L 1 R h Y l 9 D b 2 1 w d G V 1 c l 8 4 L 0 N v b G 9 u b m V z J T I w c 3 V w c H J p b S V D M y V B O W V z P C 9 J d G V t U G F 0 a D 4 8 L 0 l 0 Z W 1 M b 2 N h d G l v b j 4 8 U 3 R h Y m x l R W 5 0 c m l l c y A v P j w v S X R l b T 4 8 S X R l b T 4 8 S X R l b U x v Y 2 F 0 a W 9 u P j x J d G V t V H l w Z T 5 G b 3 J t d W x h P C 9 J d G V t V H l w Z T 4 8 S X R l b V B h d G g + U 2 V j d G l v b j E v V G F i X 0 N v b X B 0 Z X V y X z g v Q 2 9 s b 2 5 u Z X M l M j B w Z X J t d X Q l Q z M l Q T l l c z w v S X R l b V B h d G g + P C 9 J d G V t T G 9 j Y X R p b 2 4 + P F N 0 Y W J s Z U V u d H J p Z X M g L z 4 8 L 0 l 0 Z W 0 + P E l 0 Z W 0 + P E l 0 Z W 1 M b 2 N h d G l v b j 4 8 S X R l b V R 5 c G U + R m 9 y b X V s Y T w v S X R l b V R 5 c G U + P E l 0 Z W 1 Q Y X R o P l N l Y 3 R p b 2 4 x L 1 R h Y l 9 D b 2 1 w d G V 1 c l 8 y L 0 x p Z 2 5 l c y U y M G Z p b H R y J U M z J U E 5 Z X M x P C 9 J d G V t U G F 0 a D 4 8 L 0 l 0 Z W 1 M b 2 N h d G l v b j 4 8 U 3 R h Y m x l R W 5 0 c m l l c y A v P j w v S X R l b T 4 8 S X R l b T 4 8 S X R l b U x v Y 2 F 0 a W 9 u P j x J d G V t V H l w Z T 5 G b 3 J t d W x h P C 9 J d G V t V H l w Z T 4 8 S X R l b V B h d G g + U 2 V j d G l v b j E v V G F i X 0 N v b X B 0 Z X V y X z M v T G l n b m V z J T I w Z m l s d H I l Q z M l Q T l l c z E 8 L 0 l 0 Z W 1 Q Y X R o P j w v S X R l b U x v Y 2 F 0 a W 9 u P j x T d G F i b G V F b n R y a W V z I C 8 + P C 9 J d G V t P j x J d G V t P j x J d G V t T G 9 j Y X R p b 2 4 + P E l 0 Z W 1 U e X B l P k Z v c m 1 1 b G E 8 L 0 l 0 Z W 1 U e X B l P j x J d G V t U G F 0 a D 5 T Z W N 0 a W 9 u M S 9 U Y W J f Q 2 9 t c H R l d X J f N C 9 M a W d u Z X M l M j B m a W x 0 c i V D M y V B O W V z M T w v S X R l b V B h d G g + P C 9 J d G V t T G 9 j Y X R p b 2 4 + P F N 0 Y W J s Z U V u d H J p Z X M g L z 4 8 L 0 l 0 Z W 0 + P E l 0 Z W 0 + P E l 0 Z W 1 M b 2 N h d G l v b j 4 8 S X R l b V R 5 c G U + R m 9 y b X V s Y T w v S X R l b V R 5 c G U + P E l 0 Z W 1 Q Y X R o P l N l Y 3 R p b 2 4 x L 1 R h Y l 9 D b 2 1 w d G V 1 c l 8 1 L 0 x p Z 2 5 l c y U y M G Z p b H R y J U M z J U E 5 Z X M x P C 9 J d G V t U G F 0 a D 4 8 L 0 l 0 Z W 1 M b 2 N h d G l v b j 4 8 U 3 R h Y m x l R W 5 0 c m l l c y A v P j w v S X R l b T 4 8 S X R l b T 4 8 S X R l b U x v Y 2 F 0 a W 9 u P j x J d G V t V H l w Z T 5 G b 3 J t d W x h P C 9 J d G V t V H l w Z T 4 8 S X R l b V B h d G g + U 2 V j d G l v b j E v V G F i X 0 N v b X B 0 Z X V y X z Y v T G l n b m V z J T I w Z m l s d H I l Q z M l Q T l l c z E 8 L 0 l 0 Z W 1 Q Y X R o P j w v S X R l b U x v Y 2 F 0 a W 9 u P j x T d G F i b G V F b n R y a W V z I C 8 + P C 9 J d G V t P j x J d G V t P j x J d G V t T G 9 j Y X R p b 2 4 + P E l 0 Z W 1 U e X B l P k Z v c m 1 1 b G E 8 L 0 l 0 Z W 1 U e X B l P j x J d G V t U G F 0 a D 5 T Z W N 0 a W 9 u M S 9 U Y W J f Q 2 9 t c H R l d X J f N y 9 M a W d u Z X M l M j B m a W x 0 c i V D M y V B O W V z M T w v S X R l b V B h d G g + P C 9 J d G V t T G 9 j Y X R p b 2 4 + P F N 0 Y W J s Z U V u d H J p Z X M g L z 4 8 L 0 l 0 Z W 0 + P E l 0 Z W 0 + P E l 0 Z W 1 M b 2 N h d G l v b j 4 8 S X R l b V R 5 c G U + R m 9 y b X V s Y T w v S X R l b V R 5 c G U + P E l 0 Z W 1 Q Y X R o P l N l Y 3 R p b 2 4 x L 1 R h Y l 9 D b 2 1 w d G V 1 c l 8 4 L 0 x p Z 2 5 l c y U y M G Z p b H R y J U M z J U E 5 Z X M x P C 9 J d G V t U G F 0 a D 4 8 L 0 l 0 Z W 1 M b 2 N h d G l v b j 4 8 U 3 R h Y m x l R W 5 0 c m l l c y A v P j w v S X R l b T 4 8 S X R l b T 4 8 S X R l b U x v Y 2 F 0 a W 9 u P j x J d G V t V H l w Z T 5 G b 3 J t d W x h P C 9 J d G V t V H l w Z T 4 8 S X R l b V B h d G g + U 2 V j d G l v b j E v V G F i b G V h d T 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F N 0 Y X R 1 c y I g V m F s d W U 9 I n N D b 2 1 w b G V 0 Z S I g L z 4 8 R W 5 0 c n k g V H l w Z T 0 i R m l s b E x h c 3 R V c G R h d G V k I i B W Y W x 1 Z T 0 i Z D I w M j U t M T E t M T R U M T U 6 M z U 6 M D Q u M j Q 3 N j A 2 O V o i I C 8 + P E V u d H J 5 I F R 5 c G U 9 I k Z p b G x F c n J v c k N v Z G U i I F Z h b H V l P S J z V W 5 r b m 9 3 b i I g L z 4 8 R W 5 0 c n k g V H l w Z T 0 i Q W R k Z W R U b 0 R h d G F N b 2 R l b C I g V m F s d W U 9 I m w w I i A v P j w v U 3 R h Y m x l R W 5 0 c m l l c z 4 8 L 0 l 0 Z W 0 + P E l 0 Z W 0 + P E l 0 Z W 1 M b 2 N h d G l v b j 4 8 S X R l b V R 5 c G U + R m 9 y b X V s Y T w v S X R l b V R 5 c G U + P E l 0 Z W 1 Q Y X R o P l N l Y 3 R p b 2 4 x L 1 R h Y m x l Y X U 5 L 1 N v d X J j Z T w v S X R l b V B h d G g + P C 9 J d G V t T G 9 j Y X R p b 2 4 + P F N 0 Y W J s Z U V u d H J p Z X M g L z 4 8 L 0 l 0 Z W 0 + P E l 0 Z W 0 + P E l 0 Z W 1 M b 2 N h d G l v b j 4 8 S X R l b V R 5 c G U + R m 9 y b X V s Y T w v S X R l b V R 5 c G U + P E l 0 Z W 1 Q Y X R o P l N l Y 3 R p b 2 4 x L 1 R h Y m x l Y X U 5 L 1 R 5 c G U l M j B t b 2 R p Z m k l Q z M l Q T k 8 L 0 l 0 Z W 1 Q Y X R o P j w v S X R l b U x v Y 2 F 0 a W 9 u P j x T d G F i b G V F b n R y a W V z I C 8 + P C 9 J d G V t P j x J d G V t P j x J d G V t T G 9 j Y X R p b 2 4 + P E l 0 Z W 1 U e X B l P k Z v c m 1 1 b G E 8 L 0 l 0 Z W 1 U e X B l P j x J d G V t U G F 0 a D 5 T Z W N 0 a W 9 u M S 9 U Y W J s Z W F 1 O S 9 Q Z X J z b 2 5 u Y W x p c y V D M y V B O W U l M j B h a m 9 1 d C V D M y V B O W U 8 L 0 l 0 Z W 1 Q Y X R o P j w v S X R l b U x v Y 2 F 0 a W 9 u P j x T d G F i b G V F b n R y a W V z I C 8 + P C 9 J d G V t P j x J d G V t P j x J d G V t T G 9 j Y X R p b 2 4 + P E l 0 Z W 1 U e X B l P k Z v c m 1 1 b G E 8 L 0 l 0 Z W 1 U e X B l P j x J d G V t U G F 0 a D 5 T Z W N 0 a W 9 u M S 9 U Y W J s Z W F 1 O S 9 U e X B l J T I w b W 9 k a W Z p J U M z J U E 5 M T w v S X R l b V B h d G g + P C 9 J d G V t T G 9 j Y X R p b 2 4 + P F N 0 Y W J s Z U V u d H J p Z X M g L z 4 8 L 0 l 0 Z W 0 + P E l 0 Z W 0 + P E l 0 Z W 1 M b 2 N h d G l v b j 4 8 S X R l b V R 5 c G U + R m 9 y b X V s Y T w v S X R l b V R 5 c G U + P E l 0 Z W 1 Q Y X R o P l N l Y 3 R p b 2 4 x L 1 R h Y l 9 D b 2 1 w d G V 1 c l 8 y L 1 R 5 c G U l M j B t b 2 R p Z m k l Q z M l Q T k x P C 9 J d G V t U G F 0 a D 4 8 L 0 l 0 Z W 1 M b 2 N h d G l v b j 4 8 U 3 R h Y m x l R W 5 0 c m l l c y A v P j w v S X R l b T 4 8 S X R l b T 4 8 S X R l b U x v Y 2 F 0 a W 9 u P j x J d G V t V H l w Z T 5 G b 3 J t d W x h P C 9 J d G V t V H l w Z T 4 8 S X R l b V B h d G g + U 2 V j d G l v b j E v V G F i b G V h d T k v U G V y c 2 9 u b m F s a X M l Q z M l Q T l l J T I w Y W p v d X Q l Q z M l Q T l l M T w v S X R l b V B h d G g + P C 9 J d G V t T G 9 j Y X R p b 2 4 + P F N 0 Y W J s Z U V u d H J p Z X M g L z 4 8 L 0 l 0 Z W 0 + P E l 0 Z W 0 + P E l 0 Z W 1 M b 2 N h d G l v b j 4 8 S X R l b V R 5 c G U + R m 9 y b X V s Y T w v S X R l b V R 5 c G U + P E l 0 Z W 1 Q Y X R o P l N l Y 3 R p b 2 4 x L 1 R h Y m x l Y X U 5 L 1 B l c n N v b m 5 h b G l z J U M z J U E 5 Z S U y M G F q b 3 V 0 J U M z J U E 5 Z T I 8 L 0 l 0 Z W 1 Q Y X R o P j w v S X R l b U x v Y 2 F 0 a W 9 u P j x T d G F i b G V F b n R y a W V z I C 8 + P C 9 J d G V t P j x J d G V t P j x J d G V t T G 9 j Y X R p b 2 4 + P E l 0 Z W 1 U e X B l P k Z v c m 1 1 b G E 8 L 0 l 0 Z W 1 U e X B l P j x J d G V t U G F 0 a D 5 T Z W N 0 a W 9 u M S 9 U Y W J s Z W F 1 O S 9 Q Z X J z b 2 5 u Y W x p c y V D M y V B O S U y M G Q l Q z M l Q T l 2 Z W x v c H A l Q z M l Q T k 8 L 0 l 0 Z W 1 Q Y X R o P j w v S X R l b U x v Y 2 F 0 a W 9 u P j x T d G F i b G V F b n R y a W V z I C 8 + P C 9 J d G V t P j x J d G V t P j x J d G V t T G 9 j Y X R p b 2 4 + P E l 0 Z W 1 U e X B l P k Z v c m 1 1 b G E 8 L 0 l 0 Z W 1 U e X B l P j x J d G V t U G F 0 a D 5 T Z W N 0 a W 9 u M S 9 U Y W J s Z W F 1 O S 9 D b 2 x v b m 5 l c y U y M H N 1 c H B y a W 0 l Q z M l Q T l l c z w v S X R l b V B h d G g + P C 9 J d G V t T G 9 j Y X R p b 2 4 + P F N 0 Y W J s Z U V u d H J p Z X M g L z 4 8 L 0 l 0 Z W 0 + P E l 0 Z W 0 + P E l 0 Z W 1 M b 2 N h d G l v b j 4 8 S X R l b V R 5 c G U + R m 9 y b X V s Y T w v S X R l b V R 5 c G U + P E l 0 Z W 1 Q Y X R o P l N l Y 3 R p b 2 4 x L 1 R h Y l 9 D b 2 1 w d G V 1 c l 8 0 L 0 N v b G 9 u b m V z J T I w c 3 V w c H J p b S V D M y V B O W V z M T w v S X R l b V B h d G g + P C 9 J d G V t T G 9 j Y X R p b 2 4 + P F N 0 Y W J s Z U V u d H J p Z X M g L z 4 8 L 0 l 0 Z W 0 + P E l 0 Z W 0 + P E l 0 Z W 1 M b 2 N h d G l v b j 4 8 S X R l b V R 5 c G U + R m 9 y b X V s Y T w v S X R l b V R 5 c G U + P E l 0 Z W 1 Q Y X R o P l N l Y 3 R p b 2 4 x L 1 R h Y l 9 D b 2 1 w d G V 1 c l 8 1 L 0 N v b G 9 u b m V z J T I w c 3 V w c H J p b S V D M y V B O W V z M T w v S X R l b V B h d G g + P C 9 J d G V t T G 9 j Y X R p b 2 4 + P F N 0 Y W J s Z U V u d H J p Z X M g L z 4 8 L 0 l 0 Z W 0 + P E l 0 Z W 0 + P E l 0 Z W 1 M b 2 N h d G l v b j 4 8 S X R l b V R 5 c G U + R m 9 y b X V s Y T w v S X R l b V R 5 c G U + P E l 0 Z W 1 Q Y X R o P l N l Y 3 R p b 2 4 x L 1 R h Y l 9 D b 2 1 w d G V 1 c l 8 2 L 0 N v b G 9 u b m V z J T I w c 3 V w c H J p b S V D M y V B O W V z M T w v S X R l b V B h d G g + P C 9 J d G V t T G 9 j Y X R p b 2 4 + P F N 0 Y W J s Z U V u d H J p Z X M g L z 4 8 L 0 l 0 Z W 0 + P E l 0 Z W 0 + P E l 0 Z W 1 M b 2 N h d G l v b j 4 8 S X R l b V R 5 c G U + R m 9 y b X V s Y T w v S X R l b V R 5 c G U + P E l 0 Z W 1 Q Y X R o P l N l Y 3 R p b 2 4 x L 1 R h Y l 9 D b 2 1 w d G V 1 c l 8 3 L 0 N v b G 9 u b m V z J T I w c 3 V w c H J p b S V D M y V B O W V z M T w v S X R l b V B h d G g + P C 9 J d G V t T G 9 j Y X R p b 2 4 + P F N 0 Y W J s Z U V u d H J p Z X M g L z 4 8 L 0 l 0 Z W 0 + P E l 0 Z W 0 + P E l 0 Z W 1 M b 2 N h d G l v b j 4 8 S X R l b V R 5 c G U + R m 9 y b X V s Y T w v S X R l b V R 5 c G U + P E l 0 Z W 1 Q Y X R o P l N l Y 3 R p b 2 4 x L 1 R h Y l 9 D b 2 1 w d G V 1 c l 8 4 L 0 N v b G 9 u b m V z J T I w c 3 V w c H J p b S V D M y V B O W V z M T w v S X R l b V B h d G g + P C 9 J d G V t T G 9 j Y X R p b 2 4 + P F N 0 Y W J s Z U V u d H J p Z X M g L z 4 8 L 0 l 0 Z W 0 + P E l 0 Z W 0 + P E l 0 Z W 1 M b 2 N h d G l v b j 4 8 S X R l b V R 5 c G U + R m 9 y b X V s Y T w v S X R l b V R 5 c G U + P E l 0 Z W 1 Q Y X R o P l N l Y 3 R p b 2 4 x L 1 R h Y l 9 D b 2 1 w d G V 1 c l 8 z L 0 N v b G 9 u b m V z J T I w c 3 V w c H J p b S V D M y V B O W V z M T w v S X R l b V B h d G g + P C 9 J d G V t T G 9 j Y X R p b 2 4 + P F N 0 Y W J s Z U V u d H J p Z X M g L z 4 8 L 0 l 0 Z W 0 + P E l 0 Z W 0 + P E l 0 Z W 1 M b 2 N h d G l v b j 4 8 S X R l b V R 5 c G U + R m 9 y b X V s Y T w v S X R l b V R 5 c G U + P E l 0 Z W 1 Q Y X R o P l N l Y 3 R p b 2 4 x L 1 R h Y m x l Y X U 5 L 0 N v b G 9 u b m V z J T I w c m V u b 2 1 t J U M z J U E 5 Z X M 8 L 0 l 0 Z W 1 Q Y X R o P j w v S X R l b U x v Y 2 F 0 a W 9 u P j x T d G F i b G V F b n R y a W V z I C 8 + P C 9 J d G V t P j x J d G V t P j x J d G V t T G 9 j Y X R p b 2 4 + P E l 0 Z W 1 U e X B l P k Z v c m 1 1 b G E 8 L 0 l 0 Z W 1 U e X B l P j x J d G V t U G F 0 a D 5 T Z W N 0 a W 9 u M S 9 U Y W J f Q 2 9 t c H R l d X J f M i 9 S Z X F 1 J U M z J U F B d G V z J T I w Z n V z a W 9 u b i V D M y V B O W V z P C 9 J d G V t U G F 0 a D 4 8 L 0 l 0 Z W 1 M b 2 N h d G l v b j 4 8 U 3 R h Y m x l R W 5 0 c m l l c y A v P j w v S X R l b T 4 8 S X R l b T 4 8 S X R l b U x v Y 2 F 0 a W 9 u P j x J d G V t V H l w Z T 5 G b 3 J t d W x h P C 9 J d G V t V H l w Z T 4 8 S X R l b V B h d G g + U 2 V j d G l v b j E v V G F i X 0 N v b X B 0 Z X V y X z I v V G F i b G V h d T k l M j B k J U M z J U E 5 d m V s b 3 B w J U M z J U E 5 P C 9 J d G V t U G F 0 a D 4 8 L 0 l 0 Z W 1 M b 2 N h d G l v b j 4 8 U 3 R h Y m x l R W 5 0 c m l l c y A v P j w v S X R l b T 4 8 S X R l b T 4 8 S X R l b U x v Y 2 F 0 a W 9 u P j x J d G V t V H l w Z T 5 G b 3 J t d W x h P C 9 J d G V t V H l w Z T 4 8 S X R l b V B h d G g + U 2 V j d G l v b j E v V G F i X 0 N v b X B 0 Z X V y X z I v T G l n b m V z J T I w Z m l s d H I l Q z M l Q T l l c z I 8 L 0 l 0 Z W 1 Q Y X R o P j w v S X R l b U x v Y 2 F 0 a W 9 u P j x T d G F i b G V F b n R y a W V z I C 8 + P C 9 J d G V t P j x J d G V t P j x J d G V t T G 9 j Y X R p b 2 4 + P E l 0 Z W 1 U e X B l P k Z v c m 1 1 b G E 8 L 0 l 0 Z W 1 U e X B l P j x J d G V t U G F 0 a D 5 T Z W N 0 a W 9 u M S 9 U Y W J s Z W F 1 O S 9 M a W d u Z X M l M j B m a W x 0 c i V D M y V B O W V z P C 9 J d G V t U G F 0 a D 4 8 L 0 l 0 Z W 1 M b 2 N h d G l v b j 4 8 U 3 R h Y m x l R W 5 0 c m l l c y A v P j w v S X R l b T 4 8 S X R l b T 4 8 S X R l b U x v Y 2 F 0 a W 9 u P j x J d G V t V H l w Z T 5 G b 3 J t d W x h P C 9 J d G V t V H l w Z T 4 8 S X R l b V B h d G g + U 2 V j d G l v b j E v V G F i b G V h d T k v T G l n b m V z J T I w Z m l s d H I l Q z M l Q T l l c z E 8 L 0 l 0 Z W 1 Q Y X R o P j w v S X R l b U x v Y 2 F 0 a W 9 u P j x T d G F i b G V F b n R y a W V z I C 8 + P C 9 J d G V t P j x J d G V t P j x J d G V t T G 9 j Y X R p b 2 4 + P E l 0 Z W 1 U e X B l P k Z v c m 1 1 b G E 8 L 0 l 0 Z W 1 U e X B l P j x J d G V t U G F 0 a D 5 T Z W N 0 a W 9 u M S 9 U Y W J f Q 2 9 t c H R l d X J f M y 9 S Z X F 1 J U M z J U F B d G V z J T I w Z n V z a W 9 u b i V D M y V B O W V z P C 9 J d G V t U G F 0 a D 4 8 L 0 l 0 Z W 1 M b 2 N h d G l v b j 4 8 U 3 R h Y m x l R W 5 0 c m l l c y A v P j w v S X R l b T 4 8 S X R l b T 4 8 S X R l b U x v Y 2 F 0 a W 9 u P j x J d G V t V H l w Z T 5 G b 3 J t d W x h P C 9 J d G V t V H l w Z T 4 8 S X R l b V B h d G g + U 2 V j d G l v b j E v V G F i X 0 N v b X B 0 Z X V y X z M v V G F i b G V h d T k l M j B k J U M z J U E 5 d m V s b 3 B w J U M z J U E 5 P C 9 J d G V t U G F 0 a D 4 8 L 0 l 0 Z W 1 M b 2 N h d G l v b j 4 8 U 3 R h Y m x l R W 5 0 c m l l c y A v P j w v S X R l b T 4 8 S X R l b T 4 8 S X R l b U x v Y 2 F 0 a W 9 u P j x J d G V t V H l w Z T 5 G b 3 J t d W x h P C 9 J d G V t V H l w Z T 4 8 S X R l b V B h d G g + U 2 V j d G l v b j E v V G F i X 0 N v b X B 0 Z X V y X z Q v U m V x d S V D M y V B Q X R l c y U y M G Z 1 c 2 l v b m 4 l Q z M l Q T l l c z w v S X R l b V B h d G g + P C 9 J d G V t T G 9 j Y X R p b 2 4 + P F N 0 Y W J s Z U V u d H J p Z X M g L z 4 8 L 0 l 0 Z W 0 + P E l 0 Z W 0 + P E l 0 Z W 1 M b 2 N h d G l v b j 4 8 S X R l b V R 5 c G U + R m 9 y b X V s Y T w v S X R l b V R 5 c G U + P E l 0 Z W 1 Q Y X R o P l N l Y 3 R p b 2 4 x L 1 R h Y l 9 D b 2 1 w d G V 1 c l 8 0 L 1 R h Y m x l Y X U 5 J T I w Z C V D M y V B O X Z l b G 9 w c C V D M y V B O T w v S X R l b V B h d G g + P C 9 J d G V t T G 9 j Y X R p b 2 4 + P F N 0 Y W J s Z U V u d H J p Z X M g L z 4 8 L 0 l 0 Z W 0 + P E l 0 Z W 0 + P E l 0 Z W 1 M b 2 N h d G l v b j 4 8 S X R l b V R 5 c G U + R m 9 y b X V s Y T w v S X R l b V R 5 c G U + P E l 0 Z W 1 Q Y X R o P l N l Y 3 R p b 2 4 x L 1 R h Y l 9 D b 2 1 w d G V 1 c l 8 1 L 1 J l c X U l Q z M l Q U F 0 Z X M l M j B m d X N p b 2 5 u J U M z J U E 5 Z X M 8 L 0 l 0 Z W 1 Q Y X R o P j w v S X R l b U x v Y 2 F 0 a W 9 u P j x T d G F i b G V F b n R y a W V z I C 8 + P C 9 J d G V t P j x J d G V t P j x J d G V t T G 9 j Y X R p b 2 4 + P E l 0 Z W 1 U e X B l P k Z v c m 1 1 b G E 8 L 0 l 0 Z W 1 U e X B l P j x J d G V t U G F 0 a D 5 T Z W N 0 a W 9 u M S 9 U Y W J f Q 2 9 t c H R l d X J f N S 9 U Y W J s Z W F 1 O S U y M G Q l Q z M l Q T l 2 Z W x v c H A l Q z M l Q T k 8 L 0 l 0 Z W 1 Q Y X R o P j w v S X R l b U x v Y 2 F 0 a W 9 u P j x T d G F i b G V F b n R y a W V z I C 8 + P C 9 J d G V t P j x J d G V t P j x J d G V t T G 9 j Y X R p b 2 4 + P E l 0 Z W 1 U e X B l P k Z v c m 1 1 b G E 8 L 0 l 0 Z W 1 U e X B l P j x J d G V t U G F 0 a D 5 T Z W N 0 a W 9 u M S 9 U Y W J f Q 2 9 t c H R l d X J f N i 9 S Z X F 1 J U M z J U F B d G V z J T I w Z n V z a W 9 u b i V D M y V B O W V z P C 9 J d G V t U G F 0 a D 4 8 L 0 l 0 Z W 1 M b 2 N h d G l v b j 4 8 U 3 R h Y m x l R W 5 0 c m l l c y A v P j w v S X R l b T 4 8 S X R l b T 4 8 S X R l b U x v Y 2 F 0 a W 9 u P j x J d G V t V H l w Z T 5 G b 3 J t d W x h P C 9 J d G V t V H l w Z T 4 8 S X R l b V B h d G g + U 2 V j d G l v b j E v V G F i X 0 N v b X B 0 Z X V y X z Y v V G F i b G V h d T k l M j B k J U M z J U E 5 d m V s b 3 B w J U M z J U E 5 P C 9 J d G V t U G F 0 a D 4 8 L 0 l 0 Z W 1 M b 2 N h d G l v b j 4 8 U 3 R h Y m x l R W 5 0 c m l l c y A v P j w v S X R l b T 4 8 S X R l b T 4 8 S X R l b U x v Y 2 F 0 a W 9 u P j x J d G V t V H l w Z T 5 G b 3 J t d W x h P C 9 J d G V t V H l w Z T 4 8 S X R l b V B h d G g + U 2 V j d G l v b j E v V G F i X 0 N v b X B 0 Z X V y X z c v U m V x d S V D M y V B Q X R l c y U y M G Z 1 c 2 l v b m 4 l Q z M l Q T l l c z w v S X R l b V B h d G g + P C 9 J d G V t T G 9 j Y X R p b 2 4 + P F N 0 Y W J s Z U V u d H J p Z X M g L z 4 8 L 0 l 0 Z W 0 + P E l 0 Z W 0 + P E l 0 Z W 1 M b 2 N h d G l v b j 4 8 S X R l b V R 5 c G U + R m 9 y b X V s Y T w v S X R l b V R 5 c G U + P E l 0 Z W 1 Q Y X R o P l N l Y 3 R p b 2 4 x L 1 R h Y l 9 D b 2 1 w d G V 1 c l 8 3 L 1 R h Y m x l Y X U 5 J T I w Z C V D M y V B O X Z l b G 9 w c C V D M y V B O T w v S X R l b V B h d G g + P C 9 J d G V t T G 9 j Y X R p b 2 4 + P F N 0 Y W J s Z U V u d H J p Z X M g L z 4 8 L 0 l 0 Z W 0 + P E l 0 Z W 0 + P E l 0 Z W 1 M b 2 N h d G l v b j 4 8 S X R l b V R 5 c G U + R m 9 y b X V s Y T w v S X R l b V R 5 c G U + P E l 0 Z W 1 Q Y X R o P l N l Y 3 R p b 2 4 x L 1 R h Y l 9 D b 2 1 w d G V 1 c l 8 4 L 1 J l c X U l Q z M l Q U F 0 Z X M l M j B m d X N p b 2 5 u J U M z J U E 5 Z X M 8 L 0 l 0 Z W 1 Q Y X R o P j w v S X R l b U x v Y 2 F 0 a W 9 u P j x T d G F i b G V F b n R y a W V z I C 8 + P C 9 J d G V t P j x J d G V t P j x J d G V t T G 9 j Y X R p b 2 4 + P E l 0 Z W 1 U e X B l P k Z v c m 1 1 b G E 8 L 0 l 0 Z W 1 U e X B l P j x J d G V t U G F 0 a D 5 T Z W N 0 a W 9 u M S 9 U Y W J f Q 2 9 t c H R l d X J f O C 9 U Y W J s Z W F 1 O S U y M G Q l Q z M l Q T l 2 Z W x v c H A l Q z M l Q T k 8 L 0 l 0 Z W 1 Q Y X R o P j w v S X R l b U x v Y 2 F 0 a W 9 u P j x T d G F i b G V F b n R y a W V z I C 8 + P C 9 J d G V t P j x J d G V t P j x J d G V t T G 9 j Y X R p b 2 4 + P E l 0 Z W 1 U e X B l P k Z v c m 1 1 b G E 8 L 0 l 0 Z W 1 U e X B l P j x J d G V t U G F 0 a D 5 T Z W N 0 a W 9 u M S 9 U Y W J f Y 2 9 u Y 2 F 0 L 1 R 5 c G U l M j B t b 2 R p Z m k l Q z M l Q T k y P C 9 J d G V t U G F 0 a D 4 8 L 0 l 0 Z W 1 M b 2 N h d G l v b j 4 8 U 3 R h Y m x l R W 5 0 c m l l c y A v P j w v S X R l b T 4 8 S X R l b T 4 8 S X R l b U x v Y 2 F 0 a W 9 u P j x J d G V t V H l w Z T 5 G b 3 J t d W x h P C 9 J d G V t V H l w Z T 4 8 S X R l b V B h d G g + U 2 V j d G l v b j E v V G F i X 2 N v b m N h d C 9 S Z X F 1 J U M z J U F B d G V z J T I w Z n V z a W 9 u b i V D M y V B O W V z P C 9 J d G V t U G F 0 a D 4 8 L 0 l 0 Z W 1 M b 2 N h d G l v b j 4 8 U 3 R h Y m x l R W 5 0 c m l l c y A v P j w v S X R l b T 4 8 S X R l b T 4 8 S X R l b U x v Y 2 F 0 a W 9 u P j x J d G V t V H l w Z T 5 G b 3 J t d W x h P C 9 J d G V t V H l w Z T 4 8 S X R l b V B h d G g + U 2 V j d G l v b j E v V G F i X 2 N v b m N h d C 9 U Y W J s Z W F 1 O S U y M G Q l Q z M l Q T l 2 Z W x v c H A l Q z M l Q T k 8 L 0 l 0 Z W 1 Q Y X R o P j w v S X R l b U x v Y 2 F 0 a W 9 u P j x T d G F i b G V F b n R y a W V z I C 8 + P C 9 J d G V t P j x J d G V t P j x J d G V t T G 9 j Y X R p b 2 4 + P E l 0 Z W 1 U e X B l P k Z v c m 1 1 b G E 8 L 0 l 0 Z W 1 U e X B l P j x J d G V t U G F 0 a D 5 T Z W N 0 a W 9 u M S 9 U Y W J f Y 2 9 u Y 2 F 0 L 1 J l c X U l Q z M l Q U F 0 Z S U y M G F q b 3 V 0 J U M z J U E 5 Z T w v S X R l b V B h d G g + P C 9 J d G V t T G 9 j Y X R p b 2 4 + P F N 0 Y W J s Z U V u d H J p Z X M g L z 4 8 L 0 l 0 Z W 0 + P E l 0 Z W 0 + P E l 0 Z W 1 M b 2 N h d G l v b j 4 8 S X R l b V R 5 c G U + R m 9 y b X V s Y T w v S X R l b V R 5 c G U + P E l 0 Z W 1 Q Y X R o P l N l Y 3 R p b 2 4 x L 1 R h Y l 9 j b 2 5 j Y X Q v T G l n b m V z J T I w Z m l s d H I l Q z M l Q T l l c z E 8 L 0 l 0 Z W 1 Q Y X R o P j w v S X R l b U x v Y 2 F 0 a W 9 u P j x T d G F i b G V F b n R y a W V z I C 8 + P C 9 J d G V t P j x J d G V t P j x J d G V t T G 9 j Y X R p b 2 4 + P E l 0 Z W 1 U e X B l P k Z v c m 1 1 b G E 8 L 0 l 0 Z W 1 U e X B l P j x J d G V t U G F 0 a D 5 T Z W N 0 a W 9 u M S 9 U Y W J f Y 2 9 u Y 2 F 0 L 1 R 5 c G U l M j B t b 2 R p Z m k l Q z M l Q T k x P C 9 J d G V t U G F 0 a D 4 8 L 0 l 0 Z W 1 M b 2 N h d G l v b j 4 8 U 3 R h Y m x l R W 5 0 c m l l c y A v P j w v S X R l b T 4 8 L 0 l 0 Z W 1 z P j w v T G 9 j Y W x Q Y W N r Y W d l T W V 0 Y W R h d G F G a W x l P h Y A A A B Q S w U G A A A A A A A A A A A A A A A A A A A A A A A A 2 g A A A A E A A A D Q j J 3 f A R X R E Y x 6 A M B P w p f r A Q A A A N P R 2 B n l b B R O i A P w P b 8 0 c D M A A A A A A g A A A A A A A 2 Y A A M A A A A A Q A A A A m 3 G w c P x X L B P F N R 7 3 g G I m M A A A A A A E g A A A o A A A A B A A A A B V c W z 6 n 6 A 9 A k C u 8 r 3 k m K x O U A A A A E U R Q 7 n A 0 i E m 3 3 p s i N W k v 1 h y M 5 q m J m 7 Q y Q J O f J a O K B V 7 q A b 6 F 7 P v + Y Y G B U N e 8 3 U 9 7 v z + s 0 n J r z e v 6 m e 3 8 a c 8 E s w L y T D U y b 7 r 5 3 i G S 2 y s Y 1 c K F A A A A C w n B p 1 F C X i S H G X Q h h A 1 4 7 7 1 9 U s Q < / D a t a M a s h u p > 
</file>

<file path=customXml/item10.xml>��< ? x m l   v e r s i o n = " 1 . 0 "   e n c o d i n g = " U T F - 1 6 " ? > < G e m i n i   x m l n s = " h t t p : / / g e m i n i / p i v o t c u s t o m i z a t i o n / T a b l e X M L _ T a b l e a u 1 6 " > < C u s t o m C o n t e n t > < ! [ C D A T A [ < T a b l e W i d g e t G r i d S e r i a l i z a t i o n   x m l n s : x s i = " h t t p : / / w w w . w 3 . o r g / 2 0 0 1 / X M L S c h e m a - i n s t a n c e "   x m l n s : x s d = " h t t p : / / w w w . w 3 . o r g / 2 0 0 1 / X M L S c h e m a " > < C o l u m n S u g g e s t e d T y p e   / > < C o l u m n F o r m a t   / > < C o l u m n A c c u r a c y   / > < C o l u m n C u r r e n c y S y m b o l   / > < C o l u m n P o s i t i v e P a t t e r n   / > < C o l u m n N e g a t i v e P a t t e r n   / > < C o l u m n W i d t h s > < i t e m > < k e y > < s t r i n g > C o m p t e u r / L i v r a i s o n < / s t r i n g > < / k e y > < v a l u e > < i n t > 3 0 6 < / i n t > < / v a l u e > < / i t e m > < i t e m > < k e y > < s t r i n g > T y p e < / s t r i n g > < / k e y > < v a l u e > < i n t > 1 2 2 < / i n t > < / v a l u e > < / i t e m > < i t e m > < k e y > < s t r i n g > S o u r c e < / s t r i n g > < / k e y > < v a l u e > < i n t > 1 4 7 < / i n t > < / v a l u e > < / i t e m > < i t e m > < k e y > < s t r i n g > D e t a i l   u s a g e < / s t r i n g > < / k e y > < v a l u e > < i n t > 2 1 2 < / i n t > < / v a l u e > < / i t e m > < i t e m > < k e y > < s t r i n g > C o m b u s t i b l e < / s t r i n g > < / k e y > < v a l u e > < i n t > 2 1 8 < / i n t > < / v a l u e > < / i t e m > < i t e m > < k e y > < s t r i n g > P C I < / s t r i n g > < / k e y > < v a l u e > < i n t > 1 0 3 < / i n t > < / v a l u e > < / i t e m > < i t e m > < k e y > < s t r i n g > P C I _ D E E T < / s t r i n g > < / k e y > < v a l u e > < i n t > 1 8 1 < / i n t > < / v a l u e > < / i t e m > < i t e m > < k e y > < s t r i n g > N o m < / s t r i n g > < / k e y > < v a l u e > < i n t > 1 2 2 < / i n t > < / v a l u e > < / i t e m > < i t e m > < k e y > < s t r i n g > P C I _ E P < / s t r i n g > < / k e y > < v a l u e > < i n t > 1 4 9 < / i n t > < / v a l u e > < / i t e m > < / C o l u m n W i d t h s > < C o l u m n D i s p l a y I n d e x > < i t e m > < k e y > < s t r i n g > C o m p t e u r / L i v r a i s o n < / s t r i n g > < / k e y > < v a l u e > < i n t > 0 < / i n t > < / v a l u e > < / i t e m > < i t e m > < k e y > < s t r i n g > T y p e < / s t r i n g > < / k e y > < v a l u e > < i n t > 1 < / i n t > < / v a l u e > < / i t e m > < i t e m > < k e y > < s t r i n g > S o u r c e < / s t r i n g > < / k e y > < v a l u e > < i n t > 2 < / i n t > < / v a l u e > < / i t e m > < i t e m > < k e y > < s t r i n g > D e t a i l   u s a g e < / s t r i n g > < / k e y > < v a l u e > < i n t > 3 < / i n t > < / v a l u e > < / i t e m > < i t e m > < k e y > < s t r i n g > C o m b u s t i b l e < / s t r i n g > < / k e y > < v a l u e > < i n t > 4 < / i n t > < / v a l u e > < / i t e m > < i t e m > < k e y > < s t r i n g > P C I < / s t r i n g > < / k e y > < v a l u e > < i n t > 5 < / i n t > < / v a l u e > < / i t e m > < i t e m > < k e y > < s t r i n g > P C I _ D E E T < / s t r i n g > < / k e y > < v a l u e > < i n t > 6 < / i n t > < / v a l u e > < / i t e m > < i t e m > < k e y > < s t r i n g > N o m < / s t r i n g > < / k e y > < v a l u e > < i n t > 7 < / i n t > < / v a l u e > < / i t e m > < i t e m > < k e y > < s t r i n g > P C I _ E P < / s t r i n g > < / k e y > < v a l u e > < i n t > 8 < / 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 T a b _ c o n c a t _ f 1 4 8 b 1 5 1 - 7 8 6 5 - 4 9 f 6 - 8 1 9 0 - 9 3 b 9 2 3 6 3 f b a 8 < / K e y > < V a l u e   x m l n s : a = " h t t p : / / s c h e m a s . d a t a c o n t r a c t . o r g / 2 0 0 4 / 0 7 / M i c r o s o f t . A n a l y s i s S e r v i c e s . C o m m o n " > < a : H a s F o c u s > t r u e < / a : H a s F o c u s > < a : S i z e A t D p i 9 6 > 1 8 8 < / a : S i z e A t D p i 9 6 > < a : V i s i b l e > t r u e < / a : V i s i b l e > < / V a l u e > < / K e y V a l u e O f s t r i n g S a n d b o x E d i t o r . M e a s u r e G r i d S t a t e S c d E 3 5 R y > < K e y V a l u e O f s t r i n g S a n d b o x E d i t o r . M e a s u r e G r i d S t a t e S c d E 3 5 R y > < K e y > T a b l e a u 1 6 < / K e y > < V a l u e   x m l n s : a = " h t t p : / / s c h e m a s . d a t a c o n t r a c t . o r g / 2 0 0 4 / 0 7 / M i c r o s o f t . A n a l y s i s S e r v i c e s . C o m m o n " > < a : H a s F o c u s > t r u e < / a : H a s F o c u s > < a : S i z e A t D p i 9 6 > 1 8 8 < / a : S i z e A t D p i 9 6 > < a : V i s i b l e > t r u e < / a : V i s i b l e > < / V a l u e > < / K e y V a l u e O f s t r i n g S a n d b o x E d i t o r . M e a s u r e G r i d S t a t e S c d E 3 5 R y > < / A r r a y O f K e y V a l u e O f s t r i n g S a n d b o x E d i t o r . M e a s u r e G r i d S t a t e S c d E 3 5 R y > ] ] > < / C u s t o m C o n t e n t > < / G e m i n i > 
</file>

<file path=customXml/item12.xml>��< ? x m l   v e r s i o n = " 1 . 0 "   e n c o d i n g = " U T F - 1 6 " ? > < G e m i n i   x m l n s = " h t t p : / / g e m i n i / p i v o t c u s t o m i z a t i o n / M a n u a l C a l c M o d e " > < C u s t o m C o n t e n t > < ! [ C D A T A [ F a l s e ] ] > < / C u s t o m C o n t e n t > < / G e m i n i > 
</file>

<file path=customXml/item13.xml>��< ? x m l   v e r s i o n = " 1 . 0 "   e n c o d i n g = " U T F - 1 6 " ? > < G e m i n i   x m l n s = " h t t p : / / g e m i n i / p i v o t c u s t o m i z a t i o n / C l i e n t W i n d o w X M L " > < C u s t o m C o n t e n t > < ! [ C D A T A [ T a b _ c o n c a t _ f 1 4 8 b 1 5 1 - 7 8 6 5 - 4 9 f 6 - 8 1 9 0 - 9 3 b 9 2 3 6 3 f b a 8 ] ] > < / C u s t o m C o n t e n t > < / G e m i n i > 
</file>

<file path=customXml/item14.xml>��< ? x m l   v e r s i o n = " 1 . 0 "   e n c o d i n g = " U T F - 1 6 " ? > < G e m i n i   x m l n s = " h t t p : / / g e m i n i / p i v o t c u s t o m i z a t i o n / F o r m u l a B a r S t a t e " > < C u s t o m C o n t e n t > < ! [ C D A T A [ < S a n d b o x E d i t o r . F o r m u l a B a r S t a t e   x m l n s = " h t t p : / / s c h e m a s . d a t a c o n t r a c t . o r g / 2 0 0 4 / 0 7 / M i c r o s o f t . A n a l y s i s S e r v i c e s . C o m m o n "   x m l n s : i = " h t t p : / / w w w . w 3 . o r g / 2 0 0 1 / X M L S c h e m a - i n s t a n c e " > < H e i g h t > 4 0 < / H e i g h t > < / S a n d b o x E d i t o r . F o r m u l a B a r S t a t e > ] ] > < / C u s t o m C o n t e n t > < / G e m i n i > 
</file>

<file path=customXml/item1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 T a b l e a u 1 6 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 T a b l e a u 1 6 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 C o l u m n s \ C o m p t e u r / L i v r a i s o n < / 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 C o l u m n s \ S o u r c e < / K e y > < / a : K e y > < a : V a l u e   i : t y p e = " T a b l e W i d g e t B a s e V i e w S t a t e " / > < / a : K e y V a l u e O f D i a g r a m O b j e c t K e y a n y T y p e z b w N T n L X > < a : K e y V a l u e O f D i a g r a m O b j e c t K e y a n y T y p e z b w N T n L X > < a : K e y > < K e y > C o l u m n s \ D e t a i l   u s a g e < / K e y > < / a : K e y > < a : V a l u e   i : t y p e = " T a b l e W i d g e t B a s e V i e w S t a t e " / > < / a : K e y V a l u e O f D i a g r a m O b j e c t K e y a n y T y p e z b w N T n L X > < a : K e y V a l u e O f D i a g r a m O b j e c t K e y a n y T y p e z b w N T n L X > < a : K e y > < K e y > C o l u m n s \ C o m b u s t i b l e < / K e y > < / a : K e y > < a : V a l u e   i : t y p e = " T a b l e W i d g e t B a s e V i e w S t a t e " / > < / a : K e y V a l u e O f D i a g r a m O b j e c t K e y a n y T y p e z b w N T n L X > < a : K e y V a l u e O f D i a g r a m O b j e c t K e y a n y T y p e z b w N T n L X > < a : K e y > < K e y > C o l u m n s \ P C I < / K e y > < / a : K e y > < a : V a l u e   i : t y p e = " T a b l e W i d g e t B a s e V i e w S t a t e " / > < / a : K e y V a l u e O f D i a g r a m O b j e c t K e y a n y T y p e z b w N T n L X > < a : K e y V a l u e O f D i a g r a m O b j e c t K e y a n y T y p e z b w N T n L X > < a : K e y > < K e y > C o l u m n s \ P C I _ D E E T < / K e y > < / a : K e y > < a : V a l u e   i : t y p e = " T a b l e W i d g e t B a s e V i e w S t a t e " / > < / a : K e y V a l u e O f D i a g r a m O b j e c t K e y a n y T y p e z b w N T n L X > < a : K e y V a l u e O f D i a g r a m O b j e c t K e y a n y T y p e z b w N T n L X > < a : K e y > < K e y > C o l u m n s \ N o m < / K e y > < / a : K e y > < a : V a l u e   i : t y p e = " T a b l e W i d g e t B a s e V i e w S t a t e " / > < / a : K e y V a l u e O f D i a g r a m O b j e c t K e y a n y T y p e z b w N T n L X > < a : K e y V a l u e O f D i a g r a m O b j e c t K e y a n y T y p e z b w N T n L X > < a : K e y > < K e y > C o l u m n s \ P C I _ E P 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 T a b _ c o n c a t 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 T a b _ c o n c a t 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 C o l u m n s \ C o m p t e u r < / K e y > < / a : K e y > < a : V a l u e   i : t y p e = " T a b l e W i d g e t B a s e V i e w S t a t e " / > < / a : K e y V a l u e O f D i a g r a m O b j e c t K e y a n y T y p e z b w N T n L X > < a : K e y V a l u e O f D i a g r a m O b j e c t K e y a n y T y p e z b w N T n L X > < a : K e y > < K e y > C o l u m n s \ D a t e s < / K e y > < / a : K e y > < a : V a l u e   i : t y p e = " T a b l e W i d g e t B a s e V i e w S t a t e " / > < / a : K e y V a l u e O f D i a g r a m O b j e c t K e y a n y T y p e z b w N T n L X > < a : K e y V a l u e O f D i a g r a m O b j e c t K e y a n y T y p e z b w N T n L X > < a : K e y > < K e y > C o l u m n s \ D e m a n d e _ j o u r < / K e y > < / a : K e y > < a : V a l u e   i : t y p e = " T a b l e W i d g e t B a s e V i e w S t a t e " / > < / a : K e y V a l u e O f D i a g r a m O b j e c t K e y a n y T y p e z b w N T n L X > < a : K e y V a l u e O f D i a g r a m O b j e c t K e y a n y T y p e z b w N T n L X > < a : K e y > < K e y > C o l u m n s \ C o u t _ j o u r < / K e y > < / a : K e y > < a : V a l u e   i : t y p e = " T a b l e W i d g e t B a s e V i e w S t a t e " / > < / a : K e y V a l u e O f D i a g r a m O b j e c t K e y a n y T y p e z b w N T n L X > < a : K e y V a l u e O f D i a g r a m O b j e c t K e y a n y T y p e z b w N T n L X > < a : K e y > < K e y > C o l u m n s \ D J U _ c h a u f f a g i s t e < / K e y > < / a : K e y > < a : V a l u e   i : t y p e = " T a b l e W i d g e t B a s e V i e w S t a t e " / > < / a : K e y V a l u e O f D i a g r a m O b j e c t K e y a n y T y p e z b w N T n L X > < a : K e y V a l u e O f D i a g r a m O b j e c t K e y a n y T y p e z b w N T n L X > < a : K e y > < K e y > C o l u m n s \ D J U _ c l i m a t i c i e n < / 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 C o l u m n s \ S o u r c e < / K e y > < / a : K e y > < a : V a l u e   i : t y p e = " T a b l e W i d g e t B a s e V i e w S t a t e " / > < / a : K e y V a l u e O f D i a g r a m O b j e c t K e y a n y T y p e z b w N T n L X > < a : K e y V a l u e O f D i a g r a m O b j e c t K e y a n y T y p e z b w N T n L X > < a : K e y > < K e y > C o l u m n s \ C o m b u s t i b l e < / K e y > < / a : K e y > < a : V a l u e   i : t y p e = " T a b l e W i d g e t B a s e V i e w S t a t e " / > < / a : K e y V a l u e O f D i a g r a m O b j e c t K e y a n y T y p e z b w N T n L X > < a : K e y V a l u e O f D i a g r a m O b j e c t K e y a n y T y p e z b w N T n L X > < a : K e y > < K e y > C o l u m n s \ C o n s o _ k W h _ P C I < / K e y > < / a : K e y > < a : V a l u e   i : t y p e = " T a b l e W i d g e t B a s e V i e w S t a t e " / > < / a : K e y V a l u e O f D i a g r a m O b j e c t K e y a n y T y p e z b w N T n L X > < a : K e y V a l u e O f D i a g r a m O b j e c t K e y a n y T y p e z b w N T n L X > < a : K e y > < K e y > C o l u m n s \ C o n s o _ k W h _ D E E T < / K e y > < / a : K e y > < a : V a l u e   i : t y p e = " T a b l e W i d g e t B a s e V i e w S t a t e " / > < / a : K e y V a l u e O f D i a g r a m O b j e c t K e y a n y T y p e z b w N T n L X > < a : K e y V a l u e O f D i a g r a m O b j e c t K e y a n y T y p e z b w N T n L X > < a : K e y > < K e y > C o l u m n s \ N o m < / K e y > < / a : K e y > < a : V a l u e   i : t y p e = " T a b l e W i d g e t B a s e V i e w S t a t e " / > < / a : K e y V a l u e O f D i a g r a m O b j e c t K e y a n y T y p e z b w N T n L X > < a : K e y V a l u e O f D i a g r a m O b j e c t K e y a n y T y p e z b w N T n L X > < a : K e y > < K e y > C o l u m n s \ D e t a i l   u s a g e < / K e y > < / a : K e y > < a : V a l u e   i : t y p e = " T a b l e W i d g e t B a s e V i e w S t a t e " / > < / a : K e y V a l u e O f D i a g r a m O b j e c t K e y a n y T y p e z b w N T n L X > < a : K e y V a l u e O f D i a g r a m O b j e c t K e y a n y T y p e z b w N T n L X > < a : K e y > < K e y > C o l u m n s \ C o n s o _ k W h E P < / K e y > < / a : K e y > < a : V a l u e   i : t y p e = " T a b l e W i d g e t B a s e V i e w S t a t e " / > < / a : K e y V a l u e O f D i a g r a m O b j e c t K e y a n y T y p e z b w N T n L X > < a : K e y V a l u e O f D i a g r a m O b j e c t K e y a n y T y p e z b w N T n L X > < a : K e y > < K e y > C o l u m n s \ A n n e e < / K e y > < / a : K e y > < a : V a l u e   i : t y p e = " T a b l e W i d g e t B a s e V i e w S t a t e " / > < / a : K e y V a l u e O f D i a g r a m O b j e c t K e y a n y T y p e z b w N T n L X > < a : K e y V a l u e O f D i a g r a m O b j e c t K e y a n y T y p e z b w N T n L X > < a : K e y > < K e y > C o l u m n s \ M o i s < / K e y > < / a : K e y > < a : V a l u e   i : t y p e = " T a b l e W i d g e t B a s e V i e w S t a t e " / > < / a : K e y V a l u e O f D i a g r a m O b j e c t K e y a n y T y p e z b w N T n L X > < a : K e y V a l u e O f D i a g r a m O b j e c t K e y a n y T y p e z b w N T n L X > < a : K e y > < K e y > C o l u m n s \ C o u t _ u n i t a i r e < / K e y > < / a : K e y > < a : V a l u e   i : t y p e = " T a b l e W i d g e t B a s e V i e w S t a t e " / > < / a : K e y V a l u e O f D i a g r a m O b j e c t K e y a n y T y p e z b w N T n L X > < a : K e y V a l u e O f D i a g r a m O b j e c t K e y a n y T y p e z b w N T n L X > < a : K e y > < K e y > C o l u m n s \ D a t e s   ( a n n � e ) < / K e y > < / a : K e y > < a : V a l u e   i : t y p e = " T a b l e W i d g e t B a s e V i e w S t a t e " / > < / a : K e y V a l u e O f D i a g r a m O b j e c t K e y a n y T y p e z b w N T n L X > < a : K e y V a l u e O f D i a g r a m O b j e c t K e y a n y T y p e z b w N T n L X > < a : K e y > < K e y > C o l u m n s \ D a t e s   ( t r i m e s t r e ) < / K e y > < / a : K e y > < a : V a l u e   i : t y p e = " T a b l e W i d g e t B a s e V i e w S t a t e " / > < / a : K e y V a l u e O f D i a g r a m O b j e c t K e y a n y T y p e z b w N T n L X > < a : K e y V a l u e O f D i a g r a m O b j e c t K e y a n y T y p e z b w N T n L X > < a : K e y > < K e y > C o l u m n s \ D a t e s   ( i n d e x   d e s   m o i s ) < / K e y > < / a : K e y > < a : V a l u e   i : t y p e = " T a b l e W i d g e t B a s e V i e w S t a t e " / > < / a : K e y V a l u e O f D i a g r a m O b j e c t K e y a n y T y p e z b w N T n L X > < a : K e y V a l u e O f D i a g r a m O b j e c t K e y a n y T y p e z b w N T n L X > < a : K e y > < K e y > C o l u m n s \ D a t e s   ( m o i s ) < / K e y > < / a : K e y > < a : V a l u e   i : t y p e = " T a b l e W i d g e t B a s e V i e w S t a t e " / > < / a : K e y V a l u e O f D i a g r a m O b j e c t K e y a n y T y p e z b w N T n L X > < a : K e y V a l u e O f D i a g r a m O b j e c t K e y a n y T y p e z b w N T n L X > < a : K e y > < K e y > C o l u m n s \ D J U _ q u o t _ c h a u f f a g i s t e < / K e y > < / a : K e y > < a : V a l u e   i : t y p e = " T a b l e W i d g e t B a s e V i e w S t a t e " / > < / a : K e y V a l u e O f D i a g r a m O b j e c t K e y a n y T y p e z b w N T n L X > < a : K e y V a l u e O f D i a g r a m O b j e c t K e y a n y T y p e z b w N T n L X > < a : K e y > < K e y > C o l u m n s \ D J U _ q u o t _ c l i m a t i c i e n 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6.xml><?xml version="1.0" encoding="utf-8"?>
<p:properties xmlns:p="http://schemas.microsoft.com/office/2006/metadata/properties" xmlns:xsi="http://www.w3.org/2001/XMLSchema-instance" xmlns:pc="http://schemas.microsoft.com/office/infopath/2007/PartnerControls">
  <documentManagement>
    <_activity xmlns="50efc2f2-ed42-4ad2-8b88-4bd24066a633" xsi:nil="true"/>
  </documentManagement>
</p:properties>
</file>

<file path=customXml/item17.xml>��< ? x m l   v e r s i o n = " 1 . 0 "   e n c o d i n g = " U T F - 1 6 " ? > < G e m i n i   x m l n s = " h t t p : / / g e m i n i / p i v o t c u s t o m i z a t i o n / 6 e 5 5 f 1 6 8 - f 7 d 1 - 4 0 5 b - 8 6 9 4 - 0 3 1 d d 7 3 8 f 3 c 3 " > < C u s t o m C o n t e n t > < ! [ C D A T A [ < ? x m l   v e r s i o n = " 1 . 0 "   e n c o d i n g = " u t f - 1 6 " ? > < S e t t i n g s > < C a l c u l a t e d F i e l d s > < i t e m > < M e a s u r e N a m e > C o n s o _ D J U < / M e a s u r e N a m e > < D i s p l a y N a m e > C o n s o _ D J U < / D i s p l a y N a m e > < V i s i b l e > F a l s e < / V i s i b l e > < / i t e m > < / C a l c u l a t e d F i e l d s > < S A H o s t H a s h > 0 < / S A H o s t H a s h > < G e m i n i F i e l d L i s t V i s i b l e > T r u e < / G e m i n i F i e l d L i s t V i s i b l e > < / S e t t i n g s > ] ] > < / C u s t o m C o n t e n t > < / G e m i n i > 
</file>

<file path=customXml/item18.xml><?xml version="1.0" encoding="utf-8"?>
<ct:contentTypeSchema xmlns:ct="http://schemas.microsoft.com/office/2006/metadata/contentType" xmlns:ma="http://schemas.microsoft.com/office/2006/metadata/properties/metaAttributes" ct:_="" ma:_="" ma:contentTypeName="Document" ma:contentTypeID="0x010100BB6669FF9A6C2E45B6E34480CBECE584" ma:contentTypeVersion="15" ma:contentTypeDescription="Create a new document." ma:contentTypeScope="" ma:versionID="7f813046db7683bcbce9b2bbfc324b02">
  <xsd:schema xmlns:xsd="http://www.w3.org/2001/XMLSchema" xmlns:xs="http://www.w3.org/2001/XMLSchema" xmlns:p="http://schemas.microsoft.com/office/2006/metadata/properties" xmlns:ns3="50efc2f2-ed42-4ad2-8b88-4bd24066a633" xmlns:ns4="e11cf51e-129a-4273-89ec-3acd2dfe0f03" targetNamespace="http://schemas.microsoft.com/office/2006/metadata/properties" ma:root="true" ma:fieldsID="92b5a621f987ae4fc4ccf95bb130a005" ns3:_="" ns4:_="">
    <xsd:import namespace="50efc2f2-ed42-4ad2-8b88-4bd24066a633"/>
    <xsd:import namespace="e11cf51e-129a-4273-89ec-3acd2dfe0f03"/>
    <xsd:element name="properties">
      <xsd:complexType>
        <xsd:sequence>
          <xsd:element name="documentManagement">
            <xsd:complexType>
              <xsd:all>
                <xsd:element ref="ns3:_activity" minOccurs="0"/>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ObjectDetectorVersions"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efc2f2-ed42-4ad2-8b88-4bd24066a633"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1cf51e-129a-4273-89ec-3acd2dfe0f0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1 6 " ? > < G e m i n i   x m l n s = " h t t p : / / g e m i n i / p i v o t c u s t o m i z a t i o n / L i n k e d T a b l e U p d a t e M o d e " > < C u s t o m C o n t e n t > < ! [ C D A T A [ T r u e ] ] > < / C u s t o m C o n t e n t > < / G e m i n i > 
</file>

<file path=customXml/item2.xml>��< ? x m l   v e r s i o n = " 1 . 0 "   e n c o d i n g = " U T F - 1 6 " ? > < G e m i n i   x m l n s = " h t t p : / / g e m i n i / p i v o t c u s t o m i z a t i o n / I s S a n d b o x E m b e d d e d " > < C u s t o m C o n t e n t > < ! [ C D A T A [ y e s ] ] > < / C u s t o m C o n t e n t > < / G e m i n i > 
</file>

<file path=customXml/item20.xml>��< ? x m l   v e r s i o n = " 1 . 0 "   e n c o d i n g = " U T F - 1 6 " ? > < G e m i n i   x m l n s = " h t t p : / / g e m i n i / p i v o t c u s t o m i z a t i o n / T a b l e O r d e r " > < C u s t o m C o n t e n t > < ! [ C D A T A [ T a b _ c o n c a t _ f 1 4 8 b 1 5 1 - 7 8 6 5 - 4 9 f 6 - 8 1 9 0 - 9 3 b 9 2 3 6 3 f b a 8 , T a b l e a u 1 6 ] ] > < / C u s t o m C o n t e n t > < / G e m i n i > 
</file>

<file path=customXml/item21.xml>��< ? x m l   v e r s i o n = " 1 . 0 "   e n c o d i n g = " U T F - 1 6 " ? > < G e m i n i   x m l n s = " h t t p : / / g e m i n i / p i v o t c u s t o m i z a t i o n / 4 6 b e 0 8 f b - b e b 1 - 4 9 9 9 - 9 b d 3 - e 7 d 1 6 1 c 8 f f 2 3 " > < C u s t o m C o n t e n t > < ! [ C D A T A [ < ? x m l   v e r s i o n = " 1 . 0 "   e n c o d i n g = " u t f - 1 6 " ? > < S e t t i n g s > < C a l c u l a t e d F i e l d s > < i t e m > < M e a s u r e N a m e > C o n s o _ D J U < / M e a s u r e N a m e > < D i s p l a y N a m e > C o n s o _ D J U < / D i s p l a y N a m e > < V i s i b l e > F a l s e < / V i s i b l e > < / i t e m > < / C a l c u l a t e d F i e l d s > < S A H o s t H a s h > 0 < / S A H o s t H a s h > < G e m i n i F i e l d L i s t V i s i b l e > T r u e < / G e m i n i F i e l d L i s t V i s i b l e > < / S e t t i n g s > ] ] > < / C u s t o m C o n t e n t > < / G e m i n i > 
</file>

<file path=customXml/item22.xml>��< ? x m l   v e r s i o n = " 1 . 0 "   e n c o d i n g = " U T F - 1 6 " ? > < G e m i n i   x m l n s = " h t t p : / / g e m i n i / p i v o t c u s t o m i z a t i o n / S a n d b o x N o n E m p t y " > < C u s t o m C o n t e n t > < ! [ C D A T A [ 1 ] ] > < / C u s t o m C o n t e n t > < / G e m i n i > 
</file>

<file path=customXml/item23.xml><?xml version="1.0" encoding="utf-8"?>
<?mso-contentType ?>
<FormTemplates xmlns="http://schemas.microsoft.com/sharepoint/v3/contenttype/forms">
  <Display>DocumentLibraryForm</Display>
  <Edit>DocumentLibraryForm</Edit>
  <New>DocumentLibraryForm</New>
</FormTemplates>
</file>

<file path=customXml/item2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 2 0 2 5 - 1 1 - 2 4 T 1 6 : 0 9 : 3 0 . 7 7 3 6 0 9 9 + 0 1 : 0 0 < / L a s t P r o c e s s e d T i m e > < / D a t a M o d e l i n g S a n d b o x . S e r i a l i z e d S a n d b o x E r r o r C a c h e > ] ] > < / C u s t o m C o n t e n t > < / G e m i n i > 
</file>

<file path=customXml/item3.xml>��< ? x m l   v e r s i o n = " 1 . 0 "   e n c o d i n g = " U T F - 1 6 " ? > < G e m i n i   x m l n s = " h t t p : / / g e m i n i / p i v o t c u s t o m i z a t i o n / T a b l e X M L _ T a b _ C a l c u l s " > < C u s t o m C o n t e n t > < ! [ C D A T A [ < T a b l e W i d g e t G r i d S e r i a l i z a t i o n   x m l n s : x s i = " h t t p : / / w w w . w 3 . o r g / 2 0 0 1 / X M L S c h e m a - i n s t a n c e "   x m l n s : x s d = " h t t p : / / w w w . w 3 . o r g / 2 0 0 1 / X M L S c h e m a " > < C o l u m n S u g g e s t e d T y p e   / > < C o l u m n F o r m a t   / > < C o l u m n A c c u r a c y   / > < C o l u m n C u r r e n c y S y m b o l   / > < C o l u m n P o s i t i v e P a t t e r n   / > < C o l u m n N e g a t i v e P a t t e r n   / > < C o l u m n W i d t h s > < i t e m > < k e y > < s t r i n g > D � b u t   m o i s < / s t r i n g > < / k e y > < v a l u e > < i n t > 2 0 4 < / i n t > < / v a l u e > < / i t e m > < i t e m > < k e y > < s t r i n g > f i n   m o i s < / s t r i n g > < / k e y > < v a l u e > < i n t > 1 6 1 < / i n t > < / v a l u e > < / i t e m > < i t e m > < k e y > < s t r i n g > t r a n c h e < / s t r i n g > < / k e y > < v a l u e > < i n t > 1 5 6 < / i n t > < / v a l u e > < / i t e m > < i t e m > < k e y > < s t r i n g > M O I S < / s t r i n g > < / k e y > < v a l u e > < i n t > 1 3 1 < / i n t > < / v a l u e > < / i t e m > < i t e m > < k e y > < s t r i n g > A N N E E < / s t r i n g > < / k e y > < v a l u e > < i n t > 1 4 8 < / i n t > < / v a l u e > < / i t e m > < i t e m > < k e y > < s t r i n g > C o m p t e u r < / s t r i n g > < / k e y > < v a l u e > < i n t > 1 8 6 < / i n t > < / v a l u e > < / i t e m > < i t e m > < k e y > < s t r i n g > C o l o n n e 1 < / s t r i n g > < / k e y > < v a l u e > < i n t > 1 8 0 < / i n t > < / v a l u e > < / i t e m > < i t e m > < k e y > < s t r i n g > N o m < / s t r i n g > < / k e y > < v a l u e > < i n t > 1 2 2 < / i n t > < / v a l u e > < / i t e m > < i t e m > < k e y > < s t r i n g > D a t e _ l i v r a i s o n < / s t r i n g > < / k e y > < v a l u e > < i n t > 2 3 7 < / i n t > < / v a l u e > < / i t e m > < i t e m > < k e y > < s t r i n g > D � b u t   p e r i o d e   l i v r a i s o n < / s t r i n g > < / k e y > < v a l u e > < i n t > 3 4 9 < / i n t > < / v a l u e > < / i t e m > < i t e m > < k e y > < s t r i n g > i n d e x _ d a t e _ l i v r a i s o n < / s t r i n g > < / k e y > < v a l u e > < i n t > 3 1 7 < / i n t > < / v a l u e > < / i t e m > < i t e m > < k e y > < s t r i n g > r a t i o _ a v a n t _ d e b u t < / s t r i n g > < / k e y > < v a l u e > < i n t > 2 9 0 < / i n t > < / v a l u e > < / i t e m > < i t e m > < k e y > < s t r i n g > R a t i o _ j o u r _ a v a n t _ l i v r < / s t r i n g > < / k e y > < v a l u e > < i n t > 3 2 6 < / i n t > < / v a l u e > < / i t e m > < i t e m > < k e y > < s t r i n g > R a t i o _ j o u r _ a p r � s _ l i v r < / s t r i n g > < / k e y > < v a l u e > < i n t > 3 2 5 < / i n t > < / v a l u e > < / i t e m > < i t e m > < k e y > < s t r i n g > C o n s o _ m o i s _ U < / s t r i n g > < / k e y > < v a l u e > < i n t > 2 4 7 < / i n t > < / v a l u e > < / i t e m > < i t e m > < k e y > < s t r i n g > R a t i o _ C o u t _ a v a n t _ d e b u t < / s t r i n g > < / k e y > < v a l u e > < i n t > 3 7 0 < / i n t > < / v a l u e > < / i t e m > < i t e m > < k e y > < s t r i n g > R a t i o _ C o u t _ a v a n t _ l i v r < / s t r i n g > < / k e y > < v a l u e > < i n t > 3 3 5 < / i n t > < / v a l u e > < / i t e m > < i t e m > < k e y > < s t r i n g > R a t i o _ C o u t _ a p r � s _ l i v r < / s t r i n g > < / k e y > < v a l u e > < i n t > 3 3 4 < / i n t > < / v a l u e > < / i t e m > < i t e m > < k e y > < s t r i n g > C o u t _ m o i s < / s t r i n g > < / k e y > < v a l u e > < i n t > 1 9 5 < / i n t > < / v a l u e > < / i t e m > < i t e m > < k e y > < s t r i n g > C o n s o _ m o i s _ k W h < / s t r i n g > < / k e y > < v a l u e > < i n t > 2 8 5 < / i n t > < / v a l u e > < / i t e m > < i t e m > < k e y > < s t r i n g > C o n s o _ m o i s _ k W h E P < / s t r i n g > < / k e y > < v a l u e > < i n t > 3 1 6 < / i n t > < / v a l u e > < / i t e m > < i t e m > < k e y > < s t r i n g > C o n s o _ m o i s _ k W h D E E T < / s t r i n g > < / k e y > < v a l u e > < i n t > 3 4 8 < / i n t > < / v a l u e > < / i t e m > < i t e m > < k e y > < s t r i n g > C o u t _ u n i t a i e < / s t r i n g > < / k e y > < v a l u e > < i n t > 2 2 1 < / i n t > < / v a l u e > < / i t e m > < i t e m > < k e y > < s t r i n g > T y p e < / s t r i n g > < / k e y > < v a l u e > < i n t > 1 2 2 < / i n t > < / v a l u e > < / i t e m > < i t e m > < k e y > < s t r i n g > S o u r c e < / s t r i n g > < / k e y > < v a l u e > < i n t > 1 4 7 < / i n t > < / v a l u e > < / i t e m > < i t e m > < k e y > < s t r i n g > D e t a i l   u s a g e < / s t r i n g > < / k e y > < v a l u e > < i n t > 2 1 2 < / i n t > < / v a l u e > < / i t e m > < i t e m > < k e y > < s t r i n g > C o m b u s t i b l e < / s t r i n g > < / k e y > < v a l u e > < i n t > 2 1 8 < / i n t > < / v a l u e > < / i t e m > < / C o l u m n W i d t h s > < C o l u m n D i s p l a y I n d e x > < i t e m > < k e y > < s t r i n g > D � b u t   m o i s < / s t r i n g > < / k e y > < v a l u e > < i n t > 0 < / i n t > < / v a l u e > < / i t e m > < i t e m > < k e y > < s t r i n g > f i n   m o i s < / s t r i n g > < / k e y > < v a l u e > < i n t > 1 < / i n t > < / v a l u e > < / i t e m > < i t e m > < k e y > < s t r i n g > t r a n c h e < / s t r i n g > < / k e y > < v a l u e > < i n t > 2 < / i n t > < / v a l u e > < / i t e m > < i t e m > < k e y > < s t r i n g > M O I S < / s t r i n g > < / k e y > < v a l u e > < i n t > 3 < / i n t > < / v a l u e > < / i t e m > < i t e m > < k e y > < s t r i n g > A N N E E < / s t r i n g > < / k e y > < v a l u e > < i n t > 4 < / i n t > < / v a l u e > < / i t e m > < i t e m > < k e y > < s t r i n g > C o m p t e u r < / s t r i n g > < / k e y > < v a l u e > < i n t > 5 < / i n t > < / v a l u e > < / i t e m > < i t e m > < k e y > < s t r i n g > C o l o n n e 1 < / s t r i n g > < / k e y > < v a l u e > < i n t > 6 < / i n t > < / v a l u e > < / i t e m > < i t e m > < k e y > < s t r i n g > N o m < / s t r i n g > < / k e y > < v a l u e > < i n t > 7 < / i n t > < / v a l u e > < / i t e m > < i t e m > < k e y > < s t r i n g > D a t e _ l i v r a i s o n < / s t r i n g > < / k e y > < v a l u e > < i n t > 8 < / i n t > < / v a l u e > < / i t e m > < i t e m > < k e y > < s t r i n g > D � b u t   p e r i o d e   l i v r a i s o n < / s t r i n g > < / k e y > < v a l u e > < i n t > 9 < / i n t > < / v a l u e > < / i t e m > < i t e m > < k e y > < s t r i n g > i n d e x _ d a t e _ l i v r a i s o n < / s t r i n g > < / k e y > < v a l u e > < i n t > 1 0 < / i n t > < / v a l u e > < / i t e m > < i t e m > < k e y > < s t r i n g > r a t i o _ a v a n t _ d e b u t < / s t r i n g > < / k e y > < v a l u e > < i n t > 1 1 < / i n t > < / v a l u e > < / i t e m > < i t e m > < k e y > < s t r i n g > R a t i o _ j o u r _ a v a n t _ l i v r < / s t r i n g > < / k e y > < v a l u e > < i n t > 1 2 < / i n t > < / v a l u e > < / i t e m > < i t e m > < k e y > < s t r i n g > R a t i o _ j o u r _ a p r � s _ l i v r < / s t r i n g > < / k e y > < v a l u e > < i n t > 1 3 < / i n t > < / v a l u e > < / i t e m > < i t e m > < k e y > < s t r i n g > C o n s o _ m o i s _ U < / s t r i n g > < / k e y > < v a l u e > < i n t > 1 4 < / i n t > < / v a l u e > < / i t e m > < i t e m > < k e y > < s t r i n g > R a t i o _ C o u t _ a v a n t _ d e b u t < / s t r i n g > < / k e y > < v a l u e > < i n t > 1 5 < / i n t > < / v a l u e > < / i t e m > < i t e m > < k e y > < s t r i n g > R a t i o _ C o u t _ a v a n t _ l i v r < / s t r i n g > < / k e y > < v a l u e > < i n t > 1 6 < / i n t > < / v a l u e > < / i t e m > < i t e m > < k e y > < s t r i n g > R a t i o _ C o u t _ a p r � s _ l i v r < / s t r i n g > < / k e y > < v a l u e > < i n t > 1 7 < / i n t > < / v a l u e > < / i t e m > < i t e m > < k e y > < s t r i n g > C o u t _ m o i s < / s t r i n g > < / k e y > < v a l u e > < i n t > 1 8 < / i n t > < / v a l u e > < / i t e m > < i t e m > < k e y > < s t r i n g > C o n s o _ m o i s _ k W h < / s t r i n g > < / k e y > < v a l u e > < i n t > 1 9 < / i n t > < / v a l u e > < / i t e m > < i t e m > < k e y > < s t r i n g > C o n s o _ m o i s _ k W h E P < / s t r i n g > < / k e y > < v a l u e > < i n t > 2 0 < / i n t > < / v a l u e > < / i t e m > < i t e m > < k e y > < s t r i n g > C o n s o _ m o i s _ k W h D E E T < / s t r i n g > < / k e y > < v a l u e > < i n t > 2 1 < / i n t > < / v a l u e > < / i t e m > < i t e m > < k e y > < s t r i n g > C o u t _ u n i t a i e < / s t r i n g > < / k e y > < v a l u e > < i n t > 2 2 < / i n t > < / v a l u e > < / i t e m > < i t e m > < k e y > < s t r i n g > T y p e < / s t r i n g > < / k e y > < v a l u e > < i n t > 2 3 < / i n t > < / v a l u e > < / i t e m > < i t e m > < k e y > < s t r i n g > S o u r c e < / s t r i n g > < / k e y > < v a l u e > < i n t > 2 4 < / i n t > < / v a l u e > < / i t e m > < i t e m > < k e y > < s t r i n g > D e t a i l   u s a g e < / s t r i n g > < / k e y > < v a l u e > < i n t > 2 5 < / i n t > < / v a l u e > < / i t e m > < i t e m > < k e y > < s t r i n g > C o m b u s t i b l e < / s t r i n g > < / k e y > < v a l u e > < i n t > 2 6 < / 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T a b _ c o n c a t _ f 1 4 8 b 1 5 1 - 7 8 6 5 - 4 9 f 6 - 8 1 9 0 - 9 3 b 9 2 3 6 3 f b a 8 " > < C u s t o m C o n t e n t > < ! [ C D A T A [ < T a b l e W i d g e t G r i d S e r i a l i z a t i o n   x m l n s : x s i = " h t t p : / / w w w . w 3 . o r g / 2 0 0 1 / X M L S c h e m a - i n s t a n c e "   x m l n s : x s d = " h t t p : / / w w w . w 3 . o r g / 2 0 0 1 / X M L S c h e m a " > < C o l u m n S u g g e s t e d T y p e   / > < C o l u m n F o r m a t   / > < C o l u m n A c c u r a c y   / > < C o l u m n C u r r e n c y S y m b o l   / > < C o l u m n P o s i t i v e P a t t e r n   / > < C o l u m n N e g a t i v e P a t t e r n   / > < C o l u m n W i d t h s > < i t e m > < k e y > < s t r i n g > D e m a n d e _ j o u r < / s t r i n g > < / k e y > < v a l u e > < i n t > 2 4 5 < / i n t > < / v a l u e > < / i t e m > < i t e m > < k e y > < s t r i n g > C o u t _ j o u r < / s t r i n g > < / k e y > < v a l u e > < i n t > 1 8 5 < / i n t > < / v a l u e > < / i t e m > < i t e m > < k e y > < s t r i n g > C o m p t e u r < / s t r i n g > < / k e y > < v a l u e > < i n t > 1 8 6 < / i n t > < / v a l u e > < / i t e m > < i t e m > < k e y > < s t r i n g > D a t e s < / s t r i n g > < / k e y > < v a l u e > < i n t > 1 3 2 < / i n t > < / v a l u e > < / i t e m > < i t e m > < k e y > < s t r i n g > D J U _ c h a u f f a g i s t e < / s t r i n g > < / k e y > < v a l u e > < i n t > 2 7 3 < / i n t > < / v a l u e > < / i t e m > < i t e m > < k e y > < s t r i n g > S o u r c e < / s t r i n g > < / k e y > < v a l u e > < i n t > 1 4 7 < / i n t > < / v a l u e > < / i t e m > < i t e m > < k e y > < s t r i n g > T y p e < / s t r i n g > < / k e y > < v a l u e > < i n t > 3 2 9 < / i n t > < / v a l u e > < / i t e m > < i t e m > < k e y > < s t r i n g > C o m b u s t i b l e < / s t r i n g > < / k e y > < v a l u e > < i n t > 2 1 8 < / i n t > < / v a l u e > < / i t e m > < i t e m > < k e y > < s t r i n g > C o n s o _ k W h _ D E E T < / s t r i n g > < / k e y > < v a l u e > < i n t > 2 8 9 < / i n t > < / v a l u e > < / i t e m > < i t e m > < k e y > < s t r i n g > C o n s o _ k W h _ P C I < / s t r i n g > < / k e y > < v a l u e > < i n t > 2 9 4 < / i n t > < / v a l u e > < / i t e m > < i t e m > < k e y > < s t r i n g > N o m < / s t r i n g > < / k e y > < v a l u e > < i n t > 1 2 2 < / i n t > < / v a l u e > < / i t e m > < i t e m > < k e y > < s t r i n g > D e t a i l   u s a g e < / s t r i n g > < / k e y > < v a l u e > < i n t > 2 1 2 < / i n t > < / v a l u e > < / i t e m > < i t e m > < k e y > < s t r i n g > A n n e e < / s t r i n g > < / k e y > < v a l u e > < i n t > 1 4 2 < / i n t > < / v a l u e > < / i t e m > < i t e m > < k e y > < s t r i n g > M o i s < / s t r i n g > < / k e y > < v a l u e > < i n t > 1 2 4 < / i n t > < / v a l u e > < / i t e m > < i t e m > < k e y > < s t r i n g > C o n s o _ k W h E P < / s t r i n g > < / k e y > < v a l u e > < i n t > 2 2 6 < / i n t > < / v a l u e > < / i t e m > < i t e m > < k e y > < s t r i n g > C o u t _ u n i t a i r e < / s t r i n g > < / k e y > < v a l u e > < i n t > 2 3 1 < / i n t > < / v a l u e > < / i t e m > < i t e m > < k e y > < s t r i n g > D a t e s   ( a n n � e ) < / s t r i n g > < / k e y > < v a l u e > < i n t > 2 1 9 < / i n t > < / v a l u e > < / i t e m > < i t e m > < k e y > < s t r i n g > D a t e s   ( t r i m e s t r e ) < / s t r i n g > < / k e y > < v a l u e > < i n t > 1 4 2 < / i n t > < / v a l u e > < / i t e m > < i t e m > < k e y > < s t r i n g > D a t e s   ( i n d e x   d e s   m o i s ) < / s t r i n g > < / k e y > < v a l u e > < i n t > 1 7 7 < / i n t > < / v a l u e > < / i t e m > < i t e m > < k e y > < s t r i n g > D a t e s   ( m o i s ) < / s t r i n g > < / k e y > < v a l u e > < i n t > 1 1 4 < / i n t > < / v a l u e > < / i t e m > < i t e m > < k e y > < s t r i n g > D J U _ c l i m a t i c i e n < / s t r i n g > < / k e y > < v a l u e > < i n t > 2 5 8 < / i n t > < / v a l u e > < / i t e m > < i t e m > < k e y > < s t r i n g > D J U _ q u o t _ c h a u f f a g i s t e < / s t r i n g > < / k e y > < v a l u e > < i n t > 3 4 6 < / i n t > < / v a l u e > < / i t e m > < i t e m > < k e y > < s t r i n g > D J U _ q u o t _ c l i m a t i c i e n < / s t r i n g > < / k e y > < v a l u e > < i n t > 3 3 1 < / i n t > < / v a l u e > < / i t e m > < / C o l u m n W i d t h s > < C o l u m n D i s p l a y I n d e x > < i t e m > < k e y > < s t r i n g > D e m a n d e _ j o u r < / s t r i n g > < / k e y > < v a l u e > < i n t > 0 < / i n t > < / v a l u e > < / i t e m > < i t e m > < k e y > < s t r i n g > C o u t _ j o u r < / s t r i n g > < / k e y > < v a l u e > < i n t > 1 < / i n t > < / v a l u e > < / i t e m > < i t e m > < k e y > < s t r i n g > C o m p t e u r < / s t r i n g > < / k e y > < v a l u e > < i n t > 2 < / i n t > < / v a l u e > < / i t e m > < i t e m > < k e y > < s t r i n g > D a t e s < / s t r i n g > < / k e y > < v a l u e > < i n t > 3 < / i n t > < / v a l u e > < / i t e m > < i t e m > < k e y > < s t r i n g > D J U _ c h a u f f a g i s t e < / s t r i n g > < / k e y > < v a l u e > < i n t > 1 9 < / i n t > < / v a l u e > < / i t e m > < i t e m > < k e y > < s t r i n g > S o u r c e < / s t r i n g > < / k e y > < v a l u e > < i n t > 5 < / i n t > < / v a l u e > < / i t e m > < i t e m > < k e y > < s t r i n g > T y p e < / s t r i n g > < / k e y > < v a l u e > < i n t > 4 < / i n t > < / v a l u e > < / i t e m > < i t e m > < k e y > < s t r i n g > C o m b u s t i b l e < / s t r i n g > < / k e y > < v a l u e > < i n t > 6 < / i n t > < / v a l u e > < / i t e m > < i t e m > < k e y > < s t r i n g > C o n s o _ k W h _ D E E T < / s t r i n g > < / k e y > < v a l u e > < i n t > 8 < / i n t > < / v a l u e > < / i t e m > < i t e m > < k e y > < s t r i n g > C o n s o _ k W h _ P C I < / s t r i n g > < / k e y > < v a l u e > < i n t > 7 < / i n t > < / v a l u e > < / i t e m > < i t e m > < k e y > < s t r i n g > N o m < / s t r i n g > < / k e y > < v a l u e > < i n t > 9 < / i n t > < / v a l u e > < / i t e m > < i t e m > < k e y > < s t r i n g > D e t a i l   u s a g e < / s t r i n g > < / k e y > < v a l u e > < i n t > 1 0 < / i n t > < / v a l u e > < / i t e m > < i t e m > < k e y > < s t r i n g > A n n e e < / s t r i n g > < / k e y > < v a l u e > < i n t > 1 2 < / i n t > < / v a l u e > < / i t e m > < i t e m > < k e y > < s t r i n g > C o n s o _ k W h E P < / s t r i n g > < / k e y > < v a l u e > < i n t > 1 1 < / i n t > < / v a l u e > < / i t e m > < i t e m > < k e y > < s t r i n g > M o i s < / s t r i n g > < / k e y > < v a l u e > < i n t > 1 3 < / i n t > < / v a l u e > < / i t e m > < i t e m > < k e y > < s t r i n g > C o u t _ u n i t a i r e < / s t r i n g > < / k e y > < v a l u e > < i n t > 1 4 < / i n t > < / v a l u e > < / i t e m > < i t e m > < k e y > < s t r i n g > D a t e s   ( a n n � e ) < / s t r i n g > < / k e y > < v a l u e > < i n t > 1 5 < / i n t > < / v a l u e > < / i t e m > < i t e m > < k e y > < s t r i n g > D a t e s   ( t r i m e s t r e ) < / s t r i n g > < / k e y > < v a l u e > < i n t > 1 6 < / i n t > < / v a l u e > < / i t e m > < i t e m > < k e y > < s t r i n g > D a t e s   ( i n d e x   d e s   m o i s ) < / s t r i n g > < / k e y > < v a l u e > < i n t > 1 7 < / i n t > < / v a l u e > < / i t e m > < i t e m > < k e y > < s t r i n g > D a t e s   ( m o i s ) < / s t r i n g > < / k e y > < v a l u e > < i n t > 1 8 < / i n t > < / v a l u e > < / i t e m > < i t e m > < k e y > < s t r i n g > D J U _ c l i m a t i c i e n < / s t r i n g > < / k e y > < v a l u e > < i n t > 2 0 < / i n t > < / v a l u e > < / i t e m > < i t e m > < k e y > < s t r i n g > D J U _ q u o t _ c h a u f f a g i s t e < / s t r i n g > < / k e y > < v a l u e > < i n t > 2 1 < / i n t > < / v a l u e > < / i t e m > < i t e m > < k e y > < s t r i n g > D J U _ q u o t _ c l i m a t i c i e n < / s t r i n g > < / k e y > < v a l u e > < i n t > 2 2 < / i n t > < / v a l u e > < / i t e m > < / C o l u m n D i s p l a y I n d e x > < C o l u m n F r o z e n   / > < C o l u m n C h e c k e d   / > < C o l u m n F i l t e r   / > < S e l e c t i o n F i l t e r   / > < F i l t e r P a r a m e t e r s   / > < S o r t B y C o l u m n > D a t e s < / S o r t B y C o l u m n > < I s S o r t D e s c e n d i n g > f a l s e < / I s S o r t D e s c e n d i n g > < / T a b l e W i d g e t G r i d S e r i a l i z a t i o n > ] ] > < / C u s t o m C o n t e n t > < / G e m i n i > 
</file>

<file path=customXml/item5.xml>��< ? x m l   v e r s i o n = " 1 . 0 "   e n c o d i n g = " U T F - 1 6 " ? > < G e m i n i   x m l n s = " h t t p : / / g e m i n i / p i v o t c u s t o m i z a t i o n / P o w e r P i v o t V e r s i o n " > < C u s t o m C o n t e n t > < ! [ C D A T A [ 2 0 1 5 . 1 3 0 . 1 6 0 6 . 4 4 ] ] > < / C u s t o m C o n t e n t > < / G e m i n i > 
</file>

<file path=customXml/item6.xml>��< ? x m l   v e r s i o n = " 1 . 0 "   e n c o d i n g = " U T F - 1 6 " ? > < G e m i n i   x m l n s = " h t t p : / / g e m i n i / p i v o t c u s t o m i z a t i o n / S h o w H i d d e n " > < C u s t o m C o n t e n t > < ! [ C D A T A [ T r u e ] ] > < / C u s t o m C o n t e n t > < / G e m i n i > 
</file>

<file path=customXml/item7.xml>��< ? x m l   v e r s i o n = " 1 . 0 "   e n c o d i n g = " U T F - 1 6 " ? > < G e m i n i   x m l n s = " h t t p : / / g e m i n i / p i v o t c u s t o m i z a t i o n / S h o w I m p l i c i t M e a s u r e s " > < C u s t o m C o n t e n t > < ! [ C D A T A [ F a l s e ] ] > < / 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 T a g s \ T a b l e s \ & l t ; T a b l e s \ T a b l e a u 1 6 & g t ; < / K e y > < / D i a g r a m O b j e c t K e y > < D i a g r a m O b j e c t K e y > < K e y > D y n a m i c   T a g s \ T a b l e s \ & l t ; T a b l e s \ T a b _ c o n c a t & g t ; < / K e y > < / D i a g r a m O b j e c t K e y > < D i a g r a m O b j e c t K e y > < K e y > T a b l e s \ T a b l e a u 1 6 < / K e y > < / D i a g r a m O b j e c t K e y > < D i a g r a m O b j e c t K e y > < K e y > T a b l e s \ T a b l e a u 1 6 \ C o l u m n s \ C o m p t e u r / L i v r a i s o n < / K e y > < / D i a g r a m O b j e c t K e y > < D i a g r a m O b j e c t K e y > < K e y > T a b l e s \ T a b l e a u 1 6 \ C o l u m n s \ T y p e < / K e y > < / D i a g r a m O b j e c t K e y > < D i a g r a m O b j e c t K e y > < K e y > T a b l e s \ T a b l e a u 1 6 \ C o l u m n s \ S o u r c e < / K e y > < / D i a g r a m O b j e c t K e y > < D i a g r a m O b j e c t K e y > < K e y > T a b l e s \ T a b l e a u 1 6 \ C o l u m n s \ D e t a i l   u s a g e < / K e y > < / D i a g r a m O b j e c t K e y > < D i a g r a m O b j e c t K e y > < K e y > T a b l e s \ T a b l e a u 1 6 \ C o l u m n s \ C o m b u s t i b l e < / K e y > < / D i a g r a m O b j e c t K e y > < D i a g r a m O b j e c t K e y > < K e y > T a b l e s \ T a b l e a u 1 6 \ C o l u m n s \ P C I < / K e y > < / D i a g r a m O b j e c t K e y > < D i a g r a m O b j e c t K e y > < K e y > T a b l e s \ T a b l e a u 1 6 \ C o l u m n s \ P C I _ D E E T < / K e y > < / D i a g r a m O b j e c t K e y > < D i a g r a m O b j e c t K e y > < K e y > T a b l e s \ T a b l e a u 1 6 \ C o l u m n s \ N o m < / K e y > < / D i a g r a m O b j e c t K e y > < D i a g r a m O b j e c t K e y > < K e y > T a b l e s \ T a b _ c o n c a t < / K e y > < / D i a g r a m O b j e c t K e y > < D i a g r a m O b j e c t K e y > < K e y > T a b l e s \ T a b _ c o n c a t \ C o l u m n s \ C o m p t e u r < / K e y > < / D i a g r a m O b j e c t K e y > < D i a g r a m O b j e c t K e y > < K e y > T a b l e s \ T a b _ c o n c a t \ C o l u m n s \ D a t e s < / K e y > < / D i a g r a m O b j e c t K e y > < D i a g r a m O b j e c t K e y > < K e y > T a b l e s \ T a b _ c o n c a t \ C o l u m n s \ D e m a n d e _ j o u r < / K e y > < / D i a g r a m O b j e c t K e y > < D i a g r a m O b j e c t K e y > < K e y > T a b l e s \ T a b _ c o n c a t \ C o l u m n s \ C o u t _ j o u r < / K e y > < / D i a g r a m O b j e c t K e y > < D i a g r a m O b j e c t K e y > < K e y > T a b l e s \ T a b _ c o n c a t \ C o l u m n s \ C o m m e n t a i r e s < / K e y > < / D i a g r a m O b j e c t K e y > < D i a g r a m O b j e c t K e y > < K e y > T a b l e s \ T a b _ c o n c a t \ C o l u m n s \ T y p e < / K e y > < / D i a g r a m O b j e c t K e y > < D i a g r a m O b j e c t K e y > < K e y > T a b l e s \ T a b _ c o n c a t \ C o l u m n s \ S o u r c e < / K e y > < / D i a g r a m O b j e c t K e y > < D i a g r a m O b j e c t K e y > < K e y > T a b l e s \ T a b _ c o n c a t \ C o l u m n s \ C o m b u s t i b l e < / K e y > < / D i a g r a m O b j e c t K e y > < D i a g r a m O b j e c t K e y > < K e y > T a b l e s \ T a b _ c o n c a t \ C o l u m n s \ C o n s o _ k W h _ P C I < / K e y > < / D i a g r a m O b j e c t K e y > < D i a g r a m O b j e c t K e y > < K e y > T a b l e s \ T a b _ c o n c a t \ C o l u m n s \ C o n s o _ k W h _ D E E T < / K e y > < / D i a g r a m O b j e c t K e y > < D i a g r a m O b j e c t K e y > < K e y > T a b l e s \ T a b _ c o n c a t \ C o l u m n s \ N o m < / K e y > < / D i a g r a m O b j e c t K e y > < D i a g r a m O b j e c t K e y > < K e y > R e l a t i o n s h i p s \ & l t ; T a b l e s \ T a b _ c o n c a t \ C o l u m n s \ C o m p t e u r & g t ; - & l t ; T a b l e s \ T a b l e a u 1 6 \ C o l u m n s \ C o m p t e u r / L i v r a i s o n & g t ; < / K e y > < / D i a g r a m O b j e c t K e y > < D i a g r a m O b j e c t K e y > < K e y > R e l a t i o n s h i p s \ & l t ; T a b l e s \ T a b _ c o n c a t \ C o l u m n s \ C o m p t e u r & g t ; - & l t ; T a b l e s \ T a b l e a u 1 6 \ C o l u m n s \ C o m p t e u r / L i v r a i s o n & g t ; \ F K < / K e y > < / D i a g r a m O b j e c t K e y > < D i a g r a m O b j e c t K e y > < K e y > R e l a t i o n s h i p s \ & l t ; T a b l e s \ T a b _ c o n c a t \ C o l u m n s \ C o m p t e u r & g t ; - & l t ; T a b l e s \ T a b l e a u 1 6 \ C o l u m n s \ C o m p t e u r / L i v r a i s o n & g t ; \ P K < / K e y > < / D i a g r a m O b j e c t K e y > < D i a g r a m O b j e c t K e y > < K e y > R e l a t i o n s h i p s \ & l t ; T a b l e s \ T a b _ c o n c a t \ C o l u m n s \ C o m p t e u r & g t ; - & l t ; T a b l e s \ T a b l e a u 1 6 \ C o l u m n s \ C o m p t e u r / L i v r a i s o n & g t ; \ C r o s s F i l t e r < / K e y > < / D i a g r a m O b j e c t K e y > < / A l l K e y s > < S e l e c t e d K e y s > < D i a g r a m O b j e c t K e y > < K e y > R e l a t i o n s h i p s \ & l t ; T a b l e s \ T a b _ c o n c a t \ C o l u m n s \ C o m p t e u r & g t ; - & l t ; T a b l e s \ T a b l e a u 1 6 \ C o l u m n s \ C o m p t e u r / L i v r a i s o n & g t ; 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 T a g s \ T a b l e s \ & l t ; T a b l e s \ T a b l e a u 1 6 & g t ; < / K e y > < / a : K e y > < a : V a l u e   i : t y p e = " D i a g r a m D i s p l a y T a g V i e w S t a t e " > < I s N o t F i l t e r e d O u t > t r u e < / I s N o t F i l t e r e d O u t > < / a : V a l u e > < / a : K e y V a l u e O f D i a g r a m O b j e c t K e y a n y T y p e z b w N T n L X > < a : K e y V a l u e O f D i a g r a m O b j e c t K e y a n y T y p e z b w N T n L X > < a : K e y > < K e y > D y n a m i c   T a g s \ T a b l e s \ & l t ; T a b l e s \ T a b _ c o n c a t & g t ; < / K e y > < / a : K e y > < a : V a l u e   i : t y p e = " D i a g r a m D i s p l a y T a g V i e w S t a t e " > < I s N o t F i l t e r e d O u t > t r u e < / I s N o t F i l t e r e d O u t > < / a : V a l u e > < / a : K e y V a l u e O f D i a g r a m O b j e c t K e y a n y T y p e z b w N T n L X > < a : K e y V a l u e O f D i a g r a m O b j e c t K e y a n y T y p e z b w N T n L X > < a : K e y > < K e y > T a b l e s \ T a b l e a u 1 6 < / K e y > < / a : K e y > < a : V a l u e   i : t y p e = " D i a g r a m D i s p l a y N o d e V i e w S t a t e " > < H e i g h t > 1 5 0 < / H e i g h t > < I s E x p a n d e d > t r u e < / I s E x p a n d e d > < L a y e d O u t > t r u e < / L a y e d O u t > < L e f t > 3 2 9 . 9 0 3 8 1 0 5 6 7 6 6 5 8 < / L e f t > < T a b I n d e x > 1 < / T a b I n d e x > < W i d t h > 2 0 0 < / W i d t h > < / a : V a l u e > < / a : K e y V a l u e O f D i a g r a m O b j e c t K e y a n y T y p e z b w N T n L X > < a : K e y V a l u e O f D i a g r a m O b j e c t K e y a n y T y p e z b w N T n L X > < a : K e y > < K e y > T a b l e s \ T a b l e a u 1 6 \ C o l u m n s \ C o m p t e u r / L i v r a i s o n < / K e y > < / a : K e y > < a : V a l u e   i : t y p e = " D i a g r a m D i s p l a y N o d e V i e w S t a t e " > < H e i g h t > 1 5 0 < / H e i g h t > < I s E x p a n d e d > t r u e < / I s E x p a n d e d > < W i d t h > 2 0 0 < / W i d t h > < / a : V a l u e > < / a : K e y V a l u e O f D i a g r a m O b j e c t K e y a n y T y p e z b w N T n L X > < a : K e y V a l u e O f D i a g r a m O b j e c t K e y a n y T y p e z b w N T n L X > < a : K e y > < K e y > T a b l e s \ T a b l e a u 1 6 \ C o l u m n s \ T y p e < / K e y > < / a : K e y > < a : V a l u e   i : t y p e = " D i a g r a m D i s p l a y N o d e V i e w S t a t e " > < H e i g h t > 1 5 0 < / H e i g h t > < I s E x p a n d e d > t r u e < / I s E x p a n d e d > < W i d t h > 2 0 0 < / W i d t h > < / a : V a l u e > < / a : K e y V a l u e O f D i a g r a m O b j e c t K e y a n y T y p e z b w N T n L X > < a : K e y V a l u e O f D i a g r a m O b j e c t K e y a n y T y p e z b w N T n L X > < a : K e y > < K e y > T a b l e s \ T a b l e a u 1 6 \ C o l u m n s \ S o u r c e < / K e y > < / a : K e y > < a : V a l u e   i : t y p e = " D i a g r a m D i s p l a y N o d e V i e w S t a t e " > < H e i g h t > 1 5 0 < / H e i g h t > < I s E x p a n d e d > t r u e < / I s E x p a n d e d > < W i d t h > 2 0 0 < / W i d t h > < / a : V a l u e > < / a : K e y V a l u e O f D i a g r a m O b j e c t K e y a n y T y p e z b w N T n L X > < a : K e y V a l u e O f D i a g r a m O b j e c t K e y a n y T y p e z b w N T n L X > < a : K e y > < K e y > T a b l e s \ T a b l e a u 1 6 \ C o l u m n s \ D e t a i l   u s a g e < / K e y > < / a : K e y > < a : V a l u e   i : t y p e = " D i a g r a m D i s p l a y N o d e V i e w S t a t e " > < H e i g h t > 1 5 0 < / H e i g h t > < I s E x p a n d e d > t r u e < / I s E x p a n d e d > < W i d t h > 2 0 0 < / W i d t h > < / a : V a l u e > < / a : K e y V a l u e O f D i a g r a m O b j e c t K e y a n y T y p e z b w N T n L X > < a : K e y V a l u e O f D i a g r a m O b j e c t K e y a n y T y p e z b w N T n L X > < a : K e y > < K e y > T a b l e s \ T a b l e a u 1 6 \ C o l u m n s \ C o m b u s t i b l e < / K e y > < / a : K e y > < a : V a l u e   i : t y p e = " D i a g r a m D i s p l a y N o d e V i e w S t a t e " > < H e i g h t > 1 5 0 < / H e i g h t > < I s E x p a n d e d > t r u e < / I s E x p a n d e d > < W i d t h > 2 0 0 < / W i d t h > < / a : V a l u e > < / a : K e y V a l u e O f D i a g r a m O b j e c t K e y a n y T y p e z b w N T n L X > < a : K e y V a l u e O f D i a g r a m O b j e c t K e y a n y T y p e z b w N T n L X > < a : K e y > < K e y > T a b l e s \ T a b l e a u 1 6 \ C o l u m n s \ P C I < / K e y > < / a : K e y > < a : V a l u e   i : t y p e = " D i a g r a m D i s p l a y N o d e V i e w S t a t e " > < H e i g h t > 1 5 0 < / H e i g h t > < I s E x p a n d e d > t r u e < / I s E x p a n d e d > < W i d t h > 2 0 0 < / W i d t h > < / a : V a l u e > < / a : K e y V a l u e O f D i a g r a m O b j e c t K e y a n y T y p e z b w N T n L X > < a : K e y V a l u e O f D i a g r a m O b j e c t K e y a n y T y p e z b w N T n L X > < a : K e y > < K e y > T a b l e s \ T a b l e a u 1 6 \ C o l u m n s \ P C I _ D E E T < / K e y > < / a : K e y > < a : V a l u e   i : t y p e = " D i a g r a m D i s p l a y N o d e V i e w S t a t e " > < H e i g h t > 1 5 0 < / H e i g h t > < I s E x p a n d e d > t r u e < / I s E x p a n d e d > < W i d t h > 2 0 0 < / W i d t h > < / a : V a l u e > < / a : K e y V a l u e O f D i a g r a m O b j e c t K e y a n y T y p e z b w N T n L X > < a : K e y V a l u e O f D i a g r a m O b j e c t K e y a n y T y p e z b w N T n L X > < a : K e y > < K e y > T a b l e s \ T a b l e a u 1 6 \ C o l u m n s \ N o m < / K e y > < / a : K e y > < a : V a l u e   i : t y p e = " D i a g r a m D i s p l a y N o d e V i e w S t a t e " > < H e i g h t > 1 5 0 < / H e i g h t > < I s E x p a n d e d > t r u e < / I s E x p a n d e d > < W i d t h > 2 0 0 < / W i d t h > < / a : V a l u e > < / a : K e y V a l u e O f D i a g r a m O b j e c t K e y a n y T y p e z b w N T n L X > < a : K e y V a l u e O f D i a g r a m O b j e c t K e y a n y T y p e z b w N T n L X > < a : K e y > < K e y > T a b l e s \ T a b _ c o n c a t < / K e y > < / a : K e y > < a : V a l u e   i : t y p e = " D i a g r a m D i s p l a y N o d e V i e w S t a t e " > < H e i g h t > 1 5 0 < / H e i g h t > < I s E x p a n d e d > t r u e < / I s E x p a n d e d > < L a y e d O u t > t r u e < / L a y e d O u t > < W i d t h > 2 0 0 < / W i d t h > < / a : V a l u e > < / a : K e y V a l u e O f D i a g r a m O b j e c t K e y a n y T y p e z b w N T n L X > < a : K e y V a l u e O f D i a g r a m O b j e c t K e y a n y T y p e z b w N T n L X > < a : K e y > < K e y > T a b l e s \ T a b _ c o n c a t \ C o l u m n s \ C o m p t e u r < / K e y > < / a : K e y > < a : V a l u e   i : t y p e = " D i a g r a m D i s p l a y N o d e V i e w S t a t e " > < H e i g h t > 1 5 0 < / H e i g h t > < I s E x p a n d e d > t r u e < / I s E x p a n d e d > < W i d t h > 2 0 0 < / W i d t h > < / a : V a l u e > < / a : K e y V a l u e O f D i a g r a m O b j e c t K e y a n y T y p e z b w N T n L X > < a : K e y V a l u e O f D i a g r a m O b j e c t K e y a n y T y p e z b w N T n L X > < a : K e y > < K e y > T a b l e s \ T a b _ c o n c a t \ C o l u m n s \ D a t e s < / K e y > < / a : K e y > < a : V a l u e   i : t y p e = " D i a g r a m D i s p l a y N o d e V i e w S t a t e " > < H e i g h t > 1 5 0 < / H e i g h t > < I s E x p a n d e d > t r u e < / I s E x p a n d e d > < W i d t h > 2 0 0 < / W i d t h > < / a : V a l u e > < / a : K e y V a l u e O f D i a g r a m O b j e c t K e y a n y T y p e z b w N T n L X > < a : K e y V a l u e O f D i a g r a m O b j e c t K e y a n y T y p e z b w N T n L X > < a : K e y > < K e y > T a b l e s \ T a b _ c o n c a t \ C o l u m n s \ D e m a n d e _ j o u r < / K e y > < / a : K e y > < a : V a l u e   i : t y p e = " D i a g r a m D i s p l a y N o d e V i e w S t a t e " > < H e i g h t > 1 5 0 < / H e i g h t > < I s E x p a n d e d > t r u e < / I s E x p a n d e d > < W i d t h > 2 0 0 < / W i d t h > < / a : V a l u e > < / a : K e y V a l u e O f D i a g r a m O b j e c t K e y a n y T y p e z b w N T n L X > < a : K e y V a l u e O f D i a g r a m O b j e c t K e y a n y T y p e z b w N T n L X > < a : K e y > < K e y > T a b l e s \ T a b _ c o n c a t \ C o l u m n s \ C o u t _ j o u r < / K e y > < / a : K e y > < a : V a l u e   i : t y p e = " D i a g r a m D i s p l a y N o d e V i e w S t a t e " > < H e i g h t > 1 5 0 < / H e i g h t > < I s E x p a n d e d > t r u e < / I s E x p a n d e d > < W i d t h > 2 0 0 < / W i d t h > < / a : V a l u e > < / a : K e y V a l u e O f D i a g r a m O b j e c t K e y a n y T y p e z b w N T n L X > < a : K e y V a l u e O f D i a g r a m O b j e c t K e y a n y T y p e z b w N T n L X > < a : K e y > < K e y > T a b l e s \ T a b _ c o n c a t \ C o l u m n s \ C o m m e n t a i r e s < / K e y > < / a : K e y > < a : V a l u e   i : t y p e = " D i a g r a m D i s p l a y N o d e V i e w S t a t e " > < H e i g h t > 1 5 0 < / H e i g h t > < I s E x p a n d e d > t r u e < / I s E x p a n d e d > < W i d t h > 2 0 0 < / W i d t h > < / a : V a l u e > < / a : K e y V a l u e O f D i a g r a m O b j e c t K e y a n y T y p e z b w N T n L X > < a : K e y V a l u e O f D i a g r a m O b j e c t K e y a n y T y p e z b w N T n L X > < a : K e y > < K e y > T a b l e s \ T a b _ c o n c a t \ C o l u m n s \ T y p e < / K e y > < / a : K e y > < a : V a l u e   i : t y p e = " D i a g r a m D i s p l a y N o d e V i e w S t a t e " > < H e i g h t > 1 5 0 < / H e i g h t > < I s E x p a n d e d > t r u e < / I s E x p a n d e d > < W i d t h > 2 0 0 < / W i d t h > < / a : V a l u e > < / a : K e y V a l u e O f D i a g r a m O b j e c t K e y a n y T y p e z b w N T n L X > < a : K e y V a l u e O f D i a g r a m O b j e c t K e y a n y T y p e z b w N T n L X > < a : K e y > < K e y > T a b l e s \ T a b _ c o n c a t \ C o l u m n s \ S o u r c e < / K e y > < / a : K e y > < a : V a l u e   i : t y p e = " D i a g r a m D i s p l a y N o d e V i e w S t a t e " > < H e i g h t > 1 5 0 < / H e i g h t > < I s E x p a n d e d > t r u e < / I s E x p a n d e d > < W i d t h > 2 0 0 < / W i d t h > < / a : V a l u e > < / a : K e y V a l u e O f D i a g r a m O b j e c t K e y a n y T y p e z b w N T n L X > < a : K e y V a l u e O f D i a g r a m O b j e c t K e y a n y T y p e z b w N T n L X > < a : K e y > < K e y > T a b l e s \ T a b _ c o n c a t \ C o l u m n s \ C o m b u s t i b l e < / K e y > < / a : K e y > < a : V a l u e   i : t y p e = " D i a g r a m D i s p l a y N o d e V i e w S t a t e " > < H e i g h t > 1 5 0 < / H e i g h t > < I s E x p a n d e d > t r u e < / I s E x p a n d e d > < W i d t h > 2 0 0 < / W i d t h > < / a : V a l u e > < / a : K e y V a l u e O f D i a g r a m O b j e c t K e y a n y T y p e z b w N T n L X > < a : K e y V a l u e O f D i a g r a m O b j e c t K e y a n y T y p e z b w N T n L X > < a : K e y > < K e y > T a b l e s \ T a b _ c o n c a t \ C o l u m n s \ C o n s o _ k W h _ P C I < / K e y > < / a : K e y > < a : V a l u e   i : t y p e = " D i a g r a m D i s p l a y N o d e V i e w S t a t e " > < H e i g h t > 1 5 0 < / H e i g h t > < I s E x p a n d e d > t r u e < / I s E x p a n d e d > < W i d t h > 2 0 0 < / W i d t h > < / a : V a l u e > < / a : K e y V a l u e O f D i a g r a m O b j e c t K e y a n y T y p e z b w N T n L X > < a : K e y V a l u e O f D i a g r a m O b j e c t K e y a n y T y p e z b w N T n L X > < a : K e y > < K e y > T a b l e s \ T a b _ c o n c a t \ C o l u m n s \ C o n s o _ k W h _ D E E T < / K e y > < / a : K e y > < a : V a l u e   i : t y p e = " D i a g r a m D i s p l a y N o d e V i e w S t a t e " > < H e i g h t > 1 5 0 < / H e i g h t > < I s E x p a n d e d > t r u e < / I s E x p a n d e d > < W i d t h > 2 0 0 < / W i d t h > < / a : V a l u e > < / a : K e y V a l u e O f D i a g r a m O b j e c t K e y a n y T y p e z b w N T n L X > < a : K e y V a l u e O f D i a g r a m O b j e c t K e y a n y T y p e z b w N T n L X > < a : K e y > < K e y > T a b l e s \ T a b _ c o n c a t \ C o l u m n s \ N o m < / K e y > < / a : K e y > < a : V a l u e   i : t y p e = " D i a g r a m D i s p l a y N o d e V i e w S t a t e " > < H e i g h t > 1 5 0 < / H e i g h t > < I s E x p a n d e d > t r u e < / I s E x p a n d e d > < W i d t h > 2 0 0 < / W i d t h > < / a : V a l u e > < / a : K e y V a l u e O f D i a g r a m O b j e c t K e y a n y T y p e z b w N T n L X > < a : K e y V a l u e O f D i a g r a m O b j e c t K e y a n y T y p e z b w N T n L X > < a : K e y > < K e y > R e l a t i o n s h i p s \ & l t ; T a b l e s \ T a b _ c o n c a t \ C o l u m n s \ C o m p t e u r & g t ; - & l t ; T a b l e s \ T a b l e a u 1 6 \ C o l u m n s \ C o m p t e u r / L i v r a i s o n & g t ; < / K e y > < / a : K e y > < a : V a l u e   i : t y p e = " D i a g r a m D i s p l a y L i n k V i e w S t a t e " > < A u t o m a t i o n P r o p e r t y H e l p e r T e x t > P o i n t   d ' a r r � t   1   :   ( 2 1 6 , 7 5 ) .   P o i n t   d ' a r r � t   2   :   ( 3 1 3 , 9 0 3 8 1 0 5 6 7 6 6 6 , 7 5 )   < / A u t o m a t i o n P r o p e r t y H e l p e r T e x t > < I s F o c u s e d > t r u e < / I s F o c u s e d > < L a y e d O u t > t r u e < / L a y e d O u t > < P o i n t s   x m l n s : b = " h t t p : / / s c h e m a s . d a t a c o n t r a c t . o r g / 2 0 0 4 / 0 7 / S y s t e m . W i n d o w s " > < b : P o i n t > < b : _ x > 2 1 6 < / b : _ x > < b : _ y > 7 5 < / b : _ y > < / b : P o i n t > < b : P o i n t > < b : _ x > 3 1 3 . 9 0 3 8 1 0 5 6 7 6 6 5 8 < / b : _ x > < b : _ y > 7 5 < / b : _ y > < / b : P o i n t > < / P o i n t s > < / a : V a l u e > < / a : K e y V a l u e O f D i a g r a m O b j e c t K e y a n y T y p e z b w N T n L X > < a : K e y V a l u e O f D i a g r a m O b j e c t K e y a n y T y p e z b w N T n L X > < a : K e y > < K e y > R e l a t i o n s h i p s \ & l t ; T a b l e s \ T a b _ c o n c a t \ C o l u m n s \ C o m p t e u r & g t ; - & l t ; T a b l e s \ T a b l e a u 1 6 \ C o l u m n s \ C o m p t e u r / L i v r a i s o n & g t ; \ F K 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 R e l a t i o n s h i p s \ & l t ; T a b l e s \ T a b _ c o n c a t \ C o l u m n s \ C o m p t e u r & g t ; - & l t ; T a b l e s \ T a b l e a u 1 6 \ C o l u m n s \ C o m p t e u r / L i v r a i s o n & g t ; \ P K < / K e y > < / a : K e y > < a : V a l u e   i : t y p e = " D i a g r a m D i s p l a y L i n k E n d p o i n t V i e w S t a t e " > < H e i g h t > 1 6 < / H e i g h t > < L a b e l L o c a t i o n   x m l n s : b = " h t t p : / / s c h e m a s . d a t a c o n t r a c t . o r g / 2 0 0 4 / 0 7 / S y s t e m . W i n d o w s " > < b : _ x > 3 1 3 . 9 0 3 8 1 0 5 6 7 6 6 5 8 < / b : _ x > < b : _ y > 6 7 < / b : _ y > < / L a b e l L o c a t i o n > < L o c a t i o n   x m l n s : b = " h t t p : / / s c h e m a s . d a t a c o n t r a c t . o r g / 2 0 0 4 / 0 7 / S y s t e m . W i n d o w s " > < b : _ x > 3 2 9 . 9 0 3 8 1 0 5 6 7 6 6 5 8 < / b : _ x > < b : _ y > 7 5 < / b : _ y > < / L o c a t i o n > < S h a p e R o t a t e A n g l e > 1 8 0 < / S h a p e R o t a t e A n g l e > < W i d t h > 1 6 < / W i d t h > < / a : V a l u e > < / a : K e y V a l u e O f D i a g r a m O b j e c t K e y a n y T y p e z b w N T n L X > < a : K e y V a l u e O f D i a g r a m O b j e c t K e y a n y T y p e z b w N T n L X > < a : K e y > < K e y > R e l a t i o n s h i p s \ & l t ; T a b l e s \ T a b _ c o n c a t \ C o l u m n s \ C o m p t e u r & g t ; - & l t ; T a b l e s \ T a b l e a u 1 6 \ C o l u m n s \ C o m p t e u r / L i v r a i s o n & g t ; \ C r o s s F i l t e r < / K e y > < / a : K e y > < a : V a l u e   i : t y p e = " D i a g r a m D i s p l a y L i n k C r o s s F i l t e r V i e w S t a t e " > < P o i n t s   x m l n s : b = " h t t p : / / s c h e m a s . d a t a c o n t r a c t . o r g / 2 0 0 4 / 0 7 / S y s t e m . W i n d o w s " > < b : P o i n t > < b : _ x > 2 1 6 < / b : _ x > < b : _ y > 7 5 < / b : _ y > < / b : P o i n t > < b : P o i n t > < b : _ x > 3 1 3 . 9 0 3 8 1 0 5 6 7 6 6 5 8 < / b : _ x > < b : _ y > 7 5 < / b : _ y > < / b : P o i n t > < / P o i n t s > < / a : V a l u e > < / a : K e y V a l u e O f D i a g r a m O b j e c t K e y a n y T y p e z b w N T n L X > < / V i e w S t a t e s > < / D i a g r a m M a n a g e r . S e r i a l i z a b l e D i a g r a m > < D i a g r a m M a n a g e r . S e r i a l i z a b l e D i a g r a m > < A d a p t e r   i : t y p e = " M e a s u r e D i a g r a m S a n d b o x A d a p t e r " > < T a b l e N a m e > T a b l e a u 1 6 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 T a b l e a u 1 6 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 C o l u m n s \ C o m p t e u r / L i v r a i s o n < / K e y > < / D i a g r a m O b j e c t K e y > < D i a g r a m O b j e c t K e y > < K e y > C o l u m n s \ T y p e < / K e y > < / D i a g r a m O b j e c t K e y > < D i a g r a m O b j e c t K e y > < K e y > C o l u m n s \ S o u r c e < / K e y > < / D i a g r a m O b j e c t K e y > < D i a g r a m O b j e c t K e y > < K e y > C o l u m n s \ D e t a i l   u s a g e < / K e y > < / D i a g r a m O b j e c t K e y > < D i a g r a m O b j e c t K e y > < K e y > C o l u m n s \ C o m b u s t i b l e < / K e y > < / D i a g r a m O b j e c t K e y > < D i a g r a m O b j e c t K e y > < K e y > C o l u m n s \ P C I < / K e y > < / D i a g r a m O b j e c t K e y > < D i a g r a m O b j e c t K e y > < K e y > C o l u m n s \ P C I _ D E E T < / K e y > < / D i a g r a m O b j e c t K e y > < D i a g r a m O b j e c t K e y > < K e y > C o l u m n s \ N o m < / K e y > < / D i a g r a m O b j e c t K e y > < D i a g r a m O b j e c t K e y > < K e y > C o l u m n s \ P C I _ E P 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 C o l u m n s \ C o m p t e u r / L i v r a i s o n < / K e y > < / a : K e y > < a : V a l u e   i : t y p e = " M e a s u r e G r i d N o d e V i e w S t a t e " > < L a y e d O u t > t r u e < / L a y e d O u t > < / a : V a l u e > < / a : K e y V a l u e O f D i a g r a m O b j e c t K e y a n y T y p e z b w N T n L X > < a : K e y V a l u e O f D i a g r a m O b j e c t K e y a n y T y p e z b w N T n L X > < a : K e y > < K e y > C o l u m n s \ T y p e < / K e y > < / a : K e y > < a : V a l u e   i : t y p e = " M e a s u r e G r i d N o d e V i e w S t a t e " > < C o l u m n > 1 < / C o l u m n > < L a y e d O u t > t r u e < / L a y e d O u t > < / a : V a l u e > < / a : K e y V a l u e O f D i a g r a m O b j e c t K e y a n y T y p e z b w N T n L X > < a : K e y V a l u e O f D i a g r a m O b j e c t K e y a n y T y p e z b w N T n L X > < a : K e y > < K e y > C o l u m n s \ S o u r c e < / K e y > < / a : K e y > < a : V a l u e   i : t y p e = " M e a s u r e G r i d N o d e V i e w S t a t e " > < C o l u m n > 2 < / C o l u m n > < L a y e d O u t > t r u e < / L a y e d O u t > < / a : V a l u e > < / a : K e y V a l u e O f D i a g r a m O b j e c t K e y a n y T y p e z b w N T n L X > < a : K e y V a l u e O f D i a g r a m O b j e c t K e y a n y T y p e z b w N T n L X > < a : K e y > < K e y > C o l u m n s \ D e t a i l   u s a g e < / K e y > < / a : K e y > < a : V a l u e   i : t y p e = " M e a s u r e G r i d N o d e V i e w S t a t e " > < C o l u m n > 3 < / C o l u m n > < L a y e d O u t > t r u e < / L a y e d O u t > < / a : V a l u e > < / a : K e y V a l u e O f D i a g r a m O b j e c t K e y a n y T y p e z b w N T n L X > < a : K e y V a l u e O f D i a g r a m O b j e c t K e y a n y T y p e z b w N T n L X > < a : K e y > < K e y > C o l u m n s \ C o m b u s t i b l e < / K e y > < / a : K e y > < a : V a l u e   i : t y p e = " M e a s u r e G r i d N o d e V i e w S t a t e " > < C o l u m n > 4 < / C o l u m n > < L a y e d O u t > t r u e < / L a y e d O u t > < / a : V a l u e > < / a : K e y V a l u e O f D i a g r a m O b j e c t K e y a n y T y p e z b w N T n L X > < a : K e y V a l u e O f D i a g r a m O b j e c t K e y a n y T y p e z b w N T n L X > < a : K e y > < K e y > C o l u m n s \ P C I < / K e y > < / a : K e y > < a : V a l u e   i : t y p e = " M e a s u r e G r i d N o d e V i e w S t a t e " > < C o l u m n > 5 < / C o l u m n > < L a y e d O u t > t r u e < / L a y e d O u t > < / a : V a l u e > < / a : K e y V a l u e O f D i a g r a m O b j e c t K e y a n y T y p e z b w N T n L X > < a : K e y V a l u e O f D i a g r a m O b j e c t K e y a n y T y p e z b w N T n L X > < a : K e y > < K e y > C o l u m n s \ P C I _ D E E T < / K e y > < / a : K e y > < a : V a l u e   i : t y p e = " M e a s u r e G r i d N o d e V i e w S t a t e " > < C o l u m n > 6 < / C o l u m n > < L a y e d O u t > t r u e < / L a y e d O u t > < / a : V a l u e > < / a : K e y V a l u e O f D i a g r a m O b j e c t K e y a n y T y p e z b w N T n L X > < a : K e y V a l u e O f D i a g r a m O b j e c t K e y a n y T y p e z b w N T n L X > < a : K e y > < K e y > C o l u m n s \ N o m < / K e y > < / a : K e y > < a : V a l u e   i : t y p e = " M e a s u r e G r i d N o d e V i e w S t a t e " > < C o l u m n > 7 < / C o l u m n > < L a y e d O u t > t r u e < / L a y e d O u t > < / a : V a l u e > < / a : K e y V a l u e O f D i a g r a m O b j e c t K e y a n y T y p e z b w N T n L X > < a : K e y V a l u e O f D i a g r a m O b j e c t K e y a n y T y p e z b w N T n L X > < a : K e y > < K e y > C o l u m n s \ P C I _ E P < / K e y > < / a : K e y > < a : V a l u e   i : t y p e = " M e a s u r e G r i d N o d e V i e w S t a t e " > < C o l u m n > 8 < / C o l u m n > < L a y e d O u t > t r u e < / L a y e d O u t > < / a : V a l u e > < / a : K e y V a l u e O f D i a g r a m O b j e c t K e y a n y T y p e z b w N T n L X > < / V i e w S t a t e s > < / D i a g r a m M a n a g e r . S e r i a l i z a b l e D i a g r a m > < D i a g r a m M a n a g e r . S e r i a l i z a b l e D i a g r a m > < A d a p t e r   i : t y p e = " M e a s u r e D i a g r a m S a n d b o x A d a p t e r " > < T a b l e N a m e > T a b _ c o n c a t 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 T a b _ c o n c a t 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 C o n s o _ k W h _ P C I < / K e y > < / D i a g r a m O b j e c t K e y > < D i a g r a m O b j e c t K e y > < K e y > M e a s u r e s \ S o m m e   d e   C o n s o _ k W h _ P C I \ T a g I n f o \ F o r m u l e < / K e y > < / D i a g r a m O b j e c t K e y > < D i a g r a m O b j e c t K e y > < K e y > M e a s u r e s \ S o m m e   d e   C o n s o _ k W h _ P C I \ T a g I n f o \ V a l e u r < / K e y > < / D i a g r a m O b j e c t K e y > < D i a g r a m O b j e c t K e y > < K e y > M e a s u r e s \ S o m m e   d e   C o n s o _ k W h _ D E E T < / K e y > < / D i a g r a m O b j e c t K e y > < D i a g r a m O b j e c t K e y > < K e y > M e a s u r e s \ S o m m e   d e   C o n s o _ k W h _ D E E T \ T a g I n f o \ F o r m u l e < / K e y > < / D i a g r a m O b j e c t K e y > < D i a g r a m O b j e c t K e y > < K e y > M e a s u r e s \ S o m m e   d e   C o n s o _ k W h _ D E E T \ T a g I n f o \ V a l e u r < / K e y > < / D i a g r a m O b j e c t K e y > < D i a g r a m O b j e c t K e y > < K e y > M e a s u r e s \ S o m m e   d e   C o u t _ j o u r < / K e y > < / D i a g r a m O b j e c t K e y > < D i a g r a m O b j e c t K e y > < K e y > M e a s u r e s \ S o m m e   d e   C o u t _ j o u r \ T a g I n f o \ F o r m u l e < / K e y > < / D i a g r a m O b j e c t K e y > < D i a g r a m O b j e c t K e y > < K e y > M e a s u r e s \ S o m m e   d e   C o u t _ j o u r \ T a g I n f o \ V a l e u r < / K e y > < / D i a g r a m O b j e c t K e y > < D i a g r a m O b j e c t K e y > < K e y > M e a s u r e s \ S o m m e   d e   C o n s o _ k W h E P < / K e y > < / D i a g r a m O b j e c t K e y > < D i a g r a m O b j e c t K e y > < K e y > M e a s u r e s \ S o m m e   d e   C o n s o _ k W h E P \ T a g I n f o \ F o r m u l e < / K e y > < / D i a g r a m O b j e c t K e y > < D i a g r a m O b j e c t K e y > < K e y > M e a s u r e s \ S o m m e   d e   C o n s o _ k W h E P \ T a g I n f o \ V a l e u r < / K e y > < / D i a g r a m O b j e c t K e y > < D i a g r a m O b j e c t K e y > < K e y > M e a s u r e s \ S o m m e   d e   D e m a n d e _ j o u r < / K e y > < / D i a g r a m O b j e c t K e y > < D i a g r a m O b j e c t K e y > < K e y > M e a s u r e s \ S o m m e   d e   D e m a n d e _ j o u r \ T a g I n f o \ F o r m u l e < / K e y > < / D i a g r a m O b j e c t K e y > < D i a g r a m O b j e c t K e y > < K e y > M e a s u r e s \ S o m m e   d e   D e m a n d e _ j o u r \ T a g I n f o \ V a l e u r < / K e y > < / D i a g r a m O b j e c t K e y > < D i a g r a m O b j e c t K e y > < K e y > M e a s u r e s \ M o y e n n e   d e   C o n s o _ k W h _ P C I < / K e y > < / D i a g r a m O b j e c t K e y > < D i a g r a m O b j e c t K e y > < K e y > M e a s u r e s \ M o y e n n e   d e   C o n s o _ k W h _ P C I \ T a g I n f o \ F o r m u l e < / K e y > < / D i a g r a m O b j e c t K e y > < D i a g r a m O b j e c t K e y > < K e y > M e a s u r e s \ M o y e n n e   d e   C o n s o _ k W h _ P C I \ T a g I n f o \ V a l e u r < / K e y > < / D i a g r a m O b j e c t K e y > < D i a g r a m O b j e c t K e y > < K e y > M e a s u r e s \ M o y e n n e   d e   C o n s o _ k W h _ D E E T < / K e y > < / D i a g r a m O b j e c t K e y > < D i a g r a m O b j e c t K e y > < K e y > M e a s u r e s \ M o y e n n e   d e   C o n s o _ k W h _ D E E T \ T a g I n f o \ F o r m u l e < / K e y > < / D i a g r a m O b j e c t K e y > < D i a g r a m O b j e c t K e y > < K e y > M e a s u r e s \ M o y e n n e   d e   C o n s o _ k W h _ D E E T \ T a g I n f o \ V a l e u r < / K e y > < / D i a g r a m O b j e c t K e y > < D i a g r a m O b j e c t K e y > < K e y > M e a s u r e s \ S o m m e   d e   C o u t _ u n i t a i r e < / K e y > < / D i a g r a m O b j e c t K e y > < D i a g r a m O b j e c t K e y > < K e y > M e a s u r e s \ S o m m e   d e   C o u t _ u n i t a i r e \ T a g I n f o \ F o r m u l e < / K e y > < / D i a g r a m O b j e c t K e y > < D i a g r a m O b j e c t K e y > < K e y > M e a s u r e s \ S o m m e   d e   C o u t _ u n i t a i r e \ T a g I n f o \ V a l e u r < / K e y > < / D i a g r a m O b j e c t K e y > < D i a g r a m O b j e c t K e y > < K e y > M e a s u r e s \ S o m m e   d e   D J U _ q u o t _ c h a u f f a g i s t e < / K e y > < / D i a g r a m O b j e c t K e y > < D i a g r a m O b j e c t K e y > < K e y > M e a s u r e s \ S o m m e   d e   D J U _ q u o t _ c h a u f f a g i s t e \ T a g I n f o \ F o r m u l e < / K e y > < / D i a g r a m O b j e c t K e y > < D i a g r a m O b j e c t K e y > < K e y > M e a s u r e s \ S o m m e   d e   D J U _ q u o t _ c h a u f f a g i s t e \ T a g I n f o \ V a l e u r < / K e y > < / D i a g r a m O b j e c t K e y > < D i a g r a m O b j e c t K e y > < K e y > C o l u m n s \ C o m p t e u r < / K e y > < / D i a g r a m O b j e c t K e y > < D i a g r a m O b j e c t K e y > < K e y > C o l u m n s \ D a t e s < / K e y > < / D i a g r a m O b j e c t K e y > < D i a g r a m O b j e c t K e y > < K e y > C o l u m n s \ D e m a n d e _ j o u r < / K e y > < / D i a g r a m O b j e c t K e y > < D i a g r a m O b j e c t K e y > < K e y > C o l u m n s \ C o u t _ j o u r < / K e y > < / D i a g r a m O b j e c t K e y > < D i a g r a m O b j e c t K e y > < K e y > C o l u m n s \ D J U _ c h a u f f a g i s t e < / K e y > < / D i a g r a m O b j e c t K e y > < D i a g r a m O b j e c t K e y > < K e y > C o l u m n s \ D J U _ c l i m a t i c i e n < / K e y > < / D i a g r a m O b j e c t K e y > < D i a g r a m O b j e c t K e y > < K e y > C o l u m n s \ T y p e < / K e y > < / D i a g r a m O b j e c t K e y > < D i a g r a m O b j e c t K e y > < K e y > C o l u m n s \ S o u r c e < / K e y > < / D i a g r a m O b j e c t K e y > < D i a g r a m O b j e c t K e y > < K e y > C o l u m n s \ C o m b u s t i b l e < / K e y > < / D i a g r a m O b j e c t K e y > < D i a g r a m O b j e c t K e y > < K e y > C o l u m n s \ C o n s o _ k W h _ P C I < / K e y > < / D i a g r a m O b j e c t K e y > < D i a g r a m O b j e c t K e y > < K e y > C o l u m n s \ C o n s o _ k W h _ D E E T < / K e y > < / D i a g r a m O b j e c t K e y > < D i a g r a m O b j e c t K e y > < K e y > C o l u m n s \ N o m < / K e y > < / D i a g r a m O b j e c t K e y > < D i a g r a m O b j e c t K e y > < K e y > C o l u m n s \ D e t a i l   u s a g e < / K e y > < / D i a g r a m O b j e c t K e y > < D i a g r a m O b j e c t K e y > < K e y > C o l u m n s \ C o n s o _ k W h E P < / K e y > < / D i a g r a m O b j e c t K e y > < D i a g r a m O b j e c t K e y > < K e y > C o l u m n s \ A n n e e < / K e y > < / D i a g r a m O b j e c t K e y > < D i a g r a m O b j e c t K e y > < K e y > C o l u m n s \ M o i s < / K e y > < / D i a g r a m O b j e c t K e y > < D i a g r a m O b j e c t K e y > < K e y > C o l u m n s \ C o u t _ u n i t a i r e < / K e y > < / D i a g r a m O b j e c t K e y > < D i a g r a m O b j e c t K e y > < K e y > C o l u m n s \ D a t e s   ( a n n � e ) < / K e y > < / D i a g r a m O b j e c t K e y > < D i a g r a m O b j e c t K e y > < K e y > C o l u m n s \ D a t e s   ( t r i m e s t r e ) < / K e y > < / D i a g r a m O b j e c t K e y > < D i a g r a m O b j e c t K e y > < K e y > C o l u m n s \ D a t e s   ( i n d e x   d e s   m o i s ) < / K e y > < / D i a g r a m O b j e c t K e y > < D i a g r a m O b j e c t K e y > < K e y > C o l u m n s \ D a t e s   ( m o i s ) < / K e y > < / D i a g r a m O b j e c t K e y > < D i a g r a m O b j e c t K e y > < K e y > C o l u m n s \ D J U _ q u o t _ c h a u f f a g i s t e < / K e y > < / D i a g r a m O b j e c t K e y > < D i a g r a m O b j e c t K e y > < K e y > C o l u m n s \ D J U _ q u o t _ c l i m a t i c i e n < / K e y > < / D i a g r a m O b j e c t K e y > < D i a g r a m O b j e c t K e y > < K e y > L i n k s \ & l t ; C o l u m n s \ S o m m e   d e   C o n s o _ k W h _ P C I & g t ; - & l t ; M e a s u r e s \ C o n s o _ k W h _ P C I & g t ; < / K e y > < / D i a g r a m O b j e c t K e y > < D i a g r a m O b j e c t K e y > < K e y > L i n k s \ & l t ; C o l u m n s \ S o m m e   d e   C o n s o _ k W h _ P C I & g t ; - & l t ; M e a s u r e s \ C o n s o _ k W h _ P C I & g t ; \ C O L U M N < / K e y > < / D i a g r a m O b j e c t K e y > < D i a g r a m O b j e c t K e y > < K e y > L i n k s \ & l t ; C o l u m n s \ S o m m e   d e   C o n s o _ k W h _ P C I & g t ; - & l t ; M e a s u r e s \ C o n s o _ k W h _ P C I & g t ; \ M E A S U R E < / K e y > < / D i a g r a m O b j e c t K e y > < D i a g r a m O b j e c t K e y > < K e y > L i n k s \ & l t ; C o l u m n s \ S o m m e   d e   C o n s o _ k W h _ D E E T & g t ; - & l t ; M e a s u r e s \ C o n s o _ k W h _ D E E T & g t ; < / K e y > < / D i a g r a m O b j e c t K e y > < D i a g r a m O b j e c t K e y > < K e y > L i n k s \ & l t ; C o l u m n s \ S o m m e   d e   C o n s o _ k W h _ D E E T & g t ; - & l t ; M e a s u r e s \ C o n s o _ k W h _ D E E T & g t ; \ C O L U M N < / K e y > < / D i a g r a m O b j e c t K e y > < D i a g r a m O b j e c t K e y > < K e y > L i n k s \ & l t ; C o l u m n s \ S o m m e   d e   C o n s o _ k W h _ D E E T & g t ; - & l t ; M e a s u r e s \ C o n s o _ k W h _ D E E T & g t ; \ M E A S U R E < / K e y > < / D i a g r a m O b j e c t K e y > < D i a g r a m O b j e c t K e y > < K e y > L i n k s \ & l t ; C o l u m n s \ S o m m e   d e   C o u t _ j o u r & g t ; - & l t ; M e a s u r e s \ C o u t _ j o u r & g t ; < / K e y > < / D i a g r a m O b j e c t K e y > < D i a g r a m O b j e c t K e y > < K e y > L i n k s \ & l t ; C o l u m n s \ S o m m e   d e   C o u t _ j o u r & g t ; - & l t ; M e a s u r e s \ C o u t _ j o u r & g t ; \ C O L U M N < / K e y > < / D i a g r a m O b j e c t K e y > < D i a g r a m O b j e c t K e y > < K e y > L i n k s \ & l t ; C o l u m n s \ S o m m e   d e   C o u t _ j o u r & g t ; - & l t ; M e a s u r e s \ C o u t _ j o u r & g t ; \ M E A S U R E < / K e y > < / D i a g r a m O b j e c t K e y > < D i a g r a m O b j e c t K e y > < K e y > L i n k s \ & l t ; C o l u m n s \ S o m m e   d e   C o n s o _ k W h E P & g t ; - & l t ; M e a s u r e s \ C o n s o _ k W h E P & g t ; < / K e y > < / D i a g r a m O b j e c t K e y > < D i a g r a m O b j e c t K e y > < K e y > L i n k s \ & l t ; C o l u m n s \ S o m m e   d e   C o n s o _ k W h E P & g t ; - & l t ; M e a s u r e s \ C o n s o _ k W h E P & g t ; \ C O L U M N < / K e y > < / D i a g r a m O b j e c t K e y > < D i a g r a m O b j e c t K e y > < K e y > L i n k s \ & l t ; C o l u m n s \ S o m m e   d e   C o n s o _ k W h E P & g t ; - & l t ; M e a s u r e s \ C o n s o _ k W h E P & g t ; \ M E A S U R E < / K e y > < / D i a g r a m O b j e c t K e y > < D i a g r a m O b j e c t K e y > < K e y > L i n k s \ & l t ; C o l u m n s \ S o m m e   d e   D e m a n d e _ j o u r & g t ; - & l t ; M e a s u r e s \ D e m a n d e _ j o u r & g t ; < / K e y > < / D i a g r a m O b j e c t K e y > < D i a g r a m O b j e c t K e y > < K e y > L i n k s \ & l t ; C o l u m n s \ S o m m e   d e   D e m a n d e _ j o u r & g t ; - & l t ; M e a s u r e s \ D e m a n d e _ j o u r & g t ; \ C O L U M N < / K e y > < / D i a g r a m O b j e c t K e y > < D i a g r a m O b j e c t K e y > < K e y > L i n k s \ & l t ; C o l u m n s \ S o m m e   d e   D e m a n d e _ j o u r & g t ; - & l t ; M e a s u r e s \ D e m a n d e _ j o u r & g t ; \ M E A S U R E < / K e y > < / D i a g r a m O b j e c t K e y > < D i a g r a m O b j e c t K e y > < K e y > L i n k s \ & l t ; C o l u m n s \ M o y e n n e   d e   C o n s o _ k W h _ P C I & g t ; - & l t ; M e a s u r e s \ C o n s o _ k W h _ P C I & g t ; < / K e y > < / D i a g r a m O b j e c t K e y > < D i a g r a m O b j e c t K e y > < K e y > L i n k s \ & l t ; C o l u m n s \ M o y e n n e   d e   C o n s o _ k W h _ P C I & g t ; - & l t ; M e a s u r e s \ C o n s o _ k W h _ P C I & g t ; \ C O L U M N < / K e y > < / D i a g r a m O b j e c t K e y > < D i a g r a m O b j e c t K e y > < K e y > L i n k s \ & l t ; C o l u m n s \ M o y e n n e   d e   C o n s o _ k W h _ P C I & g t ; - & l t ; M e a s u r e s \ C o n s o _ k W h _ P C I & g t ; \ M E A S U R E < / K e y > < / D i a g r a m O b j e c t K e y > < D i a g r a m O b j e c t K e y > < K e y > L i n k s \ & l t ; C o l u m n s \ M o y e n n e   d e   C o n s o _ k W h _ D E E T & g t ; - & l t ; M e a s u r e s \ C o n s o _ k W h _ D E E T & g t ; < / K e y > < / D i a g r a m O b j e c t K e y > < D i a g r a m O b j e c t K e y > < K e y > L i n k s \ & l t ; C o l u m n s \ M o y e n n e   d e   C o n s o _ k W h _ D E E T & g t ; - & l t ; M e a s u r e s \ C o n s o _ k W h _ D E E T & g t ; \ C O L U M N < / K e y > < / D i a g r a m O b j e c t K e y > < D i a g r a m O b j e c t K e y > < K e y > L i n k s \ & l t ; C o l u m n s \ M o y e n n e   d e   C o n s o _ k W h _ D E E T & g t ; - & l t ; M e a s u r e s \ C o n s o _ k W h _ D E E T & g t ; \ M E A S U R E < / K e y > < / D i a g r a m O b j e c t K e y > < D i a g r a m O b j e c t K e y > < K e y > L i n k s \ & l t ; C o l u m n s \ S o m m e   d e   C o u t _ u n i t a i r e & g t ; - & l t ; M e a s u r e s \ C o u t _ u n i t a i r e & g t ; < / K e y > < / D i a g r a m O b j e c t K e y > < D i a g r a m O b j e c t K e y > < K e y > L i n k s \ & l t ; C o l u m n s \ S o m m e   d e   C o u t _ u n i t a i r e & g t ; - & l t ; M e a s u r e s \ C o u t _ u n i t a i r e & g t ; \ C O L U M N < / K e y > < / D i a g r a m O b j e c t K e y > < D i a g r a m O b j e c t K e y > < K e y > L i n k s \ & l t ; C o l u m n s \ S o m m e   d e   C o u t _ u n i t a i r e & g t ; - & l t ; M e a s u r e s \ C o u t _ u n i t a i r e & g t ; \ M E A S U R E < / K e y > < / D i a g r a m O b j e c t K e y > < D i a g r a m O b j e c t K e y > < K e y > L i n k s \ & l t ; C o l u m n s \ S o m m e   d e   D J U _ q u o t _ c h a u f f a g i s t e & g t ; - & l t ; M e a s u r e s \ D J U _ q u o t _ c h a u f f a g i s t e & g t ; < / K e y > < / D i a g r a m O b j e c t K e y > < D i a g r a m O b j e c t K e y > < K e y > L i n k s \ & l t ; C o l u m n s \ S o m m e   d e   D J U _ q u o t _ c h a u f f a g i s t e & g t ; - & l t ; M e a s u r e s \ D J U _ q u o t _ c h a u f f a g i s t e & g t ; \ C O L U M N < / K e y > < / D i a g r a m O b j e c t K e y > < D i a g r a m O b j e c t K e y > < K e y > L i n k s \ & l t ; C o l u m n s \ S o m m e   d e   D J U _ q u o t _ c h a u f f a g i s t e & g t ; - & l t ; M e a s u r e s \ D J U _ q u o t _ c h a u f f a g i s t e & g t ; \ M E A S U R E 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 C o n s o _ k W h _ P C I < / K e y > < / a : K e y > < a : V a l u e   i : t y p e = " M e a s u r e G r i d N o d e V i e w S t a t e " > < C o l u m n > 7 < / C o l u m n > < L a y e d O u t > t r u e < / L a y e d O u t > < W a s U I I n v i s i b l e > t r u e < / W a s U I I n v i s i b l e > < / a : V a l u e > < / a : K e y V a l u e O f D i a g r a m O b j e c t K e y a n y T y p e z b w N T n L X > < a : K e y V a l u e O f D i a g r a m O b j e c t K e y a n y T y p e z b w N T n L X > < a : K e y > < K e y > M e a s u r e s \ S o m m e   d e   C o n s o _ k W h _ P C I \ T a g I n f o \ F o r m u l e < / K e y > < / a : K e y > < a : V a l u e   i : t y p e = " M e a s u r e G r i d V i e w S t a t e I D i a g r a m T a g A d d i t i o n a l I n f o " / > < / a : K e y V a l u e O f D i a g r a m O b j e c t K e y a n y T y p e z b w N T n L X > < a : K e y V a l u e O f D i a g r a m O b j e c t K e y a n y T y p e z b w N T n L X > < a : K e y > < K e y > M e a s u r e s \ S o m m e   d e   C o n s o _ k W h _ P C I \ T a g I n f o \ V a l e u r < / K e y > < / a : K e y > < a : V a l u e   i : t y p e = " M e a s u r e G r i d V i e w S t a t e I D i a g r a m T a g A d d i t i o n a l I n f o " / > < / a : K e y V a l u e O f D i a g r a m O b j e c t K e y a n y T y p e z b w N T n L X > < a : K e y V a l u e O f D i a g r a m O b j e c t K e y a n y T y p e z b w N T n L X > < a : K e y > < K e y > M e a s u r e s \ S o m m e   d e   C o n s o _ k W h _ D E E T < / K e y > < / a : K e y > < a : V a l u e   i : t y p e = " M e a s u r e G r i d N o d e V i e w S t a t e " > < C o l u m n > 8 < / C o l u m n > < L a y e d O u t > t r u e < / L a y e d O u t > < W a s U I I n v i s i b l e > t r u e < / W a s U I I n v i s i b l e > < / a : V a l u e > < / a : K e y V a l u e O f D i a g r a m O b j e c t K e y a n y T y p e z b w N T n L X > < a : K e y V a l u e O f D i a g r a m O b j e c t K e y a n y T y p e z b w N T n L X > < a : K e y > < K e y > M e a s u r e s \ S o m m e   d e   C o n s o _ k W h _ D E E T \ T a g I n f o \ F o r m u l e < / K e y > < / a : K e y > < a : V a l u e   i : t y p e = " M e a s u r e G r i d V i e w S t a t e I D i a g r a m T a g A d d i t i o n a l I n f o " / > < / a : K e y V a l u e O f D i a g r a m O b j e c t K e y a n y T y p e z b w N T n L X > < a : K e y V a l u e O f D i a g r a m O b j e c t K e y a n y T y p e z b w N T n L X > < a : K e y > < K e y > M e a s u r e s \ S o m m e   d e   C o n s o _ k W h _ D E E T \ T a g I n f o \ V a l e u r < / K e y > < / a : K e y > < a : V a l u e   i : t y p e = " M e a s u r e G r i d V i e w S t a t e I D i a g r a m T a g A d d i t i o n a l I n f o " / > < / a : K e y V a l u e O f D i a g r a m O b j e c t K e y a n y T y p e z b w N T n L X > < a : K e y V a l u e O f D i a g r a m O b j e c t K e y a n y T y p e z b w N T n L X > < a : K e y > < K e y > M e a s u r e s \ S o m m e   d e   C o u t _ j o u r < / K e y > < / a : K e y > < a : V a l u e   i : t y p e = " M e a s u r e G r i d N o d e V i e w S t a t e " > < C o l u m n > 1 < / C o l u m n > < L a y e d O u t > t r u e < / L a y e d O u t > < W a s U I I n v i s i b l e > t r u e < / W a s U I I n v i s i b l e > < / a : V a l u e > < / a : K e y V a l u e O f D i a g r a m O b j e c t K e y a n y T y p e z b w N T n L X > < a : K e y V a l u e O f D i a g r a m O b j e c t K e y a n y T y p e z b w N T n L X > < a : K e y > < K e y > M e a s u r e s \ S o m m e   d e   C o u t _ j o u r \ T a g I n f o \ F o r m u l e < / K e y > < / a : K e y > < a : V a l u e   i : t y p e = " M e a s u r e G r i d V i e w S t a t e I D i a g r a m T a g A d d i t i o n a l I n f o " / > < / a : K e y V a l u e O f D i a g r a m O b j e c t K e y a n y T y p e z b w N T n L X > < a : K e y V a l u e O f D i a g r a m O b j e c t K e y a n y T y p e z b w N T n L X > < a : K e y > < K e y > M e a s u r e s \ S o m m e   d e   C o u t _ j o u r \ T a g I n f o \ V a l e u r < / K e y > < / a : K e y > < a : V a l u e   i : t y p e = " M e a s u r e G r i d V i e w S t a t e I D i a g r a m T a g A d d i t i o n a l I n f o " / > < / a : K e y V a l u e O f D i a g r a m O b j e c t K e y a n y T y p e z b w N T n L X > < a : K e y V a l u e O f D i a g r a m O b j e c t K e y a n y T y p e z b w N T n L X > < a : K e y > < K e y > M e a s u r e s \ S o m m e   d e   C o n s o _ k W h E P < / K e y > < / a : K e y > < a : V a l u e   i : t y p e = " M e a s u r e G r i d N o d e V i e w S t a t e " > < C o l u m n > 1 1 < / C o l u m n > < L a y e d O u t > t r u e < / L a y e d O u t > < W a s U I I n v i s i b l e > t r u e < / W a s U I I n v i s i b l e > < / a : V a l u e > < / a : K e y V a l u e O f D i a g r a m O b j e c t K e y a n y T y p e z b w N T n L X > < a : K e y V a l u e O f D i a g r a m O b j e c t K e y a n y T y p e z b w N T n L X > < a : K e y > < K e y > M e a s u r e s \ S o m m e   d e   C o n s o _ k W h E P \ T a g I n f o \ F o r m u l e < / K e y > < / a : K e y > < a : V a l u e   i : t y p e = " M e a s u r e G r i d V i e w S t a t e I D i a g r a m T a g A d d i t i o n a l I n f o " / > < / a : K e y V a l u e O f D i a g r a m O b j e c t K e y a n y T y p e z b w N T n L X > < a : K e y V a l u e O f D i a g r a m O b j e c t K e y a n y T y p e z b w N T n L X > < a : K e y > < K e y > M e a s u r e s \ S o m m e   d e   C o n s o _ k W h E P \ T a g I n f o \ V a l e u r < / K e y > < / a : K e y > < a : V a l u e   i : t y p e = " M e a s u r e G r i d V i e w S t a t e I D i a g r a m T a g A d d i t i o n a l I n f o " / > < / a : K e y V a l u e O f D i a g r a m O b j e c t K e y a n y T y p e z b w N T n L X > < a : K e y V a l u e O f D i a g r a m O b j e c t K e y a n y T y p e z b w N T n L X > < a : K e y > < K e y > M e a s u r e s \ S o m m e   d e   D e m a n d e _ j o u r < / K e y > < / a : K e y > < a : V a l u e   i : t y p e = " M e a s u r e G r i d N o d e V i e w S t a t e " > < L a y e d O u t > t r u e < / L a y e d O u t > < W a s U I I n v i s i b l e > t r u e < / W a s U I I n v i s i b l e > < / a : V a l u e > < / a : K e y V a l u e O f D i a g r a m O b j e c t K e y a n y T y p e z b w N T n L X > < a : K e y V a l u e O f D i a g r a m O b j e c t K e y a n y T y p e z b w N T n L X > < a : K e y > < K e y > M e a s u r e s \ S o m m e   d e   D e m a n d e _ j o u r \ T a g I n f o \ F o r m u l e < / K e y > < / a : K e y > < a : V a l u e   i : t y p e = " M e a s u r e G r i d V i e w S t a t e I D i a g r a m T a g A d d i t i o n a l I n f o " / > < / a : K e y V a l u e O f D i a g r a m O b j e c t K e y a n y T y p e z b w N T n L X > < a : K e y V a l u e O f D i a g r a m O b j e c t K e y a n y T y p e z b w N T n L X > < a : K e y > < K e y > M e a s u r e s \ S o m m e   d e   D e m a n d e _ j o u r \ T a g I n f o \ V a l e u r < / K e y > < / a : K e y > < a : V a l u e   i : t y p e = " M e a s u r e G r i d V i e w S t a t e I D i a g r a m T a g A d d i t i o n a l I n f o " / > < / a : K e y V a l u e O f D i a g r a m O b j e c t K e y a n y T y p e z b w N T n L X > < a : K e y V a l u e O f D i a g r a m O b j e c t K e y a n y T y p e z b w N T n L X > < a : K e y > < K e y > M e a s u r e s \ M o y e n n e   d e   C o n s o _ k W h _ P C I < / K e y > < / a : K e y > < a : V a l u e   i : t y p e = " M e a s u r e G r i d N o d e V i e w S t a t e " > < C o l u m n > 7 < / C o l u m n > < L a y e d O u t > t r u e < / L a y e d O u t > < W a s U I I n v i s i b l e > t r u e < / W a s U I I n v i s i b l e > < / a : V a l u e > < / a : K e y V a l u e O f D i a g r a m O b j e c t K e y a n y T y p e z b w N T n L X > < a : K e y V a l u e O f D i a g r a m O b j e c t K e y a n y T y p e z b w N T n L X > < a : K e y > < K e y > M e a s u r e s \ M o y e n n e   d e   C o n s o _ k W h _ P C I \ T a g I n f o \ F o r m u l e < / K e y > < / a : K e y > < a : V a l u e   i : t y p e = " M e a s u r e G r i d V i e w S t a t e I D i a g r a m T a g A d d i t i o n a l I n f o " / > < / a : K e y V a l u e O f D i a g r a m O b j e c t K e y a n y T y p e z b w N T n L X > < a : K e y V a l u e O f D i a g r a m O b j e c t K e y a n y T y p e z b w N T n L X > < a : K e y > < K e y > M e a s u r e s \ M o y e n n e   d e   C o n s o _ k W h _ P C I \ T a g I n f o \ V a l e u r < / K e y > < / a : K e y > < a : V a l u e   i : t y p e = " M e a s u r e G r i d V i e w S t a t e I D i a g r a m T a g A d d i t i o n a l I n f o " / > < / a : K e y V a l u e O f D i a g r a m O b j e c t K e y a n y T y p e z b w N T n L X > < a : K e y V a l u e O f D i a g r a m O b j e c t K e y a n y T y p e z b w N T n L X > < a : K e y > < K e y > M e a s u r e s \ M o y e n n e   d e   C o n s o _ k W h _ D E E T < / K e y > < / a : K e y > < a : V a l u e   i : t y p e = " M e a s u r e G r i d N o d e V i e w S t a t e " > < C o l u m n > 8 < / C o l u m n > < L a y e d O u t > t r u e < / L a y e d O u t > < W a s U I I n v i s i b l e > t r u e < / W a s U I I n v i s i b l e > < / a : V a l u e > < / a : K e y V a l u e O f D i a g r a m O b j e c t K e y a n y T y p e z b w N T n L X > < a : K e y V a l u e O f D i a g r a m O b j e c t K e y a n y T y p e z b w N T n L X > < a : K e y > < K e y > M e a s u r e s \ M o y e n n e   d e   C o n s o _ k W h _ D E E T \ T a g I n f o \ F o r m u l e < / K e y > < / a : K e y > < a : V a l u e   i : t y p e = " M e a s u r e G r i d V i e w S t a t e I D i a g r a m T a g A d d i t i o n a l I n f o " / > < / a : K e y V a l u e O f D i a g r a m O b j e c t K e y a n y T y p e z b w N T n L X > < a : K e y V a l u e O f D i a g r a m O b j e c t K e y a n y T y p e z b w N T n L X > < a : K e y > < K e y > M e a s u r e s \ M o y e n n e   d e   C o n s o _ k W h _ D E E T \ T a g I n f o \ V a l e u r < / K e y > < / a : K e y > < a : V a l u e   i : t y p e = " M e a s u r e G r i d V i e w S t a t e I D i a g r a m T a g A d d i t i o n a l I n f o " / > < / a : K e y V a l u e O f D i a g r a m O b j e c t K e y a n y T y p e z b w N T n L X > < a : K e y V a l u e O f D i a g r a m O b j e c t K e y a n y T y p e z b w N T n L X > < a : K e y > < K e y > M e a s u r e s \ S o m m e   d e   C o u t _ u n i t a i r e < / K e y > < / a : K e y > < a : V a l u e   i : t y p e = " M e a s u r e G r i d N o d e V i e w S t a t e " > < C o l u m n > 1 4 < / C o l u m n > < L a y e d O u t > t r u e < / L a y e d O u t > < W a s U I I n v i s i b l e > t r u e < / W a s U I I n v i s i b l e > < / a : V a l u e > < / a : K e y V a l u e O f D i a g r a m O b j e c t K e y a n y T y p e z b w N T n L X > < a : K e y V a l u e O f D i a g r a m O b j e c t K e y a n y T y p e z b w N T n L X > < a : K e y > < K e y > M e a s u r e s \ S o m m e   d e   C o u t _ u n i t a i r e \ T a g I n f o \ F o r m u l e < / K e y > < / a : K e y > < a : V a l u e   i : t y p e = " M e a s u r e G r i d V i e w S t a t e I D i a g r a m T a g A d d i t i o n a l I n f o " / > < / a : K e y V a l u e O f D i a g r a m O b j e c t K e y a n y T y p e z b w N T n L X > < a : K e y V a l u e O f D i a g r a m O b j e c t K e y a n y T y p e z b w N T n L X > < a : K e y > < K e y > M e a s u r e s \ S o m m e   d e   C o u t _ u n i t a i r e \ T a g I n f o \ V a l e u r < / K e y > < / a : K e y > < a : V a l u e   i : t y p e = " M e a s u r e G r i d V i e w S t a t e I D i a g r a m T a g A d d i t i o n a l I n f o " / > < / a : K e y V a l u e O f D i a g r a m O b j e c t K e y a n y T y p e z b w N T n L X > < a : K e y V a l u e O f D i a g r a m O b j e c t K e y a n y T y p e z b w N T n L X > < a : K e y > < K e y > M e a s u r e s \ S o m m e   d e   D J U _ q u o t _ c h a u f f a g i s t e < / K e y > < / a : K e y > < a : V a l u e   i : t y p e = " M e a s u r e G r i d N o d e V i e w S t a t e " > < C o l u m n > 2 1 < / C o l u m n > < L a y e d O u t > t r u e < / L a y e d O u t > < W a s U I I n v i s i b l e > t r u e < / W a s U I I n v i s i b l e > < / a : V a l u e > < / a : K e y V a l u e O f D i a g r a m O b j e c t K e y a n y T y p e z b w N T n L X > < a : K e y V a l u e O f D i a g r a m O b j e c t K e y a n y T y p e z b w N T n L X > < a : K e y > < K e y > M e a s u r e s \ S o m m e   d e   D J U _ q u o t _ c h a u f f a g i s t e \ T a g I n f o \ F o r m u l e < / K e y > < / a : K e y > < a : V a l u e   i : t y p e = " M e a s u r e G r i d V i e w S t a t e I D i a g r a m T a g A d d i t i o n a l I n f o " / > < / a : K e y V a l u e O f D i a g r a m O b j e c t K e y a n y T y p e z b w N T n L X > < a : K e y V a l u e O f D i a g r a m O b j e c t K e y a n y T y p e z b w N T n L X > < a : K e y > < K e y > M e a s u r e s \ S o m m e   d e   D J U _ q u o t _ c h a u f f a g i s t e \ T a g I n f o \ V a l e u r < / K e y > < / a : K e y > < a : V a l u e   i : t y p e = " M e a s u r e G r i d V i e w S t a t e I D i a g r a m T a g A d d i t i o n a l I n f o " / > < / a : K e y V a l u e O f D i a g r a m O b j e c t K e y a n y T y p e z b w N T n L X > < a : K e y V a l u e O f D i a g r a m O b j e c t K e y a n y T y p e z b w N T n L X > < a : K e y > < K e y > C o l u m n s \ C o m p t e u r < / K e y > < / a : K e y > < a : V a l u e   i : t y p e = " M e a s u r e G r i d N o d e V i e w S t a t e " > < C o l u m n > 2 < / C o l u m n > < L a y e d O u t > t r u e < / L a y e d O u t > < / a : V a l u e > < / a : K e y V a l u e O f D i a g r a m O b j e c t K e y a n y T y p e z b w N T n L X > < a : K e y V a l u e O f D i a g r a m O b j e c t K e y a n y T y p e z b w N T n L X > < a : K e y > < K e y > C o l u m n s \ D a t e s < / K e y > < / a : K e y > < a : V a l u e   i : t y p e = " M e a s u r e G r i d N o d e V i e w S t a t e " > < C o l u m n > 3 < / C o l u m n > < L a y e d O u t > t r u e < / L a y e d O u t > < / a : V a l u e > < / a : K e y V a l u e O f D i a g r a m O b j e c t K e y a n y T y p e z b w N T n L X > < a : K e y V a l u e O f D i a g r a m O b j e c t K e y a n y T y p e z b w N T n L X > < a : K e y > < K e y > C o l u m n s \ D e m a n d e _ j o u r < / K e y > < / a : K e y > < a : V a l u e   i : t y p e = " M e a s u r e G r i d N o d e V i e w S t a t e " > < L a y e d O u t > t r u e < / L a y e d O u t > < / a : V a l u e > < / a : K e y V a l u e O f D i a g r a m O b j e c t K e y a n y T y p e z b w N T n L X > < a : K e y V a l u e O f D i a g r a m O b j e c t K e y a n y T y p e z b w N T n L X > < a : K e y > < K e y > C o l u m n s \ C o u t _ j o u r < / K e y > < / a : K e y > < a : V a l u e   i : t y p e = " M e a s u r e G r i d N o d e V i e w S t a t e " > < C o l u m n > 1 < / C o l u m n > < L a y e d O u t > t r u e < / L a y e d O u t > < / a : V a l u e > < / a : K e y V a l u e O f D i a g r a m O b j e c t K e y a n y T y p e z b w N T n L X > < a : K e y V a l u e O f D i a g r a m O b j e c t K e y a n y T y p e z b w N T n L X > < a : K e y > < K e y > C o l u m n s \ D J U _ c h a u f f a g i s t e < / K e y > < / a : K e y > < a : V a l u e   i : t y p e = " M e a s u r e G r i d N o d e V i e w S t a t e " > < C o l u m n > 1 9 < / C o l u m n > < L a y e d O u t > t r u e < / L a y e d O u t > < / a : V a l u e > < / a : K e y V a l u e O f D i a g r a m O b j e c t K e y a n y T y p e z b w N T n L X > < a : K e y V a l u e O f D i a g r a m O b j e c t K e y a n y T y p e z b w N T n L X > < a : K e y > < K e y > C o l u m n s \ D J U _ c l i m a t i c i e n < / K e y > < / a : K e y > < a : V a l u e   i : t y p e = " M e a s u r e G r i d N o d e V i e w S t a t e " > < C o l u m n > 2 0 < / C o l u m n > < L a y e d O u t > t r u e < / L a y e d O u t > < / a : V a l u e > < / a : K e y V a l u e O f D i a g r a m O b j e c t K e y a n y T y p e z b w N T n L X > < a : K e y V a l u e O f D i a g r a m O b j e c t K e y a n y T y p e z b w N T n L X > < a : K e y > < K e y > C o l u m n s \ T y p e < / K e y > < / a : K e y > < a : V a l u e   i : t y p e = " M e a s u r e G r i d N o d e V i e w S t a t e " > < C o l u m n > 4 < / C o l u m n > < L a y e d O u t > t r u e < / L a y e d O u t > < / a : V a l u e > < / a : K e y V a l u e O f D i a g r a m O b j e c t K e y a n y T y p e z b w N T n L X > < a : K e y V a l u e O f D i a g r a m O b j e c t K e y a n y T y p e z b w N T n L X > < a : K e y > < K e y > C o l u m n s \ S o u r c e < / K e y > < / a : K e y > < a : V a l u e   i : t y p e = " M e a s u r e G r i d N o d e V i e w S t a t e " > < C o l u m n > 5 < / C o l u m n > < L a y e d O u t > t r u e < / L a y e d O u t > < / a : V a l u e > < / a : K e y V a l u e O f D i a g r a m O b j e c t K e y a n y T y p e z b w N T n L X > < a : K e y V a l u e O f D i a g r a m O b j e c t K e y a n y T y p e z b w N T n L X > < a : K e y > < K e y > C o l u m n s \ C o m b u s t i b l e < / K e y > < / a : K e y > < a : V a l u e   i : t y p e = " M e a s u r e G r i d N o d e V i e w S t a t e " > < C o l u m n > 6 < / C o l u m n > < L a y e d O u t > t r u e < / L a y e d O u t > < / a : V a l u e > < / a : K e y V a l u e O f D i a g r a m O b j e c t K e y a n y T y p e z b w N T n L X > < a : K e y V a l u e O f D i a g r a m O b j e c t K e y a n y T y p e z b w N T n L X > < a : K e y > < K e y > C o l u m n s \ C o n s o _ k W h _ P C I < / K e y > < / a : K e y > < a : V a l u e   i : t y p e = " M e a s u r e G r i d N o d e V i e w S t a t e " > < C o l u m n > 7 < / C o l u m n > < L a y e d O u t > t r u e < / L a y e d O u t > < / a : V a l u e > < / a : K e y V a l u e O f D i a g r a m O b j e c t K e y a n y T y p e z b w N T n L X > < a : K e y V a l u e O f D i a g r a m O b j e c t K e y a n y T y p e z b w N T n L X > < a : K e y > < K e y > C o l u m n s \ C o n s o _ k W h _ D E E T < / K e y > < / a : K e y > < a : V a l u e   i : t y p e = " M e a s u r e G r i d N o d e V i e w S t a t e " > < C o l u m n > 8 < / C o l u m n > < L a y e d O u t > t r u e < / L a y e d O u t > < / a : V a l u e > < / a : K e y V a l u e O f D i a g r a m O b j e c t K e y a n y T y p e z b w N T n L X > < a : K e y V a l u e O f D i a g r a m O b j e c t K e y a n y T y p e z b w N T n L X > < a : K e y > < K e y > C o l u m n s \ N o m < / K e y > < / a : K e y > < a : V a l u e   i : t y p e = " M e a s u r e G r i d N o d e V i e w S t a t e " > < C o l u m n > 9 < / C o l u m n > < L a y e d O u t > t r u e < / L a y e d O u t > < / a : V a l u e > < / a : K e y V a l u e O f D i a g r a m O b j e c t K e y a n y T y p e z b w N T n L X > < a : K e y V a l u e O f D i a g r a m O b j e c t K e y a n y T y p e z b w N T n L X > < a : K e y > < K e y > C o l u m n s \ D e t a i l   u s a g e < / K e y > < / a : K e y > < a : V a l u e   i : t y p e = " M e a s u r e G r i d N o d e V i e w S t a t e " > < C o l u m n > 1 0 < / C o l u m n > < L a y e d O u t > t r u e < / L a y e d O u t > < / a : V a l u e > < / a : K e y V a l u e O f D i a g r a m O b j e c t K e y a n y T y p e z b w N T n L X > < a : K e y V a l u e O f D i a g r a m O b j e c t K e y a n y T y p e z b w N T n L X > < a : K e y > < K e y > C o l u m n s \ C o n s o _ k W h E P < / K e y > < / a : K e y > < a : V a l u e   i : t y p e = " M e a s u r e G r i d N o d e V i e w S t a t e " > < C o l u m n > 1 1 < / C o l u m n > < L a y e d O u t > t r u e < / L a y e d O u t > < / a : V a l u e > < / a : K e y V a l u e O f D i a g r a m O b j e c t K e y a n y T y p e z b w N T n L X > < a : K e y V a l u e O f D i a g r a m O b j e c t K e y a n y T y p e z b w N T n L X > < a : K e y > < K e y > C o l u m n s \ A n n e e < / K e y > < / a : K e y > < a : V a l u e   i : t y p e = " M e a s u r e G r i d N o d e V i e w S t a t e " > < C o l u m n > 1 2 < / C o l u m n > < L a y e d O u t > t r u e < / L a y e d O u t > < / a : V a l u e > < / a : K e y V a l u e O f D i a g r a m O b j e c t K e y a n y T y p e z b w N T n L X > < a : K e y V a l u e O f D i a g r a m O b j e c t K e y a n y T y p e z b w N T n L X > < a : K e y > < K e y > C o l u m n s \ M o i s < / K e y > < / a : K e y > < a : V a l u e   i : t y p e = " M e a s u r e G r i d N o d e V i e w S t a t e " > < C o l u m n > 1 3 < / C o l u m n > < L a y e d O u t > t r u e < / L a y e d O u t > < / a : V a l u e > < / a : K e y V a l u e O f D i a g r a m O b j e c t K e y a n y T y p e z b w N T n L X > < a : K e y V a l u e O f D i a g r a m O b j e c t K e y a n y T y p e z b w N T n L X > < a : K e y > < K e y > C o l u m n s \ C o u t _ u n i t a i r e < / K e y > < / a : K e y > < a : V a l u e   i : t y p e = " M e a s u r e G r i d N o d e V i e w S t a t e " > < C o l u m n > 1 4 < / C o l u m n > < L a y e d O u t > t r u e < / L a y e d O u t > < / a : V a l u e > < / a : K e y V a l u e O f D i a g r a m O b j e c t K e y a n y T y p e z b w N T n L X > < a : K e y V a l u e O f D i a g r a m O b j e c t K e y a n y T y p e z b w N T n L X > < a : K e y > < K e y > C o l u m n s \ D a t e s   ( a n n � e ) < / K e y > < / a : K e y > < a : V a l u e   i : t y p e = " M e a s u r e G r i d N o d e V i e w S t a t e " > < C o l u m n > 1 5 < / C o l u m n > < L a y e d O u t > t r u e < / L a y e d O u t > < / a : V a l u e > < / a : K e y V a l u e O f D i a g r a m O b j e c t K e y a n y T y p e z b w N T n L X > < a : K e y V a l u e O f D i a g r a m O b j e c t K e y a n y T y p e z b w N T n L X > < a : K e y > < K e y > C o l u m n s \ D a t e s   ( t r i m e s t r e ) < / K e y > < / a : K e y > < a : V a l u e   i : t y p e = " M e a s u r e G r i d N o d e V i e w S t a t e " > < C o l u m n > 1 6 < / C o l u m n > < L a y e d O u t > t r u e < / L a y e d O u t > < / a : V a l u e > < / a : K e y V a l u e O f D i a g r a m O b j e c t K e y a n y T y p e z b w N T n L X > < a : K e y V a l u e O f D i a g r a m O b j e c t K e y a n y T y p e z b w N T n L X > < a : K e y > < K e y > C o l u m n s \ D a t e s   ( i n d e x   d e s   m o i s ) < / K e y > < / a : K e y > < a : V a l u e   i : t y p e = " M e a s u r e G r i d N o d e V i e w S t a t e " > < C o l u m n > 1 7 < / C o l u m n > < L a y e d O u t > t r u e < / L a y e d O u t > < / a : V a l u e > < / a : K e y V a l u e O f D i a g r a m O b j e c t K e y a n y T y p e z b w N T n L X > < a : K e y V a l u e O f D i a g r a m O b j e c t K e y a n y T y p e z b w N T n L X > < a : K e y > < K e y > C o l u m n s \ D a t e s   ( m o i s ) < / K e y > < / a : K e y > < a : V a l u e   i : t y p e = " M e a s u r e G r i d N o d e V i e w S t a t e " > < C o l u m n > 1 8 < / C o l u m n > < L a y e d O u t > t r u e < / L a y e d O u t > < / a : V a l u e > < / a : K e y V a l u e O f D i a g r a m O b j e c t K e y a n y T y p e z b w N T n L X > < a : K e y V a l u e O f D i a g r a m O b j e c t K e y a n y T y p e z b w N T n L X > < a : K e y > < K e y > C o l u m n s \ D J U _ q u o t _ c h a u f f a g i s t e < / K e y > < / a : K e y > < a : V a l u e   i : t y p e = " M e a s u r e G r i d N o d e V i e w S t a t e " > < C o l u m n > 2 1 < / C o l u m n > < L a y e d O u t > t r u e < / L a y e d O u t > < / a : V a l u e > < / a : K e y V a l u e O f D i a g r a m O b j e c t K e y a n y T y p e z b w N T n L X > < a : K e y V a l u e O f D i a g r a m O b j e c t K e y a n y T y p e z b w N T n L X > < a : K e y > < K e y > C o l u m n s \ D J U _ q u o t _ c l i m a t i c i e n < / K e y > < / a : K e y > < a : V a l u e   i : t y p e = " M e a s u r e G r i d N o d e V i e w S t a t e " > < C o l u m n > 2 2 < / C o l u m n > < L a y e d O u t > t r u e < / L a y e d O u t > < / a : V a l u e > < / a : K e y V a l u e O f D i a g r a m O b j e c t K e y a n y T y p e z b w N T n L X > < a : K e y V a l u e O f D i a g r a m O b j e c t K e y a n y T y p e z b w N T n L X > < a : K e y > < K e y > L i n k s \ & l t ; C o l u m n s \ S o m m e   d e   C o n s o _ k W h _ P C I & g t ; - & l t ; M e a s u r e s \ C o n s o _ k W h _ P C I & g t ; < / K e y > < / a : K e y > < a : V a l u e   i : t y p e = " M e a s u r e G r i d V i e w S t a t e I D i a g r a m L i n k " / > < / a : K e y V a l u e O f D i a g r a m O b j e c t K e y a n y T y p e z b w N T n L X > < a : K e y V a l u e O f D i a g r a m O b j e c t K e y a n y T y p e z b w N T n L X > < a : K e y > < K e y > L i n k s \ & l t ; C o l u m n s \ S o m m e   d e   C o n s o _ k W h _ P C I & g t ; - & l t ; M e a s u r e s \ C o n s o _ k W h _ P C I & g t ; \ C O L U M N < / K e y > < / a : K e y > < a : V a l u e   i : t y p e = " M e a s u r e G r i d V i e w S t a t e I D i a g r a m L i n k E n d p o i n t " / > < / a : K e y V a l u e O f D i a g r a m O b j e c t K e y a n y T y p e z b w N T n L X > < a : K e y V a l u e O f D i a g r a m O b j e c t K e y a n y T y p e z b w N T n L X > < a : K e y > < K e y > L i n k s \ & l t ; C o l u m n s \ S o m m e   d e   C o n s o _ k W h _ P C I & g t ; - & l t ; M e a s u r e s \ C o n s o _ k W h _ P C I & g t ; \ M E A S U R E < / K e y > < / a : K e y > < a : V a l u e   i : t y p e = " M e a s u r e G r i d V i e w S t a t e I D i a g r a m L i n k E n d p o i n t " / > < / a : K e y V a l u e O f D i a g r a m O b j e c t K e y a n y T y p e z b w N T n L X > < a : K e y V a l u e O f D i a g r a m O b j e c t K e y a n y T y p e z b w N T n L X > < a : K e y > < K e y > L i n k s \ & l t ; C o l u m n s \ S o m m e   d e   C o n s o _ k W h _ D E E T & g t ; - & l t ; M e a s u r e s \ C o n s o _ k W h _ D E E T & g t ; < / K e y > < / a : K e y > < a : V a l u e   i : t y p e = " M e a s u r e G r i d V i e w S t a t e I D i a g r a m L i n k " / > < / a : K e y V a l u e O f D i a g r a m O b j e c t K e y a n y T y p e z b w N T n L X > < a : K e y V a l u e O f D i a g r a m O b j e c t K e y a n y T y p e z b w N T n L X > < a : K e y > < K e y > L i n k s \ & l t ; C o l u m n s \ S o m m e   d e   C o n s o _ k W h _ D E E T & g t ; - & l t ; M e a s u r e s \ C o n s o _ k W h _ D E E T & g t ; \ C O L U M N < / K e y > < / a : K e y > < a : V a l u e   i : t y p e = " M e a s u r e G r i d V i e w S t a t e I D i a g r a m L i n k E n d p o i n t " / > < / a : K e y V a l u e O f D i a g r a m O b j e c t K e y a n y T y p e z b w N T n L X > < a : K e y V a l u e O f D i a g r a m O b j e c t K e y a n y T y p e z b w N T n L X > < a : K e y > < K e y > L i n k s \ & l t ; C o l u m n s \ S o m m e   d e   C o n s o _ k W h _ D E E T & g t ; - & l t ; M e a s u r e s \ C o n s o _ k W h _ D E E T & g t ; \ M E A S U R E < / K e y > < / a : K e y > < a : V a l u e   i : t y p e = " M e a s u r e G r i d V i e w S t a t e I D i a g r a m L i n k E n d p o i n t " / > < / a : K e y V a l u e O f D i a g r a m O b j e c t K e y a n y T y p e z b w N T n L X > < a : K e y V a l u e O f D i a g r a m O b j e c t K e y a n y T y p e z b w N T n L X > < a : K e y > < K e y > L i n k s \ & l t ; C o l u m n s \ S o m m e   d e   C o u t _ j o u r & g t ; - & l t ; M e a s u r e s \ C o u t _ j o u r & g t ; < / K e y > < / a : K e y > < a : V a l u e   i : t y p e = " M e a s u r e G r i d V i e w S t a t e I D i a g r a m L i n k " / > < / a : K e y V a l u e O f D i a g r a m O b j e c t K e y a n y T y p e z b w N T n L X > < a : K e y V a l u e O f D i a g r a m O b j e c t K e y a n y T y p e z b w N T n L X > < a : K e y > < K e y > L i n k s \ & l t ; C o l u m n s \ S o m m e   d e   C o u t _ j o u r & g t ; - & l t ; M e a s u r e s \ C o u t _ j o u r & g t ; \ C O L U M N < / K e y > < / a : K e y > < a : V a l u e   i : t y p e = " M e a s u r e G r i d V i e w S t a t e I D i a g r a m L i n k E n d p o i n t " / > < / a : K e y V a l u e O f D i a g r a m O b j e c t K e y a n y T y p e z b w N T n L X > < a : K e y V a l u e O f D i a g r a m O b j e c t K e y a n y T y p e z b w N T n L X > < a : K e y > < K e y > L i n k s \ & l t ; C o l u m n s \ S o m m e   d e   C o u t _ j o u r & g t ; - & l t ; M e a s u r e s \ C o u t _ j o u r & g t ; \ M E A S U R E < / K e y > < / a : K e y > < a : V a l u e   i : t y p e = " M e a s u r e G r i d V i e w S t a t e I D i a g r a m L i n k E n d p o i n t " / > < / a : K e y V a l u e O f D i a g r a m O b j e c t K e y a n y T y p e z b w N T n L X > < a : K e y V a l u e O f D i a g r a m O b j e c t K e y a n y T y p e z b w N T n L X > < a : K e y > < K e y > L i n k s \ & l t ; C o l u m n s \ S o m m e   d e   C o n s o _ k W h E P & g t ; - & l t ; M e a s u r e s \ C o n s o _ k W h E P & g t ; < / K e y > < / a : K e y > < a : V a l u e   i : t y p e = " M e a s u r e G r i d V i e w S t a t e I D i a g r a m L i n k " / > < / a : K e y V a l u e O f D i a g r a m O b j e c t K e y a n y T y p e z b w N T n L X > < a : K e y V a l u e O f D i a g r a m O b j e c t K e y a n y T y p e z b w N T n L X > < a : K e y > < K e y > L i n k s \ & l t ; C o l u m n s \ S o m m e   d e   C o n s o _ k W h E P & g t ; - & l t ; M e a s u r e s \ C o n s o _ k W h E P & g t ; \ C O L U M N < / K e y > < / a : K e y > < a : V a l u e   i : t y p e = " M e a s u r e G r i d V i e w S t a t e I D i a g r a m L i n k E n d p o i n t " / > < / a : K e y V a l u e O f D i a g r a m O b j e c t K e y a n y T y p e z b w N T n L X > < a : K e y V a l u e O f D i a g r a m O b j e c t K e y a n y T y p e z b w N T n L X > < a : K e y > < K e y > L i n k s \ & l t ; C o l u m n s \ S o m m e   d e   C o n s o _ k W h E P & g t ; - & l t ; M e a s u r e s \ C o n s o _ k W h E P & g t ; \ M E A S U R E < / K e y > < / a : K e y > < a : V a l u e   i : t y p e = " M e a s u r e G r i d V i e w S t a t e I D i a g r a m L i n k E n d p o i n t " / > < / a : K e y V a l u e O f D i a g r a m O b j e c t K e y a n y T y p e z b w N T n L X > < a : K e y V a l u e O f D i a g r a m O b j e c t K e y a n y T y p e z b w N T n L X > < a : K e y > < K e y > L i n k s \ & l t ; C o l u m n s \ S o m m e   d e   D e m a n d e _ j o u r & g t ; - & l t ; M e a s u r e s \ D e m a n d e _ j o u r & g t ; < / K e y > < / a : K e y > < a : V a l u e   i : t y p e = " M e a s u r e G r i d V i e w S t a t e I D i a g r a m L i n k " / > < / a : K e y V a l u e O f D i a g r a m O b j e c t K e y a n y T y p e z b w N T n L X > < a : K e y V a l u e O f D i a g r a m O b j e c t K e y a n y T y p e z b w N T n L X > < a : K e y > < K e y > L i n k s \ & l t ; C o l u m n s \ S o m m e   d e   D e m a n d e _ j o u r & g t ; - & l t ; M e a s u r e s \ D e m a n d e _ j o u r & g t ; \ C O L U M N < / K e y > < / a : K e y > < a : V a l u e   i : t y p e = " M e a s u r e G r i d V i e w S t a t e I D i a g r a m L i n k E n d p o i n t " / > < / a : K e y V a l u e O f D i a g r a m O b j e c t K e y a n y T y p e z b w N T n L X > < a : K e y V a l u e O f D i a g r a m O b j e c t K e y a n y T y p e z b w N T n L X > < a : K e y > < K e y > L i n k s \ & l t ; C o l u m n s \ S o m m e   d e   D e m a n d e _ j o u r & g t ; - & l t ; M e a s u r e s \ D e m a n d e _ j o u r & g t ; \ M E A S U R E < / K e y > < / a : K e y > < a : V a l u e   i : t y p e = " M e a s u r e G r i d V i e w S t a t e I D i a g r a m L i n k E n d p o i n t " / > < / a : K e y V a l u e O f D i a g r a m O b j e c t K e y a n y T y p e z b w N T n L X > < a : K e y V a l u e O f D i a g r a m O b j e c t K e y a n y T y p e z b w N T n L X > < a : K e y > < K e y > L i n k s \ & l t ; C o l u m n s \ M o y e n n e   d e   C o n s o _ k W h _ P C I & g t ; - & l t ; M e a s u r e s \ C o n s o _ k W h _ P C I & g t ; < / K e y > < / a : K e y > < a : V a l u e   i : t y p e = " M e a s u r e G r i d V i e w S t a t e I D i a g r a m L i n k " / > < / a : K e y V a l u e O f D i a g r a m O b j e c t K e y a n y T y p e z b w N T n L X > < a : K e y V a l u e O f D i a g r a m O b j e c t K e y a n y T y p e z b w N T n L X > < a : K e y > < K e y > L i n k s \ & l t ; C o l u m n s \ M o y e n n e   d e   C o n s o _ k W h _ P C I & g t ; - & l t ; M e a s u r e s \ C o n s o _ k W h _ P C I & g t ; \ C O L U M N < / K e y > < / a : K e y > < a : V a l u e   i : t y p e = " M e a s u r e G r i d V i e w S t a t e I D i a g r a m L i n k E n d p o i n t " / > < / a : K e y V a l u e O f D i a g r a m O b j e c t K e y a n y T y p e z b w N T n L X > < a : K e y V a l u e O f D i a g r a m O b j e c t K e y a n y T y p e z b w N T n L X > < a : K e y > < K e y > L i n k s \ & l t ; C o l u m n s \ M o y e n n e   d e   C o n s o _ k W h _ P C I & g t ; - & l t ; M e a s u r e s \ C o n s o _ k W h _ P C I & g t ; \ M E A S U R E < / K e y > < / a : K e y > < a : V a l u e   i : t y p e = " M e a s u r e G r i d V i e w S t a t e I D i a g r a m L i n k E n d p o i n t " / > < / a : K e y V a l u e O f D i a g r a m O b j e c t K e y a n y T y p e z b w N T n L X > < a : K e y V a l u e O f D i a g r a m O b j e c t K e y a n y T y p e z b w N T n L X > < a : K e y > < K e y > L i n k s \ & l t ; C o l u m n s \ M o y e n n e   d e   C o n s o _ k W h _ D E E T & g t ; - & l t ; M e a s u r e s \ C o n s o _ k W h _ D E E T & g t ; < / K e y > < / a : K e y > < a : V a l u e   i : t y p e = " M e a s u r e G r i d V i e w S t a t e I D i a g r a m L i n k " / > < / a : K e y V a l u e O f D i a g r a m O b j e c t K e y a n y T y p e z b w N T n L X > < a : K e y V a l u e O f D i a g r a m O b j e c t K e y a n y T y p e z b w N T n L X > < a : K e y > < K e y > L i n k s \ & l t ; C o l u m n s \ M o y e n n e   d e   C o n s o _ k W h _ D E E T & g t ; - & l t ; M e a s u r e s \ C o n s o _ k W h _ D E E T & g t ; \ C O L U M N < / K e y > < / a : K e y > < a : V a l u e   i : t y p e = " M e a s u r e G r i d V i e w S t a t e I D i a g r a m L i n k E n d p o i n t " / > < / a : K e y V a l u e O f D i a g r a m O b j e c t K e y a n y T y p e z b w N T n L X > < a : K e y V a l u e O f D i a g r a m O b j e c t K e y a n y T y p e z b w N T n L X > < a : K e y > < K e y > L i n k s \ & l t ; C o l u m n s \ M o y e n n e   d e   C o n s o _ k W h _ D E E T & g t ; - & l t ; M e a s u r e s \ C o n s o _ k W h _ D E E T & g t ; \ M E A S U R E < / K e y > < / a : K e y > < a : V a l u e   i : t y p e = " M e a s u r e G r i d V i e w S t a t e I D i a g r a m L i n k E n d p o i n t " / > < / a : K e y V a l u e O f D i a g r a m O b j e c t K e y a n y T y p e z b w N T n L X > < a : K e y V a l u e O f D i a g r a m O b j e c t K e y a n y T y p e z b w N T n L X > < a : K e y > < K e y > L i n k s \ & l t ; C o l u m n s \ S o m m e   d e   C o u t _ u n i t a i r e & g t ; - & l t ; M e a s u r e s \ C o u t _ u n i t a i r e & g t ; < / K e y > < / a : K e y > < a : V a l u e   i : t y p e = " M e a s u r e G r i d V i e w S t a t e I D i a g r a m L i n k " / > < / a : K e y V a l u e O f D i a g r a m O b j e c t K e y a n y T y p e z b w N T n L X > < a : K e y V a l u e O f D i a g r a m O b j e c t K e y a n y T y p e z b w N T n L X > < a : K e y > < K e y > L i n k s \ & l t ; C o l u m n s \ S o m m e   d e   C o u t _ u n i t a i r e & g t ; - & l t ; M e a s u r e s \ C o u t _ u n i t a i r e & g t ; \ C O L U M N < / K e y > < / a : K e y > < a : V a l u e   i : t y p e = " M e a s u r e G r i d V i e w S t a t e I D i a g r a m L i n k E n d p o i n t " / > < / a : K e y V a l u e O f D i a g r a m O b j e c t K e y a n y T y p e z b w N T n L X > < a : K e y V a l u e O f D i a g r a m O b j e c t K e y a n y T y p e z b w N T n L X > < a : K e y > < K e y > L i n k s \ & l t ; C o l u m n s \ S o m m e   d e   C o u t _ u n i t a i r e & g t ; - & l t ; M e a s u r e s \ C o u t _ u n i t a i r e & g t ; \ M E A S U R E < / K e y > < / a : K e y > < a : V a l u e   i : t y p e = " M e a s u r e G r i d V i e w S t a t e I D i a g r a m L i n k E n d p o i n t " / > < / a : K e y V a l u e O f D i a g r a m O b j e c t K e y a n y T y p e z b w N T n L X > < a : K e y V a l u e O f D i a g r a m O b j e c t K e y a n y T y p e z b w N T n L X > < a : K e y > < K e y > L i n k s \ & l t ; C o l u m n s \ S o m m e   d e   D J U _ q u o t _ c h a u f f a g i s t e & g t ; - & l t ; M e a s u r e s \ D J U _ q u o t _ c h a u f f a g i s t e & g t ; < / K e y > < / a : K e y > < a : V a l u e   i : t y p e = " M e a s u r e G r i d V i e w S t a t e I D i a g r a m L i n k " / > < / a : K e y V a l u e O f D i a g r a m O b j e c t K e y a n y T y p e z b w N T n L X > < a : K e y V a l u e O f D i a g r a m O b j e c t K e y a n y T y p e z b w N T n L X > < a : K e y > < K e y > L i n k s \ & l t ; C o l u m n s \ S o m m e   d e   D J U _ q u o t _ c h a u f f a g i s t e & g t ; - & l t ; M e a s u r e s \ D J U _ q u o t _ c h a u f f a g i s t e & g t ; \ C O L U M N < / K e y > < / a : K e y > < a : V a l u e   i : t y p e = " M e a s u r e G r i d V i e w S t a t e I D i a g r a m L i n k E n d p o i n t " / > < / a : K e y V a l u e O f D i a g r a m O b j e c t K e y a n y T y p e z b w N T n L X > < a : K e y V a l u e O f D i a g r a m O b j e c t K e y a n y T y p e z b w N T n L X > < a : K e y > < K e y > L i n k s \ & l t ; C o l u m n s \ S o m m e   d e   D J U _ q u o t _ c h a u f f a g i s t e & g t ; - & l t ; M e a s u r e s \ D J U _ q u o t _ c h a u f f a g i s t e & g t ; \ M E A S U R E 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FF31D990-98E9-4B96-A826-D7C4CDB114F1}">
  <ds:schemaRefs>
    <ds:schemaRef ds:uri="http://schemas.microsoft.com/DataMashup"/>
  </ds:schemaRefs>
</ds:datastoreItem>
</file>

<file path=customXml/itemProps10.xml><?xml version="1.0" encoding="utf-8"?>
<ds:datastoreItem xmlns:ds="http://schemas.openxmlformats.org/officeDocument/2006/customXml" ds:itemID="{8D6BB3F6-37DE-4FA7-8EDC-62DDC5B41EE4}">
  <ds:schemaRefs/>
</ds:datastoreItem>
</file>

<file path=customXml/itemProps11.xml><?xml version="1.0" encoding="utf-8"?>
<ds:datastoreItem xmlns:ds="http://schemas.openxmlformats.org/officeDocument/2006/customXml" ds:itemID="{0FDE8753-5C8C-492C-8ECE-A7FE0008CBC9}">
  <ds:schemaRefs/>
</ds:datastoreItem>
</file>

<file path=customXml/itemProps12.xml><?xml version="1.0" encoding="utf-8"?>
<ds:datastoreItem xmlns:ds="http://schemas.openxmlformats.org/officeDocument/2006/customXml" ds:itemID="{835C89D1-5DCF-440F-AB4E-25F04128108B}">
  <ds:schemaRefs/>
</ds:datastoreItem>
</file>

<file path=customXml/itemProps13.xml><?xml version="1.0" encoding="utf-8"?>
<ds:datastoreItem xmlns:ds="http://schemas.openxmlformats.org/officeDocument/2006/customXml" ds:itemID="{58C5C140-C62B-44CD-94E8-2937AD5E5C6C}">
  <ds:schemaRefs/>
</ds:datastoreItem>
</file>

<file path=customXml/itemProps14.xml><?xml version="1.0" encoding="utf-8"?>
<ds:datastoreItem xmlns:ds="http://schemas.openxmlformats.org/officeDocument/2006/customXml" ds:itemID="{E35732E4-22C2-4BC5-8969-A1967821DDF3}">
  <ds:schemaRefs/>
</ds:datastoreItem>
</file>

<file path=customXml/itemProps15.xml><?xml version="1.0" encoding="utf-8"?>
<ds:datastoreItem xmlns:ds="http://schemas.openxmlformats.org/officeDocument/2006/customXml" ds:itemID="{53CFB6A9-AA84-4455-9366-CF43F55BA76F}">
  <ds:schemaRefs/>
</ds:datastoreItem>
</file>

<file path=customXml/itemProps16.xml><?xml version="1.0" encoding="utf-8"?>
<ds:datastoreItem xmlns:ds="http://schemas.openxmlformats.org/officeDocument/2006/customXml" ds:itemID="{96CCAA3B-10F4-42E1-A538-E06CD77D91D2}">
  <ds:schemaRefs>
    <ds:schemaRef ds:uri="50efc2f2-ed42-4ad2-8b88-4bd24066a633"/>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purl.org/dc/terms/"/>
    <ds:schemaRef ds:uri="http://schemas.microsoft.com/office/2006/documentManagement/types"/>
    <ds:schemaRef ds:uri="e11cf51e-129a-4273-89ec-3acd2dfe0f03"/>
    <ds:schemaRef ds:uri="http://www.w3.org/XML/1998/namespace"/>
    <ds:schemaRef ds:uri="http://purl.org/dc/dcmitype/"/>
  </ds:schemaRefs>
</ds:datastoreItem>
</file>

<file path=customXml/itemProps17.xml><?xml version="1.0" encoding="utf-8"?>
<ds:datastoreItem xmlns:ds="http://schemas.openxmlformats.org/officeDocument/2006/customXml" ds:itemID="{A51981B4-DD74-4A26-A8FB-4AE5087C8250}">
  <ds:schemaRefs/>
</ds:datastoreItem>
</file>

<file path=customXml/itemProps18.xml><?xml version="1.0" encoding="utf-8"?>
<ds:datastoreItem xmlns:ds="http://schemas.openxmlformats.org/officeDocument/2006/customXml" ds:itemID="{464849C8-ABC8-48FB-8CB5-5FDE3EFD7A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efc2f2-ed42-4ad2-8b88-4bd24066a633"/>
    <ds:schemaRef ds:uri="e11cf51e-129a-4273-89ec-3acd2dfe0f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9.xml><?xml version="1.0" encoding="utf-8"?>
<ds:datastoreItem xmlns:ds="http://schemas.openxmlformats.org/officeDocument/2006/customXml" ds:itemID="{13925E5C-D7E6-4EE1-981E-D9A2128C7EEB}">
  <ds:schemaRefs/>
</ds:datastoreItem>
</file>

<file path=customXml/itemProps2.xml><?xml version="1.0" encoding="utf-8"?>
<ds:datastoreItem xmlns:ds="http://schemas.openxmlformats.org/officeDocument/2006/customXml" ds:itemID="{F65D0B88-1047-4BA6-9908-721397F348E2}">
  <ds:schemaRefs/>
</ds:datastoreItem>
</file>

<file path=customXml/itemProps20.xml><?xml version="1.0" encoding="utf-8"?>
<ds:datastoreItem xmlns:ds="http://schemas.openxmlformats.org/officeDocument/2006/customXml" ds:itemID="{4FD35AB9-E110-4BF4-B962-C34CF59A15A7}">
  <ds:schemaRefs/>
</ds:datastoreItem>
</file>

<file path=customXml/itemProps21.xml><?xml version="1.0" encoding="utf-8"?>
<ds:datastoreItem xmlns:ds="http://schemas.openxmlformats.org/officeDocument/2006/customXml" ds:itemID="{27845068-D14B-42ED-86B1-757D43D06752}">
  <ds:schemaRefs/>
</ds:datastoreItem>
</file>

<file path=customXml/itemProps22.xml><?xml version="1.0" encoding="utf-8"?>
<ds:datastoreItem xmlns:ds="http://schemas.openxmlformats.org/officeDocument/2006/customXml" ds:itemID="{5BE09F9F-D197-49C4-BC45-D92BA151F6C0}">
  <ds:schemaRefs/>
</ds:datastoreItem>
</file>

<file path=customXml/itemProps23.xml><?xml version="1.0" encoding="utf-8"?>
<ds:datastoreItem xmlns:ds="http://schemas.openxmlformats.org/officeDocument/2006/customXml" ds:itemID="{2C445B7A-4EDA-4B7F-9990-7134D61BCB3F}">
  <ds:schemaRefs>
    <ds:schemaRef ds:uri="http://schemas.microsoft.com/sharepoint/v3/contenttype/forms"/>
  </ds:schemaRefs>
</ds:datastoreItem>
</file>

<file path=customXml/itemProps24.xml><?xml version="1.0" encoding="utf-8"?>
<ds:datastoreItem xmlns:ds="http://schemas.openxmlformats.org/officeDocument/2006/customXml" ds:itemID="{638E5A72-E1D7-47B6-8BCA-9F92D1E20F3E}">
  <ds:schemaRefs/>
</ds:datastoreItem>
</file>

<file path=customXml/itemProps3.xml><?xml version="1.0" encoding="utf-8"?>
<ds:datastoreItem xmlns:ds="http://schemas.openxmlformats.org/officeDocument/2006/customXml" ds:itemID="{080753CA-70AD-419B-A15F-ACE44678F922}">
  <ds:schemaRefs/>
</ds:datastoreItem>
</file>

<file path=customXml/itemProps4.xml><?xml version="1.0" encoding="utf-8"?>
<ds:datastoreItem xmlns:ds="http://schemas.openxmlformats.org/officeDocument/2006/customXml" ds:itemID="{51010FB7-1C00-42D2-BD6C-B79175E0EE8C}">
  <ds:schemaRefs/>
</ds:datastoreItem>
</file>

<file path=customXml/itemProps5.xml><?xml version="1.0" encoding="utf-8"?>
<ds:datastoreItem xmlns:ds="http://schemas.openxmlformats.org/officeDocument/2006/customXml" ds:itemID="{2E8C531F-A27F-460B-BCE0-3124EB4D4AAA}">
  <ds:schemaRefs/>
</ds:datastoreItem>
</file>

<file path=customXml/itemProps6.xml><?xml version="1.0" encoding="utf-8"?>
<ds:datastoreItem xmlns:ds="http://schemas.openxmlformats.org/officeDocument/2006/customXml" ds:itemID="{D5A5D7DD-55CD-47E4-AAD5-1420F723317C}">
  <ds:schemaRefs/>
</ds:datastoreItem>
</file>

<file path=customXml/itemProps7.xml><?xml version="1.0" encoding="utf-8"?>
<ds:datastoreItem xmlns:ds="http://schemas.openxmlformats.org/officeDocument/2006/customXml" ds:itemID="{86D2AFDA-EA96-4279-B445-965A4CC86B0F}">
  <ds:schemaRefs/>
</ds:datastoreItem>
</file>

<file path=customXml/itemProps8.xml><?xml version="1.0" encoding="utf-8"?>
<ds:datastoreItem xmlns:ds="http://schemas.openxmlformats.org/officeDocument/2006/customXml" ds:itemID="{37165A38-98D8-46E3-9600-6BFF2AA3308C}">
  <ds:schemaRefs/>
</ds:datastoreItem>
</file>

<file path=customXml/itemProps9.xml><?xml version="1.0" encoding="utf-8"?>
<ds:datastoreItem xmlns:ds="http://schemas.openxmlformats.org/officeDocument/2006/customXml" ds:itemID="{EA607C8E-0748-4FB9-810C-8A201788202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35</vt:i4>
      </vt:variant>
      <vt:variant>
        <vt:lpstr>Plages nommées</vt:lpstr>
      </vt:variant>
      <vt:variant>
        <vt:i4>35</vt:i4>
      </vt:variant>
    </vt:vector>
  </HeadingPairs>
  <TitlesOfParts>
    <vt:vector size="70" baseType="lpstr">
      <vt:lpstr>Calculs_CABS</vt:lpstr>
      <vt:lpstr>CABS_CVC</vt:lpstr>
      <vt:lpstr>Liste_CABS</vt:lpstr>
      <vt:lpstr>Surface DEET</vt:lpstr>
      <vt:lpstr>DJU</vt:lpstr>
      <vt:lpstr>Site</vt:lpstr>
      <vt:lpstr>Synthèse</vt:lpstr>
      <vt:lpstr>Calcul_Bilan_Energie</vt:lpstr>
      <vt:lpstr>Choix DEET</vt:lpstr>
      <vt:lpstr>Suivi DEET</vt:lpstr>
      <vt:lpstr>CALCUL DEET</vt:lpstr>
      <vt:lpstr>Estimation_ECS</vt:lpstr>
      <vt:lpstr>Déclaration OPERAT</vt:lpstr>
      <vt:lpstr>Suivi Mensuel</vt:lpstr>
      <vt:lpstr>CalculSuiviMensuel</vt:lpstr>
      <vt:lpstr>Rigueur Climat.</vt:lpstr>
      <vt:lpstr>Coût Energie</vt:lpstr>
      <vt:lpstr>Suivi Production</vt:lpstr>
      <vt:lpstr>Suivi Sous_compteur</vt:lpstr>
      <vt:lpstr>Suivi Compteur</vt:lpstr>
      <vt:lpstr>Controle_des_données</vt:lpstr>
      <vt:lpstr>Liste</vt:lpstr>
      <vt:lpstr>TCD_Conso</vt:lpstr>
      <vt:lpstr>Aide CME</vt:lpstr>
      <vt:lpstr>Compteur_1</vt:lpstr>
      <vt:lpstr>Ouverture</vt:lpstr>
      <vt:lpstr>Compteur_2</vt:lpstr>
      <vt:lpstr>Compteur_3</vt:lpstr>
      <vt:lpstr>Compteur_4</vt:lpstr>
      <vt:lpstr>Compteur_5</vt:lpstr>
      <vt:lpstr>Compteur_6</vt:lpstr>
      <vt:lpstr>Compteur_7</vt:lpstr>
      <vt:lpstr>Compteur_8</vt:lpstr>
      <vt:lpstr>ConversionCuveQuantité</vt:lpstr>
      <vt:lpstr>Notes_Versions</vt:lpstr>
      <vt:lpstr>Bureau_services_Publics</vt:lpstr>
      <vt:lpstr>Centre_Hospitalier</vt:lpstr>
      <vt:lpstr>Chaleur</vt:lpstr>
      <vt:lpstr>Coeff_chauff</vt:lpstr>
      <vt:lpstr>Coeff_refroid</vt:lpstr>
      <vt:lpstr>Cogénération</vt:lpstr>
      <vt:lpstr>Collecteurs_solaires</vt:lpstr>
      <vt:lpstr>Combustibles</vt:lpstr>
      <vt:lpstr>Consommation</vt:lpstr>
      <vt:lpstr>Cpt_Consommation</vt:lpstr>
      <vt:lpstr>Cpt_Index</vt:lpstr>
      <vt:lpstr>Eau</vt:lpstr>
      <vt:lpstr>Electricité</vt:lpstr>
      <vt:lpstr>Enseignement</vt:lpstr>
      <vt:lpstr>Etablissement_Balneo</vt:lpstr>
      <vt:lpstr>Etablissements_Médico_sociaux</vt:lpstr>
      <vt:lpstr>Liste_Type_compteur</vt:lpstr>
      <vt:lpstr>Logistique</vt:lpstr>
      <vt:lpstr>Photovolaïque</vt:lpstr>
      <vt:lpstr>Process</vt:lpstr>
      <vt:lpstr>Production</vt:lpstr>
      <vt:lpstr>Salles_serveurs</vt:lpstr>
      <vt:lpstr>Sous_comptage</vt:lpstr>
      <vt:lpstr>Sous_comptage_Chaleur</vt:lpstr>
      <vt:lpstr>Sous_comptage_eau</vt:lpstr>
      <vt:lpstr>Sous_comptage_elec</vt:lpstr>
      <vt:lpstr>Str_TypeDonneesCpt1</vt:lpstr>
      <vt:lpstr>Str_TypeDonneesCpt2</vt:lpstr>
      <vt:lpstr>Str_TypeDonneesCpt3</vt:lpstr>
      <vt:lpstr>Str_TypeDonneesCpt4</vt:lpstr>
      <vt:lpstr>Str_TypeDonneesCpt5</vt:lpstr>
      <vt:lpstr>Str_TypeDonneesCpt6</vt:lpstr>
      <vt:lpstr>Str_TypeDonneesCpt7</vt:lpstr>
      <vt:lpstr>Str_TypeDonneesCpt8</vt:lpstr>
      <vt:lpstr>Site!Zone_d_impression</vt:lpstr>
    </vt:vector>
  </TitlesOfParts>
  <Manager/>
  <Company>Fondation St Jean de Dieu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Fabien Rouault</dc:creator>
  <cp:keywords/>
  <dc:description/>
  <cp:lastModifiedBy>FAVERAIS Laurent - EXT</cp:lastModifiedBy>
  <cp:revision/>
  <dcterms:created xsi:type="dcterms:W3CDTF">2023-03-24T10:58:55Z</dcterms:created>
  <dcterms:modified xsi:type="dcterms:W3CDTF">2026-02-19T16:59:30Z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0x010100BB6669FF9A6C2E45B6E34480CBECE584</vt:lpwstr>
  </property>
</Properties>
</file>