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470" tabRatio="719"/>
  </bookViews>
  <sheets>
    <sheet name="1 - PERIMETRE INTERVENTION" sheetId="3" r:id="rId1"/>
    <sheet name="2 - COUT RH TOTAL" sheetId="4" r:id="rId2"/>
    <sheet name="3 - TPS &amp; COUT HUMAIN PRORATA  " sheetId="6" r:id="rId3"/>
    <sheet name="4 - GAINS FINANCIERS &amp; NET" sheetId="7" r:id="rId4"/>
    <sheet name="5 - ENVIES, BESOINS, ATTENTES" sheetId="5" r:id="rId5"/>
    <sheet name="6 - SYNTHESE" sheetId="8"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7" l="1"/>
  <c r="Y21" i="8" l="1"/>
  <c r="Z21" i="8"/>
  <c r="Y22" i="8"/>
  <c r="Z22" i="8"/>
  <c r="Y23" i="8"/>
  <c r="Z23" i="8"/>
  <c r="Y24" i="8"/>
  <c r="Z24" i="8"/>
  <c r="Y25" i="8"/>
  <c r="Z25" i="8"/>
  <c r="Y26" i="8"/>
  <c r="Z26" i="8"/>
  <c r="Z20" i="8"/>
  <c r="Y20" i="8"/>
  <c r="V21" i="8"/>
  <c r="W21" i="8"/>
  <c r="V22" i="8"/>
  <c r="W22" i="8"/>
  <c r="V23" i="8"/>
  <c r="W23" i="8"/>
  <c r="V24" i="8"/>
  <c r="W24" i="8"/>
  <c r="V25" i="8"/>
  <c r="W25" i="8"/>
  <c r="V26" i="8"/>
  <c r="W26" i="8"/>
  <c r="W20" i="8"/>
  <c r="V20" i="8"/>
  <c r="S21" i="8"/>
  <c r="T21" i="8"/>
  <c r="S22" i="8"/>
  <c r="T22" i="8"/>
  <c r="S23" i="8"/>
  <c r="T23" i="8"/>
  <c r="S24" i="8"/>
  <c r="T24" i="8"/>
  <c r="S25" i="8"/>
  <c r="T25" i="8"/>
  <c r="S26" i="8"/>
  <c r="T26" i="8"/>
  <c r="T20" i="8"/>
  <c r="S20" i="8"/>
  <c r="Q23" i="8"/>
  <c r="X8" i="8"/>
  <c r="X9" i="8"/>
  <c r="X10" i="8"/>
  <c r="X11" i="8"/>
  <c r="X12" i="8"/>
  <c r="X13" i="8"/>
  <c r="X7" i="8"/>
  <c r="S8" i="8"/>
  <c r="T8" i="8"/>
  <c r="T15" i="8" s="1"/>
  <c r="U8" i="8"/>
  <c r="V8" i="8"/>
  <c r="S9" i="8"/>
  <c r="T9" i="8"/>
  <c r="U9" i="8"/>
  <c r="V9" i="8"/>
  <c r="S10" i="8"/>
  <c r="T10" i="8"/>
  <c r="U10" i="8"/>
  <c r="V10" i="8"/>
  <c r="S11" i="8"/>
  <c r="T11" i="8"/>
  <c r="U11" i="8"/>
  <c r="V11" i="8"/>
  <c r="S12" i="8"/>
  <c r="T12" i="8"/>
  <c r="U12" i="8"/>
  <c r="V12" i="8"/>
  <c r="S13" i="8"/>
  <c r="T13" i="8"/>
  <c r="U13" i="8"/>
  <c r="V13" i="8"/>
  <c r="V7" i="8"/>
  <c r="U7" i="8"/>
  <c r="T7" i="8"/>
  <c r="S7" i="8"/>
  <c r="Q13" i="8"/>
  <c r="Q26" i="8" s="1"/>
  <c r="Q12" i="8"/>
  <c r="Q25" i="8" s="1"/>
  <c r="Q11" i="8"/>
  <c r="Q24" i="8" s="1"/>
  <c r="Q10" i="8"/>
  <c r="Q9" i="8"/>
  <c r="Q22" i="8" s="1"/>
  <c r="Q8" i="8"/>
  <c r="Q21" i="8" s="1"/>
  <c r="Q7" i="8"/>
  <c r="Q20" i="8" s="1"/>
  <c r="E8" i="8"/>
  <c r="F8" i="8"/>
  <c r="G8" i="8"/>
  <c r="E9" i="8"/>
  <c r="F9" i="8"/>
  <c r="G9" i="8"/>
  <c r="E10" i="8"/>
  <c r="F10" i="8"/>
  <c r="G10" i="8"/>
  <c r="E11" i="8"/>
  <c r="F11" i="8"/>
  <c r="G11" i="8"/>
  <c r="E12" i="8"/>
  <c r="F12" i="8"/>
  <c r="G12" i="8"/>
  <c r="E13" i="8"/>
  <c r="F13" i="8"/>
  <c r="G13" i="8"/>
  <c r="G7" i="8"/>
  <c r="F7" i="8"/>
  <c r="E7" i="8"/>
  <c r="AA13" i="4"/>
  <c r="L42" i="7"/>
  <c r="N42" i="7"/>
  <c r="D13" i="4"/>
  <c r="S13" i="4"/>
  <c r="H11" i="4"/>
  <c r="U25" i="6"/>
  <c r="V24" i="6"/>
  <c r="U10" i="6"/>
  <c r="V25" i="6" s="1"/>
  <c r="U11" i="6"/>
  <c r="U12" i="6"/>
  <c r="U27" i="6" s="1"/>
  <c r="U13" i="6"/>
  <c r="V28" i="6" s="1"/>
  <c r="U14" i="6"/>
  <c r="V29" i="6" s="1"/>
  <c r="U15" i="6"/>
  <c r="U9" i="6"/>
  <c r="T10" i="6"/>
  <c r="X10" i="7" s="1"/>
  <c r="T11" i="6"/>
  <c r="T12" i="6"/>
  <c r="T13" i="6"/>
  <c r="V13" i="7" s="1"/>
  <c r="T14" i="6"/>
  <c r="X14" i="7" s="1"/>
  <c r="T15" i="6"/>
  <c r="T9" i="6"/>
  <c r="V22" i="6"/>
  <c r="X7" i="7" s="1"/>
  <c r="X22" i="7" s="1"/>
  <c r="U22" i="6"/>
  <c r="W7" i="7" s="1"/>
  <c r="W22" i="7" s="1"/>
  <c r="V10" i="6"/>
  <c r="W10" i="6" s="1"/>
  <c r="E10" i="6"/>
  <c r="E11" i="6"/>
  <c r="E12" i="6"/>
  <c r="E13" i="6"/>
  <c r="E14" i="6"/>
  <c r="E15" i="6"/>
  <c r="E9" i="6"/>
  <c r="R25" i="4"/>
  <c r="R26" i="4"/>
  <c r="R21" i="5" s="1"/>
  <c r="R27" i="4"/>
  <c r="R27" i="5" s="1"/>
  <c r="R28" i="4"/>
  <c r="R33" i="5" s="1"/>
  <c r="R29" i="4"/>
  <c r="R30" i="4"/>
  <c r="R45" i="5" s="1"/>
  <c r="R24" i="4"/>
  <c r="R9" i="5" s="1"/>
  <c r="AB13" i="4"/>
  <c r="V13" i="4"/>
  <c r="V14" i="4" s="1"/>
  <c r="U13" i="4"/>
  <c r="U14" i="4" s="1"/>
  <c r="U16" i="4" s="1"/>
  <c r="T13" i="4"/>
  <c r="T14" i="4" s="1"/>
  <c r="T16" i="4" s="1"/>
  <c r="S14" i="4"/>
  <c r="S16" i="4" s="1"/>
  <c r="W11" i="4"/>
  <c r="V7" i="4"/>
  <c r="W22" i="6" s="1"/>
  <c r="Y7" i="7" s="1"/>
  <c r="Y22" i="7" s="1"/>
  <c r="U7" i="4"/>
  <c r="T7" i="4"/>
  <c r="S7" i="4"/>
  <c r="T22" i="6" s="1"/>
  <c r="V7" i="7" s="1"/>
  <c r="V22" i="7" s="1"/>
  <c r="D14" i="4"/>
  <c r="G13" i="4"/>
  <c r="G14" i="4" s="1"/>
  <c r="G16" i="4" s="1"/>
  <c r="F13" i="4"/>
  <c r="F14" i="4" s="1"/>
  <c r="F16" i="4" s="1"/>
  <c r="E13" i="4"/>
  <c r="E14" i="4" s="1"/>
  <c r="E16" i="4" s="1"/>
  <c r="G7" i="4"/>
  <c r="H22" i="6" s="1"/>
  <c r="H7" i="7" s="1"/>
  <c r="F7" i="4"/>
  <c r="G22" i="6" s="1"/>
  <c r="E7" i="4"/>
  <c r="F22" i="6" s="1"/>
  <c r="F7" i="7" s="1"/>
  <c r="F22" i="7" s="1"/>
  <c r="D7" i="4"/>
  <c r="E22" i="6" s="1"/>
  <c r="E7" i="7" s="1"/>
  <c r="E22" i="7" s="1"/>
  <c r="M13" i="4"/>
  <c r="L13" i="4" s="1"/>
  <c r="U25" i="3"/>
  <c r="J27" i="3"/>
  <c r="J31" i="3"/>
  <c r="F27" i="3"/>
  <c r="F28" i="3"/>
  <c r="F29" i="3"/>
  <c r="F31" i="3"/>
  <c r="F25" i="3"/>
  <c r="AF26" i="3"/>
  <c r="AF27" i="3"/>
  <c r="AF28" i="3"/>
  <c r="AF29" i="3"/>
  <c r="AF30" i="3"/>
  <c r="AF31" i="3"/>
  <c r="AF25" i="3"/>
  <c r="AE33" i="3"/>
  <c r="AB26" i="3"/>
  <c r="AB27" i="3"/>
  <c r="AB28" i="3"/>
  <c r="AB29" i="3"/>
  <c r="AB30" i="3"/>
  <c r="AB31" i="3"/>
  <c r="AB25" i="3"/>
  <c r="X26" i="3"/>
  <c r="X27" i="3"/>
  <c r="X28" i="3"/>
  <c r="X29" i="3"/>
  <c r="X30" i="3"/>
  <c r="X31" i="3"/>
  <c r="X25" i="3"/>
  <c r="AG18" i="3"/>
  <c r="AF18" i="3"/>
  <c r="AE18" i="3"/>
  <c r="AC18" i="3"/>
  <c r="AB18" i="3"/>
  <c r="AA18" i="3"/>
  <c r="Y18" i="3"/>
  <c r="X18" i="3"/>
  <c r="W18" i="3"/>
  <c r="AC16" i="3"/>
  <c r="AB16" i="3"/>
  <c r="Y16" i="3"/>
  <c r="X16" i="3"/>
  <c r="AF16" i="3" s="1"/>
  <c r="AA33" i="3"/>
  <c r="W33" i="3"/>
  <c r="AH31" i="3"/>
  <c r="U31" i="3"/>
  <c r="AH30" i="3"/>
  <c r="U30" i="3"/>
  <c r="U29" i="3"/>
  <c r="U28" i="3"/>
  <c r="AH27" i="3"/>
  <c r="U27" i="3"/>
  <c r="AH26" i="3"/>
  <c r="U26" i="3"/>
  <c r="AF33" i="3"/>
  <c r="AB33" i="3"/>
  <c r="AG16" i="3"/>
  <c r="AE16" i="3"/>
  <c r="AG15" i="3"/>
  <c r="AF15" i="3"/>
  <c r="AE15" i="3"/>
  <c r="AG14" i="3"/>
  <c r="AF14" i="3"/>
  <c r="AE14" i="3"/>
  <c r="AG13" i="3"/>
  <c r="AF13" i="3"/>
  <c r="AE13" i="3"/>
  <c r="AG12" i="3"/>
  <c r="AF12" i="3"/>
  <c r="AE12" i="3"/>
  <c r="AG11" i="3"/>
  <c r="AF11" i="3"/>
  <c r="AE11" i="3"/>
  <c r="AG10" i="3"/>
  <c r="AF10" i="3"/>
  <c r="AE10" i="3"/>
  <c r="C26" i="3"/>
  <c r="C25" i="4" s="1"/>
  <c r="C15" i="5" s="1"/>
  <c r="C27" i="3"/>
  <c r="C26" i="4" s="1"/>
  <c r="C21" i="5" s="1"/>
  <c r="C28" i="3"/>
  <c r="C27" i="4" s="1"/>
  <c r="C27" i="5" s="1"/>
  <c r="C29" i="3"/>
  <c r="C13" i="6" s="1"/>
  <c r="C28" i="6" s="1"/>
  <c r="C11" i="8" s="1"/>
  <c r="C24" i="8" s="1"/>
  <c r="C30" i="3"/>
  <c r="C29" i="4" s="1"/>
  <c r="C39" i="5" s="1"/>
  <c r="C31" i="3"/>
  <c r="C30" i="4" s="1"/>
  <c r="C45" i="5" s="1"/>
  <c r="C25" i="3"/>
  <c r="C24" i="4" s="1"/>
  <c r="C9" i="5" s="1"/>
  <c r="M33" i="3"/>
  <c r="N29" i="3" s="1"/>
  <c r="E33" i="3"/>
  <c r="F26" i="3" s="1"/>
  <c r="I33" i="3"/>
  <c r="J28" i="3" s="1"/>
  <c r="K18" i="3"/>
  <c r="J18" i="3"/>
  <c r="I18" i="3"/>
  <c r="G18" i="3"/>
  <c r="F18" i="3"/>
  <c r="E18" i="3"/>
  <c r="O16" i="3"/>
  <c r="N16" i="3"/>
  <c r="M16" i="3"/>
  <c r="O15" i="3"/>
  <c r="N15" i="3"/>
  <c r="M15" i="3"/>
  <c r="O14" i="3"/>
  <c r="N14" i="3"/>
  <c r="M14" i="3"/>
  <c r="O13" i="3"/>
  <c r="N13" i="3"/>
  <c r="M13" i="3"/>
  <c r="O12" i="3"/>
  <c r="N12" i="3"/>
  <c r="M12" i="3"/>
  <c r="O11" i="3"/>
  <c r="N11" i="3"/>
  <c r="M11" i="3"/>
  <c r="O10" i="3"/>
  <c r="N10" i="3"/>
  <c r="M10" i="3"/>
  <c r="M18" i="3" l="1"/>
  <c r="G7" i="7"/>
  <c r="G22" i="7" s="1"/>
  <c r="N25" i="3"/>
  <c r="N31" i="3"/>
  <c r="N27" i="3"/>
  <c r="P31" i="3"/>
  <c r="H13" i="8" s="1"/>
  <c r="N30" i="3"/>
  <c r="N26" i="3"/>
  <c r="P26" i="3" s="1"/>
  <c r="N28" i="3"/>
  <c r="P27" i="3"/>
  <c r="H9" i="8" s="1"/>
  <c r="J30" i="3"/>
  <c r="J26" i="3"/>
  <c r="J29" i="3"/>
  <c r="P29" i="3" s="1"/>
  <c r="P28" i="3"/>
  <c r="H10" i="8" s="1"/>
  <c r="J25" i="3"/>
  <c r="F12" i="6"/>
  <c r="F27" i="6" s="1"/>
  <c r="F30" i="3"/>
  <c r="P30" i="3" s="1"/>
  <c r="C9" i="6"/>
  <c r="C24" i="6" s="1"/>
  <c r="C7" i="8" s="1"/>
  <c r="C20" i="8" s="1"/>
  <c r="C12" i="6"/>
  <c r="C27" i="6" s="1"/>
  <c r="C10" i="8" s="1"/>
  <c r="C23" i="8" s="1"/>
  <c r="C28" i="4"/>
  <c r="C33" i="5" s="1"/>
  <c r="C15" i="6"/>
  <c r="C11" i="6"/>
  <c r="C11" i="7" s="1"/>
  <c r="C26" i="7" s="1"/>
  <c r="C14" i="6"/>
  <c r="C29" i="6" s="1"/>
  <c r="C12" i="8" s="1"/>
  <c r="C25" i="8" s="1"/>
  <c r="C10" i="6"/>
  <c r="C25" i="6" s="1"/>
  <c r="C8" i="8" s="1"/>
  <c r="C21" i="8" s="1"/>
  <c r="N18" i="3"/>
  <c r="O18" i="3"/>
  <c r="H22" i="7"/>
  <c r="W28" i="8"/>
  <c r="G15" i="8"/>
  <c r="E15" i="8"/>
  <c r="S15" i="8"/>
  <c r="V15" i="8"/>
  <c r="U15" i="8"/>
  <c r="X15" i="8"/>
  <c r="S28" i="8"/>
  <c r="Y28" i="8"/>
  <c r="V28" i="8"/>
  <c r="F15" i="8"/>
  <c r="T28" i="8"/>
  <c r="Z28" i="8"/>
  <c r="U28" i="6"/>
  <c r="G13" i="7"/>
  <c r="E15" i="7"/>
  <c r="X10" i="6"/>
  <c r="H11" i="7"/>
  <c r="V16" i="4"/>
  <c r="W16" i="4" s="1"/>
  <c r="W17" i="4" s="1"/>
  <c r="Y14" i="7"/>
  <c r="Y10" i="7"/>
  <c r="Y11" i="7"/>
  <c r="W13" i="7"/>
  <c r="U24" i="6"/>
  <c r="V27" i="6"/>
  <c r="U29" i="6"/>
  <c r="W9" i="4"/>
  <c r="W12" i="4"/>
  <c r="F12" i="7"/>
  <c r="H15" i="7"/>
  <c r="X13" i="7"/>
  <c r="Y15" i="7"/>
  <c r="H10" i="4"/>
  <c r="E11" i="7"/>
  <c r="W10" i="4"/>
  <c r="G9" i="7"/>
  <c r="R13" i="6"/>
  <c r="R28" i="6" s="1"/>
  <c r="C30" i="6"/>
  <c r="C13" i="8" s="1"/>
  <c r="C26" i="8" s="1"/>
  <c r="C15" i="7"/>
  <c r="C30" i="7" s="1"/>
  <c r="H14" i="7"/>
  <c r="E14" i="7"/>
  <c r="F14" i="7"/>
  <c r="G14" i="7"/>
  <c r="H10" i="7"/>
  <c r="E10" i="7"/>
  <c r="F10" i="7"/>
  <c r="G10" i="7"/>
  <c r="W9" i="7"/>
  <c r="W24" i="7" s="1"/>
  <c r="X9" i="7"/>
  <c r="X24" i="7" s="1"/>
  <c r="V9" i="7"/>
  <c r="Y9" i="7"/>
  <c r="V30" i="6"/>
  <c r="W30" i="6"/>
  <c r="T30" i="6"/>
  <c r="R14" i="6"/>
  <c r="R39" i="5"/>
  <c r="R10" i="6"/>
  <c r="R15" i="5"/>
  <c r="X29" i="7"/>
  <c r="X25" i="7"/>
  <c r="C26" i="6"/>
  <c r="C9" i="8" s="1"/>
  <c r="C22" i="8" s="1"/>
  <c r="V12" i="7"/>
  <c r="W12" i="7"/>
  <c r="W27" i="7" s="1"/>
  <c r="Y12" i="7"/>
  <c r="X12" i="7"/>
  <c r="V26" i="6"/>
  <c r="W26" i="6"/>
  <c r="T26" i="6"/>
  <c r="T13" i="7"/>
  <c r="T28" i="7" s="1"/>
  <c r="U30" i="6"/>
  <c r="U26" i="6"/>
  <c r="R9" i="6"/>
  <c r="R12" i="6"/>
  <c r="W24" i="6"/>
  <c r="T29" i="6"/>
  <c r="T28" i="6"/>
  <c r="V28" i="7" s="1"/>
  <c r="T27" i="6"/>
  <c r="T25" i="6"/>
  <c r="E9" i="7"/>
  <c r="E12" i="7"/>
  <c r="F9" i="7"/>
  <c r="F13" i="7"/>
  <c r="H12" i="7"/>
  <c r="C14" i="7"/>
  <c r="C29" i="7" s="1"/>
  <c r="V10" i="7"/>
  <c r="V14" i="7"/>
  <c r="W11" i="7"/>
  <c r="Y13" i="7"/>
  <c r="W15" i="7"/>
  <c r="X28" i="7"/>
  <c r="R15" i="6"/>
  <c r="R11" i="6"/>
  <c r="T24" i="6"/>
  <c r="W29" i="6"/>
  <c r="W28" i="6"/>
  <c r="W27" i="6"/>
  <c r="W25" i="6"/>
  <c r="H9" i="7"/>
  <c r="E13" i="7"/>
  <c r="G11" i="7"/>
  <c r="G15" i="7"/>
  <c r="H13" i="7"/>
  <c r="C13" i="7"/>
  <c r="C28" i="7" s="1"/>
  <c r="V11" i="7"/>
  <c r="V26" i="7" s="1"/>
  <c r="V15" i="7"/>
  <c r="V30" i="7" s="1"/>
  <c r="W10" i="7"/>
  <c r="W25" i="7" s="1"/>
  <c r="X11" i="7"/>
  <c r="W14" i="7"/>
  <c r="W29" i="7" s="1"/>
  <c r="X15" i="7"/>
  <c r="F11" i="7"/>
  <c r="F15" i="7"/>
  <c r="G12" i="7"/>
  <c r="C9" i="7"/>
  <c r="C24" i="7" s="1"/>
  <c r="C12" i="7"/>
  <c r="C27" i="7" s="1"/>
  <c r="T17" i="6"/>
  <c r="V14" i="6"/>
  <c r="W14" i="6" s="1"/>
  <c r="X14" i="6" s="1"/>
  <c r="V15" i="6"/>
  <c r="W15" i="6" s="1"/>
  <c r="X15" i="6" s="1"/>
  <c r="V12" i="6"/>
  <c r="W12" i="6" s="1"/>
  <c r="X12" i="6" s="1"/>
  <c r="U17" i="6"/>
  <c r="V11" i="6"/>
  <c r="W11" i="6" s="1"/>
  <c r="X11" i="6" s="1"/>
  <c r="V9" i="6"/>
  <c r="V13" i="6"/>
  <c r="W13" i="6" s="1"/>
  <c r="X13" i="6" s="1"/>
  <c r="E17" i="6"/>
  <c r="H12" i="4"/>
  <c r="D16" i="4"/>
  <c r="H16" i="4" s="1"/>
  <c r="H17" i="4" s="1"/>
  <c r="H9" i="4"/>
  <c r="AH28" i="3"/>
  <c r="AH29" i="3"/>
  <c r="X33" i="3"/>
  <c r="AH25" i="3"/>
  <c r="AH33" i="3" s="1"/>
  <c r="N33" i="3"/>
  <c r="F33" i="3"/>
  <c r="C10" i="7" l="1"/>
  <c r="C25" i="7" s="1"/>
  <c r="J33" i="3"/>
  <c r="F27" i="7"/>
  <c r="H8" i="8"/>
  <c r="F10" i="6"/>
  <c r="F11" i="6"/>
  <c r="G27" i="6"/>
  <c r="G27" i="7" s="1"/>
  <c r="E27" i="6"/>
  <c r="E27" i="7" s="1"/>
  <c r="F15" i="6"/>
  <c r="G30" i="6" s="1"/>
  <c r="G30" i="7" s="1"/>
  <c r="H27" i="6"/>
  <c r="H27" i="7" s="1"/>
  <c r="G12" i="6"/>
  <c r="H12" i="6" s="1"/>
  <c r="I12" i="6" s="1"/>
  <c r="F13" i="6"/>
  <c r="H11" i="8"/>
  <c r="P25" i="3"/>
  <c r="P33" i="3" s="1"/>
  <c r="H12" i="8"/>
  <c r="F14" i="6"/>
  <c r="W28" i="7"/>
  <c r="Y26" i="7"/>
  <c r="Y30" i="7"/>
  <c r="Z13" i="7"/>
  <c r="AA13" i="7" s="1"/>
  <c r="X29" i="6"/>
  <c r="Y29" i="6" s="1"/>
  <c r="U32" i="6"/>
  <c r="Y25" i="7"/>
  <c r="Z15" i="7"/>
  <c r="AC15" i="7" s="1"/>
  <c r="AD15" i="7" s="1"/>
  <c r="X27" i="7"/>
  <c r="V32" i="6"/>
  <c r="I12" i="7"/>
  <c r="X26" i="7"/>
  <c r="X28" i="6"/>
  <c r="Y28" i="6" s="1"/>
  <c r="Y17" i="7"/>
  <c r="I13" i="7"/>
  <c r="J13" i="7" s="1"/>
  <c r="F24" i="8" s="1"/>
  <c r="Y29" i="7"/>
  <c r="W17" i="7"/>
  <c r="I9" i="7"/>
  <c r="V29" i="7"/>
  <c r="Z29" i="7" s="1"/>
  <c r="AA29" i="7" s="1"/>
  <c r="X17" i="7"/>
  <c r="W30" i="7"/>
  <c r="V25" i="7"/>
  <c r="AC13" i="7"/>
  <c r="T11" i="7"/>
  <c r="T26" i="7" s="1"/>
  <c r="R26" i="6"/>
  <c r="F17" i="7"/>
  <c r="I14" i="7"/>
  <c r="L14" i="7" s="1"/>
  <c r="Z14" i="7"/>
  <c r="AA14" i="7" s="1"/>
  <c r="R24" i="6"/>
  <c r="T9" i="7"/>
  <c r="T24" i="7" s="1"/>
  <c r="T10" i="7"/>
  <c r="T25" i="7" s="1"/>
  <c r="R25" i="6"/>
  <c r="Z9" i="7"/>
  <c r="Y24" i="7"/>
  <c r="G17" i="7"/>
  <c r="I10" i="7"/>
  <c r="Z10" i="7"/>
  <c r="AC10" i="7" s="1"/>
  <c r="Z11" i="7"/>
  <c r="W26" i="7"/>
  <c r="I15" i="7"/>
  <c r="E26" i="8" s="1"/>
  <c r="V27" i="7"/>
  <c r="V24" i="7"/>
  <c r="T12" i="7"/>
  <c r="T27" i="7" s="1"/>
  <c r="R27" i="6"/>
  <c r="Y27" i="7"/>
  <c r="R30" i="6"/>
  <c r="T15" i="7"/>
  <c r="T30" i="7" s="1"/>
  <c r="Y28" i="7"/>
  <c r="Z28" i="7" s="1"/>
  <c r="AA28" i="7" s="1"/>
  <c r="I11" i="7"/>
  <c r="J11" i="7" s="1"/>
  <c r="F22" i="8" s="1"/>
  <c r="H17" i="7"/>
  <c r="V17" i="7"/>
  <c r="Z12" i="7"/>
  <c r="AC12" i="7" s="1"/>
  <c r="X30" i="7"/>
  <c r="T32" i="6"/>
  <c r="X24" i="6"/>
  <c r="E17" i="7"/>
  <c r="W32" i="6"/>
  <c r="T14" i="7"/>
  <c r="T29" i="7" s="1"/>
  <c r="R29" i="6"/>
  <c r="L13" i="7"/>
  <c r="X30" i="6"/>
  <c r="Y30" i="6" s="1"/>
  <c r="X26" i="6"/>
  <c r="X25" i="6"/>
  <c r="Y25" i="6" s="1"/>
  <c r="X27" i="6"/>
  <c r="Y27" i="6" s="1"/>
  <c r="V17" i="6"/>
  <c r="W9" i="6"/>
  <c r="I10" i="4"/>
  <c r="I9" i="4"/>
  <c r="I11" i="4"/>
  <c r="I12" i="4"/>
  <c r="X9" i="4"/>
  <c r="X12" i="4"/>
  <c r="X10" i="4"/>
  <c r="X11" i="4"/>
  <c r="G15" i="6" l="1"/>
  <c r="H15" i="6" s="1"/>
  <c r="F30" i="6"/>
  <c r="F30" i="7" s="1"/>
  <c r="H30" i="6"/>
  <c r="H30" i="7" s="1"/>
  <c r="E30" i="6"/>
  <c r="E30" i="7" s="1"/>
  <c r="I27" i="6"/>
  <c r="J27" i="6" s="1"/>
  <c r="I23" i="8" s="1"/>
  <c r="I16" i="4"/>
  <c r="J10" i="8"/>
  <c r="G26" i="6"/>
  <c r="G26" i="7" s="1"/>
  <c r="E26" i="6"/>
  <c r="E26" i="7" s="1"/>
  <c r="F26" i="6"/>
  <c r="F26" i="7" s="1"/>
  <c r="G11" i="6"/>
  <c r="H11" i="6" s="1"/>
  <c r="H26" i="6"/>
  <c r="H26" i="7" s="1"/>
  <c r="H25" i="6"/>
  <c r="H25" i="7" s="1"/>
  <c r="E25" i="6"/>
  <c r="E25" i="7" s="1"/>
  <c r="G25" i="6"/>
  <c r="G25" i="7" s="1"/>
  <c r="F25" i="6"/>
  <c r="F25" i="7" s="1"/>
  <c r="G10" i="6"/>
  <c r="H10" i="6" s="1"/>
  <c r="F9" i="6"/>
  <c r="F17" i="6" s="1"/>
  <c r="H7" i="8"/>
  <c r="H15" i="8" s="1"/>
  <c r="E28" i="6"/>
  <c r="E28" i="7" s="1"/>
  <c r="H28" i="6"/>
  <c r="H28" i="7" s="1"/>
  <c r="F28" i="6"/>
  <c r="F28" i="7" s="1"/>
  <c r="G28" i="6"/>
  <c r="G28" i="7" s="1"/>
  <c r="G13" i="6"/>
  <c r="H13" i="6" s="1"/>
  <c r="L30" i="6"/>
  <c r="E20" i="8"/>
  <c r="I27" i="7"/>
  <c r="E23" i="8"/>
  <c r="J12" i="7"/>
  <c r="F23" i="8" s="1"/>
  <c r="L10" i="7"/>
  <c r="E21" i="8"/>
  <c r="H29" i="6"/>
  <c r="H29" i="7" s="1"/>
  <c r="E29" i="6"/>
  <c r="E29" i="7" s="1"/>
  <c r="F29" i="6"/>
  <c r="F29" i="7" s="1"/>
  <c r="G14" i="6"/>
  <c r="G29" i="6"/>
  <c r="G29" i="7" s="1"/>
  <c r="J13" i="8"/>
  <c r="I15" i="6"/>
  <c r="E24" i="8"/>
  <c r="H23" i="8"/>
  <c r="L27" i="6"/>
  <c r="L12" i="7"/>
  <c r="M12" i="7" s="1"/>
  <c r="J9" i="7"/>
  <c r="F20" i="8" s="1"/>
  <c r="E22" i="8"/>
  <c r="J14" i="7"/>
  <c r="F25" i="8" s="1"/>
  <c r="E25" i="8"/>
  <c r="Z30" i="7"/>
  <c r="AA30" i="7" s="1"/>
  <c r="Z25" i="7"/>
  <c r="AA25" i="7" s="1"/>
  <c r="AC14" i="7"/>
  <c r="AA15" i="7"/>
  <c r="Z26" i="7"/>
  <c r="AA26" i="7" s="1"/>
  <c r="AA29" i="6"/>
  <c r="AB29" i="6" s="1"/>
  <c r="AA28" i="6"/>
  <c r="AB28" i="6" s="1"/>
  <c r="AA10" i="7"/>
  <c r="X16" i="4"/>
  <c r="I17" i="7"/>
  <c r="J17" i="7" s="1"/>
  <c r="L9" i="7"/>
  <c r="M9" i="7" s="1"/>
  <c r="W17" i="6"/>
  <c r="X9" i="6"/>
  <c r="X17" i="6" s="1"/>
  <c r="L11" i="7"/>
  <c r="Y24" i="6"/>
  <c r="X32" i="6"/>
  <c r="AA24" i="6"/>
  <c r="AB24" i="6" s="1"/>
  <c r="AA27" i="6"/>
  <c r="AB27" i="6" s="1"/>
  <c r="AA26" i="6"/>
  <c r="AB26" i="6" s="1"/>
  <c r="Y26" i="6"/>
  <c r="AD10" i="7"/>
  <c r="AA12" i="7"/>
  <c r="Z27" i="7"/>
  <c r="AA27" i="7" s="1"/>
  <c r="W32" i="7"/>
  <c r="AD13" i="7"/>
  <c r="AC28" i="7"/>
  <c r="AD14" i="7"/>
  <c r="AD29" i="7" s="1"/>
  <c r="AC29" i="7"/>
  <c r="AA9" i="7"/>
  <c r="Z17" i="7"/>
  <c r="AA17" i="7" s="1"/>
  <c r="AC9" i="7"/>
  <c r="AD12" i="7"/>
  <c r="V32" i="7"/>
  <c r="Z24" i="7"/>
  <c r="AA24" i="7" s="1"/>
  <c r="AC11" i="7"/>
  <c r="AA11" i="7"/>
  <c r="AA25" i="6"/>
  <c r="AB25" i="6" s="1"/>
  <c r="J10" i="7"/>
  <c r="F21" i="8" s="1"/>
  <c r="X32" i="7"/>
  <c r="I30" i="7"/>
  <c r="L15" i="7"/>
  <c r="J15" i="7"/>
  <c r="F26" i="8" s="1"/>
  <c r="Y32" i="7"/>
  <c r="M14" i="7"/>
  <c r="M13" i="7"/>
  <c r="AA30" i="6"/>
  <c r="I30" i="6" l="1"/>
  <c r="M30" i="6"/>
  <c r="L30" i="7"/>
  <c r="M27" i="6"/>
  <c r="M27" i="7" s="1"/>
  <c r="L27" i="7"/>
  <c r="M10" i="7"/>
  <c r="I26" i="6"/>
  <c r="J9" i="8"/>
  <c r="I11" i="6"/>
  <c r="J8" i="8"/>
  <c r="I10" i="6"/>
  <c r="I25" i="6"/>
  <c r="I25" i="7" s="1"/>
  <c r="J25" i="7" s="1"/>
  <c r="L21" i="8" s="1"/>
  <c r="J11" i="8"/>
  <c r="I13" i="6"/>
  <c r="I28" i="6"/>
  <c r="I28" i="7" s="1"/>
  <c r="J28" i="7" s="1"/>
  <c r="L24" i="8" s="1"/>
  <c r="F24" i="6"/>
  <c r="H24" i="6"/>
  <c r="G9" i="6"/>
  <c r="H9" i="6" s="1"/>
  <c r="G24" i="6"/>
  <c r="E24" i="6"/>
  <c r="E24" i="7" s="1"/>
  <c r="E32" i="7" s="1"/>
  <c r="J30" i="7"/>
  <c r="L26" i="8" s="1"/>
  <c r="K26" i="8"/>
  <c r="I29" i="6"/>
  <c r="I29" i="7" s="1"/>
  <c r="K25" i="8" s="1"/>
  <c r="F28" i="8"/>
  <c r="H14" i="6"/>
  <c r="E28" i="8"/>
  <c r="J27" i="7"/>
  <c r="L23" i="8" s="1"/>
  <c r="K23" i="8"/>
  <c r="AA32" i="7"/>
  <c r="Z32" i="7"/>
  <c r="AD28" i="7"/>
  <c r="AD27" i="7"/>
  <c r="AC27" i="7"/>
  <c r="AD25" i="7"/>
  <c r="Y32" i="6"/>
  <c r="AA32" i="6"/>
  <c r="AB32" i="6" s="1"/>
  <c r="M11" i="7"/>
  <c r="M15" i="7"/>
  <c r="AD11" i="7"/>
  <c r="AD26" i="7" s="1"/>
  <c r="AC26" i="7"/>
  <c r="AD9" i="7"/>
  <c r="AD24" i="7" s="1"/>
  <c r="AB30" i="6"/>
  <c r="AD30" i="7" s="1"/>
  <c r="AC30" i="7"/>
  <c r="AC25" i="7"/>
  <c r="K24" i="8" l="1"/>
  <c r="E32" i="6"/>
  <c r="J30" i="6"/>
  <c r="I26" i="8" s="1"/>
  <c r="H26" i="8"/>
  <c r="K21" i="8"/>
  <c r="M30" i="7"/>
  <c r="J29" i="7"/>
  <c r="L25" i="8" s="1"/>
  <c r="F32" i="6"/>
  <c r="F24" i="7"/>
  <c r="F32" i="7" s="1"/>
  <c r="G32" i="6"/>
  <c r="G24" i="7"/>
  <c r="G32" i="7" s="1"/>
  <c r="H22" i="8"/>
  <c r="I26" i="7"/>
  <c r="H32" i="6"/>
  <c r="H24" i="7"/>
  <c r="H32" i="7" s="1"/>
  <c r="J26" i="6"/>
  <c r="L26" i="6"/>
  <c r="J25" i="6"/>
  <c r="H21" i="8"/>
  <c r="L25" i="6"/>
  <c r="G17" i="6"/>
  <c r="I24" i="6"/>
  <c r="J7" i="8"/>
  <c r="I9" i="6"/>
  <c r="J28" i="6"/>
  <c r="H24" i="8"/>
  <c r="L28" i="6"/>
  <c r="J29" i="6"/>
  <c r="H25" i="8"/>
  <c r="L29" i="6"/>
  <c r="J12" i="8"/>
  <c r="J15" i="8" s="1"/>
  <c r="I14" i="6"/>
  <c r="H17" i="6"/>
  <c r="AD32" i="7"/>
  <c r="AC32" i="7"/>
  <c r="M29" i="6" l="1"/>
  <c r="M29" i="7" s="1"/>
  <c r="L29" i="7"/>
  <c r="M26" i="6"/>
  <c r="M26" i="7" s="1"/>
  <c r="L26" i="7"/>
  <c r="M25" i="6"/>
  <c r="M25" i="7" s="1"/>
  <c r="L25" i="7"/>
  <c r="M28" i="6"/>
  <c r="M28" i="7" s="1"/>
  <c r="L28" i="7"/>
  <c r="I21" i="8"/>
  <c r="I24" i="8"/>
  <c r="I25" i="8"/>
  <c r="I22" i="8"/>
  <c r="K22" i="8"/>
  <c r="J26" i="7"/>
  <c r="L22" i="8" s="1"/>
  <c r="I32" i="6"/>
  <c r="J32" i="6" s="1"/>
  <c r="I24" i="7"/>
  <c r="I17" i="6"/>
  <c r="L24" i="6"/>
  <c r="J24" i="6"/>
  <c r="H20" i="8"/>
  <c r="H28" i="8" s="1"/>
  <c r="M24" i="6" l="1"/>
  <c r="M24" i="7" s="1"/>
  <c r="M32" i="7" s="1"/>
  <c r="L24" i="7"/>
  <c r="L32" i="7" s="1"/>
  <c r="K20" i="8"/>
  <c r="I32" i="7"/>
  <c r="J24" i="7"/>
  <c r="I20" i="8"/>
  <c r="I28" i="8" s="1"/>
  <c r="L32" i="6"/>
  <c r="M32" i="6" s="1"/>
  <c r="K28" i="8"/>
  <c r="L20" i="8" l="1"/>
  <c r="L28" i="8" s="1"/>
  <c r="J32" i="7"/>
</calcChain>
</file>

<file path=xl/sharedStrings.xml><?xml version="1.0" encoding="utf-8"?>
<sst xmlns="http://schemas.openxmlformats.org/spreadsheetml/2006/main" count="265" uniqueCount="111">
  <si>
    <t>TOTAL</t>
  </si>
  <si>
    <t>%</t>
  </si>
  <si>
    <t>Salaire chargé (€/an)</t>
  </si>
  <si>
    <t>Malette (€)</t>
  </si>
  <si>
    <t>Frais fct (€/an)</t>
  </si>
  <si>
    <t xml:space="preserve">Périmètre global de nos organismes </t>
  </si>
  <si>
    <t>Nombre de sites</t>
  </si>
  <si>
    <t>Nombre de bâtiments</t>
  </si>
  <si>
    <t>Surface globale m²</t>
  </si>
  <si>
    <t>Périmètre d'établissement &gt; 1000 m²</t>
  </si>
  <si>
    <t>Périmètre d'établissement &lt; 1000 m²</t>
  </si>
  <si>
    <t>PERIMETRE TOTAL</t>
  </si>
  <si>
    <t>Prorata année</t>
  </si>
  <si>
    <t>Temps (Mois/an)</t>
  </si>
  <si>
    <t>Outil mesure disponible (oui/non)</t>
  </si>
  <si>
    <t>VOS ENVIES / BESOINS / ATTENTES SUR LES THEMATIQUES ENERGETIQUES</t>
  </si>
  <si>
    <t>Année 1</t>
  </si>
  <si>
    <t>Année 2</t>
  </si>
  <si>
    <t>Année 3</t>
  </si>
  <si>
    <t>Bureau disponible
(oui/non)</t>
  </si>
  <si>
    <t>Véhicule disponible
(oui/non)</t>
  </si>
  <si>
    <t>Autres mutualisation</t>
  </si>
  <si>
    <t>Commentaires</t>
  </si>
  <si>
    <t>ESTIMATION COUT FONCTIONNEMENT TOTAL</t>
  </si>
  <si>
    <t>C1</t>
  </si>
  <si>
    <t>C2</t>
  </si>
  <si>
    <t>C3</t>
  </si>
  <si>
    <t>€/an/site</t>
  </si>
  <si>
    <t>Moyenne ES</t>
  </si>
  <si>
    <t>Moyenne ESMS</t>
  </si>
  <si>
    <t>Gains financiers totaux estimés (C1+C2+C3)</t>
  </si>
  <si>
    <t>A définir &amp; prioriser</t>
  </si>
  <si>
    <t>OG 1</t>
  </si>
  <si>
    <t>OG 2</t>
  </si>
  <si>
    <t>OG 3</t>
  </si>
  <si>
    <t>OG 4</t>
  </si>
  <si>
    <t>OG 5</t>
  </si>
  <si>
    <t>OG 6</t>
  </si>
  <si>
    <t>OG 7</t>
  </si>
  <si>
    <t>VOTRE SIMULATION</t>
  </si>
  <si>
    <t>SIMULATION EXEMPLE</t>
  </si>
  <si>
    <t>Prorata officiel - %</t>
  </si>
  <si>
    <t>PERIMETRE REEL D'INTERVENTION DU CONSEILLER ENERGIE</t>
  </si>
  <si>
    <t>oui</t>
  </si>
  <si>
    <t>non</t>
  </si>
  <si>
    <t>-</t>
  </si>
  <si>
    <t>MUTUALISATION DU MATERIEL</t>
  </si>
  <si>
    <t>Nom des entités du groupement</t>
  </si>
  <si>
    <t>Mois</t>
  </si>
  <si>
    <t>Année 4</t>
  </si>
  <si>
    <t>Voiture forfait (€)</t>
  </si>
  <si>
    <t>MOYENNE PAR AN</t>
  </si>
  <si>
    <t>A SAISIR</t>
  </si>
  <si>
    <t>AUTO</t>
  </si>
  <si>
    <t>4 sondes de T°C</t>
  </si>
  <si>
    <t>Enregistreur elec</t>
  </si>
  <si>
    <t>Actions quick kwins (Sur établissements ciblés)</t>
  </si>
  <si>
    <t>Actions de sensibilisations (Sur l'Adapei 49 général)</t>
  </si>
  <si>
    <t>Montage du contrat CVC (Contrat cadre Adapei 49)</t>
  </si>
  <si>
    <t>Recherche d'aides financières</t>
  </si>
  <si>
    <t xml:space="preserve">Quick-win électrique, </t>
  </si>
  <si>
    <t>Petits et moyens travaux</t>
  </si>
  <si>
    <t>Contrats achats énergie à vérifier avec Studeffi, contrats d'exploitation à vérifier voire à déployer</t>
  </si>
  <si>
    <t>Recherche de subvention (projet SDI)</t>
  </si>
  <si>
    <t xml:space="preserve">Besoin d'aide pour identifier l'accès possible à des aides de financement </t>
  </si>
  <si>
    <t xml:space="preserve">Mise en place des quick-wins </t>
  </si>
  <si>
    <t>état des lieux et suivi de nos dépenses énergétiques</t>
  </si>
  <si>
    <t>Plan de comptage, appui au remplissage de la plate-forme OPERAT</t>
  </si>
  <si>
    <t>"Quick-wins" thermiques, électrique et maintien quick-wins, actions sur l'eau</t>
  </si>
  <si>
    <t>Energies renouvelables, photovoltaique</t>
  </si>
  <si>
    <t>Plate-forme SME</t>
  </si>
  <si>
    <t>Proposition de "petites victoires"</t>
  </si>
  <si>
    <t>Accompagnement sur des investissements relatifs au point 1 et pour les futurs projets</t>
  </si>
  <si>
    <t>Accompagnement de l'acculturation à la sobriété efficace (communication, sensibilisation…)</t>
  </si>
  <si>
    <t>Assistance rénovation GTB site principal (16000m²)</t>
  </si>
  <si>
    <t>Projet géothermie/ renouvellement chaufferies sur deux sites de plus de 4000m²</t>
  </si>
  <si>
    <t>Participations aux projets de construction rénovation pour son périmètre</t>
  </si>
  <si>
    <t>Sensibilisation du personnel</t>
  </si>
  <si>
    <t xml:space="preserve">Acompagnement dans les contrats de maintenances </t>
  </si>
  <si>
    <t>Optimisation des consommations énergies</t>
  </si>
  <si>
    <t xml:space="preserve">Conseils à l'investissements </t>
  </si>
  <si>
    <t xml:space="preserve">Accompagnement dans les contrats stratégiques </t>
  </si>
  <si>
    <t>Aide des équipes pour les quick wins, exploitation des installations CVC, relations avec les prestaires maintenance</t>
  </si>
  <si>
    <t>conseil pour une prochaine construction de bâtiment - bonne prise en compte des futures dépenses énergétiques</t>
  </si>
  <si>
    <t>J ouvrés/mois</t>
  </si>
  <si>
    <t>J ouvrés/an</t>
  </si>
  <si>
    <t>Prorata - %</t>
  </si>
  <si>
    <t>Nb sites</t>
  </si>
  <si>
    <t>Temps humain d'accompagnement proratisé</t>
  </si>
  <si>
    <t>Coût de fonctionnement proratisé</t>
  </si>
  <si>
    <t>Total/site</t>
  </si>
  <si>
    <t>Total/site/an</t>
  </si>
  <si>
    <t>Total</t>
  </si>
  <si>
    <t>Total moy / an</t>
  </si>
  <si>
    <t>J ouvrés/site</t>
  </si>
  <si>
    <t>Gains nets estimés = (C1+C2+C3) - Coût fonctionnement</t>
  </si>
  <si>
    <t>Explication</t>
  </si>
  <si>
    <t>Année</t>
  </si>
  <si>
    <t>Temps ETP J ouvrés/an</t>
  </si>
  <si>
    <t>Cout ETP
Total</t>
  </si>
  <si>
    <t>Cout ETP
Total moy / an</t>
  </si>
  <si>
    <t>Gain Net
Total</t>
  </si>
  <si>
    <t>Gain Net
Total moy / an</t>
  </si>
  <si>
    <t>Gains estimés
Total</t>
  </si>
  <si>
    <t>Gains estimés
Total moy / an</t>
  </si>
  <si>
    <t>Dans le coût total, il est necessaire de prendre en compte le salaire chargé, la voiture, la malette d’investigation et les frais de fonctionnement (téléphone, péage, déplacement, …)
Pour réduire les coûts, il est important de comparer / mettre en commun les marchés existants au sein de chaque groupement.</t>
  </si>
  <si>
    <t>Le prorata « officiel » permet ensuite de calculer simplement le coût de fonctionnement par an et par organismes et le temps associé (= 365 - Jours weekend)</t>
  </si>
  <si>
    <t xml:space="preserve">1 - Pour calculer les gains financiers totaux (C1+C2+C3), nous reprenons les valeurs des gains financiers issus du REX des accompagnements du « Dispositif ETE » en santé avec un trinôme « Direction + Maintenance + CME » motivé !
2 - Pour calculer le gain net, nous déduisons le coût de fonctionnement du conseiller à la somme des gains financiers estimés (C1+C2+C3).
</t>
  </si>
  <si>
    <t>Dans cet, outil, il est également possible de saisir les envies, les besoins et les attentes principales de chaque groupement.
Peu importe votre « maturité énergétique », le conseiller est un vrai « couteau suisse » il pourra et saura s’adapter !</t>
  </si>
  <si>
    <t>Synthèse des valeurs importantes par organisme et total</t>
  </si>
  <si>
    <t xml:space="preserve">1 - Périmètre total : Généralement beaucoup trop de site pour un conseiller ! Il faut donc faire une sélection pour réduire le nombre de site !
2 - Périmètre d’intervention : Sélection des sites les plus consommateurs et/ou éligibles au DEET (&gt; 1000 m²)
3 - Pour faire le prorata « officiel » : Prorata des sites // Prorata des bâtiments // Prorata des surfaces =&gt;  Moyenne des 3 prorata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</si>
</sst>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 &quot;€&quot;"/>
    <numFmt numFmtId="165" formatCode="0.0"/>
  </numFmts>
  <fonts count="9" x14ac:knownFonts="1">
    <font>
      <sz val="11"/>
      <color theme="1"/>
      <name val="Calibri"/>
      <family val="2"/>
      <scheme val="minor"/>
    </font>
    <font>
      <sz val="11"/>
      <color theme="1"/>
      <name val="Calibri"/>
      <family val="2"/>
      <scheme val="minor"/>
    </font>
    <font>
      <sz val="11"/>
      <color theme="1"/>
      <name val="Calibri"/>
      <scheme val="minor"/>
    </font>
    <font>
      <u/>
      <sz val="11"/>
      <color theme="10"/>
      <name val="Calibri"/>
      <family val="2"/>
      <scheme val="minor"/>
    </font>
    <font>
      <u/>
      <sz val="11"/>
      <color rgb="FF0000FF"/>
      <name val="Arial"/>
      <family val="2"/>
      <charset val="1"/>
    </font>
    <font>
      <sz val="11"/>
      <name val="Calibri"/>
      <family val="2"/>
      <scheme val="minor"/>
    </font>
    <font>
      <sz val="22"/>
      <color theme="1"/>
      <name val="Calibri"/>
      <family val="2"/>
      <scheme val="minor"/>
    </font>
    <font>
      <sz val="9"/>
      <color theme="1"/>
      <name val="Calibri"/>
      <family val="2"/>
      <scheme val="minor"/>
    </font>
    <font>
      <sz val="10.5"/>
      <color theme="1"/>
      <name val="Calibri"/>
      <family val="2"/>
      <scheme val="minor"/>
    </font>
  </fonts>
  <fills count="16">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
      <patternFill patternType="solid">
        <fgColor theme="5" tint="0.59999389629810485"/>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bgColor indexed="64"/>
      </patternFill>
    </fill>
    <fill>
      <patternFill patternType="solid">
        <fgColor rgb="FFFF0000"/>
        <bgColor indexed="64"/>
      </patternFill>
    </fill>
    <fill>
      <patternFill patternType="solid">
        <fgColor theme="5" tint="-0.249977111117893"/>
        <bgColor indexed="64"/>
      </patternFill>
    </fill>
    <fill>
      <patternFill patternType="solid">
        <fgColor theme="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0" applyBorder="0" applyProtection="0"/>
  </cellStyleXfs>
  <cellXfs count="118">
    <xf numFmtId="0" fontId="0" fillId="0" borderId="0" xfId="0"/>
    <xf numFmtId="0" fontId="0" fillId="0" borderId="0" xfId="0" applyAlignment="1">
      <alignment horizontal="center" vertical="center"/>
    </xf>
    <xf numFmtId="3" fontId="0" fillId="0" borderId="1" xfId="0" applyNumberFormat="1" applyBorder="1" applyAlignment="1">
      <alignment horizontal="center" vertical="center"/>
    </xf>
    <xf numFmtId="0" fontId="0" fillId="0" borderId="0" xfId="0" applyAlignment="1">
      <alignment vertical="center"/>
    </xf>
    <xf numFmtId="9" fontId="0" fillId="3" borderId="1" xfId="2" applyFont="1" applyFill="1" applyBorder="1" applyAlignment="1">
      <alignment horizontal="center" vertical="center"/>
    </xf>
    <xf numFmtId="0" fontId="0" fillId="4" borderId="1" xfId="0" applyFill="1" applyBorder="1" applyAlignment="1">
      <alignment horizontal="center" vertical="center"/>
    </xf>
    <xf numFmtId="9" fontId="0" fillId="4" borderId="1" xfId="2" applyFont="1" applyFill="1" applyBorder="1" applyAlignment="1">
      <alignment horizontal="center" vertical="center"/>
    </xf>
    <xf numFmtId="3" fontId="0" fillId="3" borderId="1" xfId="0" applyNumberFormat="1" applyFill="1" applyBorder="1" applyAlignment="1">
      <alignment horizontal="center" vertical="center"/>
    </xf>
    <xf numFmtId="3" fontId="0" fillId="4" borderId="1" xfId="0" applyNumberFormat="1" applyFill="1" applyBorder="1" applyAlignment="1">
      <alignment horizontal="center" vertical="center"/>
    </xf>
    <xf numFmtId="164" fontId="0" fillId="3" borderId="1" xfId="0" applyNumberFormat="1" applyFill="1" applyBorder="1" applyAlignment="1">
      <alignment horizontal="center" vertical="center"/>
    </xf>
    <xf numFmtId="164" fontId="0" fillId="4" borderId="1" xfId="0" applyNumberFormat="1" applyFill="1" applyBorder="1" applyAlignment="1">
      <alignment horizontal="center" vertical="center"/>
    </xf>
    <xf numFmtId="164" fontId="0" fillId="5" borderId="1" xfId="1" applyNumberFormat="1" applyFont="1" applyFill="1" applyBorder="1" applyAlignment="1">
      <alignment horizontal="center" vertical="center"/>
    </xf>
    <xf numFmtId="164" fontId="0" fillId="6" borderId="1" xfId="0" applyNumberFormat="1" applyFill="1" applyBorder="1" applyAlignment="1">
      <alignment horizontal="center" vertical="center"/>
    </xf>
    <xf numFmtId="9" fontId="0" fillId="6" borderId="1" xfId="2" applyFont="1" applyFill="1" applyBorder="1" applyAlignment="1">
      <alignment horizontal="center" vertical="center"/>
    </xf>
    <xf numFmtId="1" fontId="0" fillId="0" borderId="1" xfId="0" applyNumberFormat="1" applyBorder="1" applyAlignment="1">
      <alignment horizontal="center" vertical="center"/>
    </xf>
    <xf numFmtId="0" fontId="0" fillId="0" borderId="0" xfId="0" applyFill="1" applyBorder="1" applyAlignment="1">
      <alignment vertical="center"/>
    </xf>
    <xf numFmtId="0" fontId="0" fillId="0" borderId="0" xfId="0" applyAlignment="1">
      <alignment horizontal="left" vertical="center"/>
    </xf>
    <xf numFmtId="1" fontId="0" fillId="7" borderId="1" xfId="0" applyNumberFormat="1" applyFill="1" applyBorder="1" applyAlignment="1">
      <alignment horizontal="center" vertical="center"/>
    </xf>
    <xf numFmtId="9" fontId="0" fillId="3" borderId="1" xfId="0" applyNumberFormat="1" applyFill="1" applyBorder="1" applyAlignment="1">
      <alignment horizontal="center" vertical="center"/>
    </xf>
    <xf numFmtId="1" fontId="0" fillId="7" borderId="1" xfId="0" applyNumberFormat="1" applyFill="1" applyBorder="1" applyAlignment="1">
      <alignment horizontal="center" vertical="center" wrapText="1"/>
    </xf>
    <xf numFmtId="0" fontId="0" fillId="9" borderId="1" xfId="0" applyFill="1" applyBorder="1" applyAlignment="1">
      <alignment horizontal="center" vertical="center"/>
    </xf>
    <xf numFmtId="0" fontId="0" fillId="11" borderId="1" xfId="0" applyFill="1" applyBorder="1" applyAlignment="1">
      <alignment horizontal="center" vertical="center"/>
    </xf>
    <xf numFmtId="165" fontId="0" fillId="3" borderId="1" xfId="2" applyNumberFormat="1" applyFont="1" applyFill="1" applyBorder="1" applyAlignment="1">
      <alignment horizontal="center" vertical="center"/>
    </xf>
    <xf numFmtId="164" fontId="0" fillId="7" borderId="1" xfId="0" applyNumberFormat="1" applyFill="1" applyBorder="1" applyAlignment="1">
      <alignment horizontal="center" vertical="center"/>
    </xf>
    <xf numFmtId="1" fontId="0" fillId="10" borderId="1" xfId="0" applyNumberFormat="1" applyFill="1" applyBorder="1" applyAlignment="1">
      <alignment horizontal="center" vertical="center"/>
    </xf>
    <xf numFmtId="0" fontId="0" fillId="12" borderId="2" xfId="0" applyFill="1" applyBorder="1" applyAlignment="1">
      <alignment horizontal="center" vertical="center"/>
    </xf>
    <xf numFmtId="164" fontId="0" fillId="2" borderId="1" xfId="0" applyNumberFormat="1" applyFill="1" applyBorder="1" applyAlignment="1">
      <alignment horizontal="center" vertical="center"/>
    </xf>
    <xf numFmtId="0" fontId="0" fillId="12"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6" borderId="0" xfId="0" applyFill="1"/>
    <xf numFmtId="0" fontId="0" fillId="13" borderId="1" xfId="0" applyFill="1" applyBorder="1" applyAlignment="1">
      <alignment horizontal="center" vertical="center" wrapText="1"/>
    </xf>
    <xf numFmtId="0" fontId="0" fillId="0" borderId="0" xfId="0" applyAlignment="1"/>
    <xf numFmtId="0" fontId="0" fillId="3" borderId="1" xfId="0" applyFill="1" applyBorder="1" applyAlignment="1">
      <alignment horizontal="center"/>
    </xf>
    <xf numFmtId="0" fontId="0" fillId="0" borderId="1" xfId="0" applyBorder="1" applyAlignment="1">
      <alignment horizontal="center"/>
    </xf>
    <xf numFmtId="165" fontId="0" fillId="3" borderId="1" xfId="0" applyNumberFormat="1" applyFill="1" applyBorder="1" applyAlignment="1">
      <alignment horizontal="center" vertical="center"/>
    </xf>
    <xf numFmtId="1" fontId="0" fillId="3" borderId="1" xfId="0" applyNumberFormat="1" applyFill="1" applyBorder="1" applyAlignment="1">
      <alignment horizontal="center" vertical="center"/>
    </xf>
    <xf numFmtId="164" fontId="0" fillId="13" borderId="1" xfId="0" applyNumberFormat="1" applyFill="1" applyBorder="1" applyAlignment="1">
      <alignment horizontal="center" vertical="center"/>
    </xf>
    <xf numFmtId="9" fontId="0" fillId="13" borderId="1" xfId="2" applyFont="1" applyFill="1" applyBorder="1" applyAlignment="1">
      <alignment horizontal="center" vertical="center"/>
    </xf>
    <xf numFmtId="164" fontId="0" fillId="13" borderId="1" xfId="0" applyNumberFormat="1" applyFill="1" applyBorder="1" applyAlignment="1">
      <alignment horizontal="center"/>
    </xf>
    <xf numFmtId="0" fontId="7" fillId="0" borderId="0" xfId="0" applyFont="1" applyAlignment="1">
      <alignment horizontal="left" vertical="center"/>
    </xf>
    <xf numFmtId="0" fontId="7" fillId="0" borderId="0" xfId="0" applyFont="1"/>
    <xf numFmtId="0" fontId="7" fillId="0" borderId="2" xfId="0" applyFont="1" applyBorder="1" applyAlignment="1">
      <alignment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0" fillId="13" borderId="1" xfId="0" applyFill="1" applyBorder="1" applyAlignment="1">
      <alignment horizontal="center" vertical="center"/>
    </xf>
    <xf numFmtId="3" fontId="0" fillId="10" borderId="1" xfId="0" applyNumberFormat="1" applyFill="1" applyBorder="1" applyAlignment="1">
      <alignment horizontal="center" vertical="center"/>
    </xf>
    <xf numFmtId="1" fontId="0" fillId="13" borderId="1" xfId="0" applyNumberFormat="1" applyFill="1" applyBorder="1" applyAlignment="1">
      <alignment horizontal="center" vertical="center"/>
    </xf>
    <xf numFmtId="9" fontId="0" fillId="3" borderId="1" xfId="0" applyNumberFormat="1" applyFill="1" applyBorder="1" applyAlignment="1">
      <alignment horizontal="center"/>
    </xf>
    <xf numFmtId="3" fontId="0" fillId="0" borderId="0" xfId="0" applyNumberFormat="1" applyAlignment="1"/>
    <xf numFmtId="3" fontId="0" fillId="7" borderId="1" xfId="0" applyNumberFormat="1" applyFill="1" applyBorder="1" applyAlignment="1">
      <alignment horizontal="center"/>
    </xf>
    <xf numFmtId="0" fontId="8" fillId="0" borderId="0" xfId="0" applyFont="1" applyAlignment="1"/>
    <xf numFmtId="0" fontId="8" fillId="7"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0" borderId="0" xfId="0" applyFont="1"/>
    <xf numFmtId="0" fontId="8" fillId="8" borderId="1" xfId="0" applyFont="1" applyFill="1" applyBorder="1" applyAlignment="1">
      <alignment horizontal="center" vertical="center" wrapText="1"/>
    </xf>
    <xf numFmtId="3" fontId="0" fillId="8" borderId="1" xfId="0" applyNumberFormat="1" applyFill="1" applyBorder="1" applyAlignment="1">
      <alignment horizontal="center"/>
    </xf>
    <xf numFmtId="0" fontId="8" fillId="14" borderId="1" xfId="0" applyFont="1" applyFill="1" applyBorder="1" applyAlignment="1">
      <alignment horizontal="center" vertical="center" wrapText="1"/>
    </xf>
    <xf numFmtId="3" fontId="0" fillId="14" borderId="1" xfId="0" applyNumberFormat="1" applyFill="1" applyBorder="1" applyAlignment="1">
      <alignment horizontal="center"/>
    </xf>
    <xf numFmtId="0" fontId="0" fillId="6" borderId="0" xfId="0" applyFill="1" applyAlignment="1">
      <alignment wrapText="1"/>
    </xf>
    <xf numFmtId="0" fontId="0" fillId="0" borderId="0" xfId="0" applyAlignment="1">
      <alignment wrapText="1"/>
    </xf>
    <xf numFmtId="3" fontId="0" fillId="3" borderId="1" xfId="0" applyNumberFormat="1" applyFill="1" applyBorder="1" applyAlignment="1">
      <alignment horizontal="center"/>
    </xf>
    <xf numFmtId="0" fontId="0" fillId="7" borderId="1" xfId="0" applyFill="1" applyBorder="1" applyAlignment="1">
      <alignment horizontal="center" vertical="center"/>
    </xf>
    <xf numFmtId="0" fontId="0" fillId="8" borderId="8" xfId="0" applyFill="1" applyBorder="1" applyAlignment="1">
      <alignment horizontal="center" vertical="center"/>
    </xf>
    <xf numFmtId="0" fontId="0" fillId="8" borderId="9" xfId="0" applyFill="1" applyBorder="1" applyAlignment="1">
      <alignment horizontal="center" vertical="center"/>
    </xf>
    <xf numFmtId="0" fontId="0" fillId="8" borderId="10" xfId="0" applyFill="1" applyBorder="1" applyAlignment="1">
      <alignment horizontal="center" vertical="center"/>
    </xf>
    <xf numFmtId="0" fontId="0" fillId="6" borderId="0" xfId="0" applyFill="1" applyAlignment="1">
      <alignment horizontal="center"/>
    </xf>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15" borderId="8" xfId="0" applyFont="1" applyFill="1" applyBorder="1" applyAlignment="1">
      <alignment horizontal="center"/>
    </xf>
    <xf numFmtId="0" fontId="5" fillId="15" borderId="9" xfId="0" applyFont="1" applyFill="1" applyBorder="1" applyAlignment="1">
      <alignment horizontal="center"/>
    </xf>
    <xf numFmtId="0" fontId="5" fillId="15" borderId="10" xfId="0" applyFont="1" applyFill="1" applyBorder="1" applyAlignment="1">
      <alignment horizontal="center"/>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0" fillId="7" borderId="5" xfId="0" applyFill="1" applyBorder="1" applyAlignment="1">
      <alignment horizontal="center" vertical="center" wrapText="1"/>
    </xf>
    <xf numFmtId="0" fontId="0" fillId="7" borderId="4" xfId="0" applyFill="1" applyBorder="1" applyAlignment="1">
      <alignment horizontal="center" vertical="center" wrapText="1"/>
    </xf>
    <xf numFmtId="0" fontId="0" fillId="7" borderId="1" xfId="0" applyFill="1" applyBorder="1" applyAlignment="1">
      <alignment horizontal="center" vertical="center" wrapText="1"/>
    </xf>
    <xf numFmtId="0" fontId="0" fillId="0" borderId="1" xfId="0" applyBorder="1" applyAlignment="1">
      <alignment horizontal="center" vertical="center"/>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0" fillId="2" borderId="1" xfId="0" applyFill="1" applyBorder="1" applyAlignment="1">
      <alignment horizontal="center" vertical="center"/>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8" borderId="2" xfId="0" applyFill="1" applyBorder="1" applyAlignment="1">
      <alignment horizontal="center" vertical="center"/>
    </xf>
    <xf numFmtId="0" fontId="0" fillId="8" borderId="13" xfId="0" applyFill="1" applyBorder="1" applyAlignment="1">
      <alignment horizontal="center" vertical="center"/>
    </xf>
    <xf numFmtId="0" fontId="0" fillId="8" borderId="3" xfId="0" applyFill="1" applyBorder="1" applyAlignment="1">
      <alignment horizontal="center" vertical="center"/>
    </xf>
    <xf numFmtId="0" fontId="0" fillId="8" borderId="1" xfId="0" applyFill="1" applyBorder="1" applyAlignment="1">
      <alignment horizontal="center" vertical="center"/>
    </xf>
    <xf numFmtId="0" fontId="0" fillId="6" borderId="20" xfId="0" applyFill="1" applyBorder="1" applyAlignment="1">
      <alignment horizontal="center"/>
    </xf>
    <xf numFmtId="0" fontId="0" fillId="6" borderId="0" xfId="0" applyFill="1" applyBorder="1" applyAlignment="1">
      <alignment horizontal="center"/>
    </xf>
    <xf numFmtId="0" fontId="0" fillId="12" borderId="1" xfId="0"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0" fillId="5" borderId="1" xfId="0" applyFill="1" applyBorder="1" applyAlignment="1">
      <alignment horizontal="center" vertical="center"/>
    </xf>
  </cellXfs>
  <cellStyles count="6">
    <cellStyle name="Lien hypertexte 2" xfId="4"/>
    <cellStyle name="Lien hypertexte 4" xfId="5"/>
    <cellStyle name="Milliers" xfId="1" builtinId="3"/>
    <cellStyle name="Normal" xfId="0" builtinId="0"/>
    <cellStyle name="Normal 2" xfId="3"/>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28</xdr:col>
      <xdr:colOff>679823</xdr:colOff>
      <xdr:row>35</xdr:row>
      <xdr:rowOff>74707</xdr:rowOff>
    </xdr:from>
    <xdr:to>
      <xdr:col>34</xdr:col>
      <xdr:colOff>314</xdr:colOff>
      <xdr:row>42</xdr:row>
      <xdr:rowOff>136578</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43823" y="6828119"/>
          <a:ext cx="3272432" cy="1189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505314</xdr:colOff>
      <xdr:row>31</xdr:row>
      <xdr:rowOff>31750</xdr:rowOff>
    </xdr:from>
    <xdr:to>
      <xdr:col>27</xdr:col>
      <xdr:colOff>630831</xdr:colOff>
      <xdr:row>37</xdr:row>
      <xdr:rowOff>127000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11814" y="5778500"/>
          <a:ext cx="2741717" cy="996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63399</xdr:colOff>
      <xdr:row>33</xdr:row>
      <xdr:rowOff>57150</xdr:rowOff>
    </xdr:from>
    <xdr:to>
      <xdr:col>27</xdr:col>
      <xdr:colOff>806450</xdr:colOff>
      <xdr:row>39</xdr:row>
      <xdr:rowOff>31750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66799" y="5962650"/>
          <a:ext cx="2654401" cy="965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26</xdr:col>
      <xdr:colOff>257259</xdr:colOff>
      <xdr:row>38</xdr:row>
      <xdr:rowOff>116540</xdr:rowOff>
    </xdr:from>
    <xdr:to>
      <xdr:col>30</xdr:col>
      <xdr:colOff>40340</xdr:colOff>
      <xdr:row>43</xdr:row>
      <xdr:rowOff>160990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41318" y="7041775"/>
          <a:ext cx="2659257" cy="978274"/>
        </a:xfrm>
        <a:prstGeom prst="rect">
          <a:avLst/>
        </a:prstGeom>
      </xdr:spPr>
    </xdr:pic>
    <xdr:clientData/>
  </xdr:twoCellAnchor>
  <xdr:twoCellAnchor editAs="oneCell">
    <xdr:from>
      <xdr:col>0</xdr:col>
      <xdr:colOff>165846</xdr:colOff>
      <xdr:row>33</xdr:row>
      <xdr:rowOff>32408</xdr:rowOff>
    </xdr:from>
    <xdr:to>
      <xdr:col>7</xdr:col>
      <xdr:colOff>567763</xdr:colOff>
      <xdr:row>45</xdr:row>
      <xdr:rowOff>49633</xdr:rowOff>
    </xdr:to>
    <xdr:pic>
      <xdr:nvPicPr>
        <xdr:cNvPr id="3" name="Imag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846" y="6023820"/>
          <a:ext cx="4764741" cy="2258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770963</xdr:colOff>
      <xdr:row>33</xdr:row>
      <xdr:rowOff>29881</xdr:rowOff>
    </xdr:from>
    <xdr:to>
      <xdr:col>9</xdr:col>
      <xdr:colOff>819062</xdr:colOff>
      <xdr:row>45</xdr:row>
      <xdr:rowOff>64140</xdr:rowOff>
    </xdr:to>
    <xdr:pic>
      <xdr:nvPicPr>
        <xdr:cNvPr id="4" name="Imag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29198" y="6021293"/>
          <a:ext cx="1796216" cy="2275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186767</xdr:colOff>
      <xdr:row>32</xdr:row>
      <xdr:rowOff>101155</xdr:rowOff>
    </xdr:from>
    <xdr:to>
      <xdr:col>19</xdr:col>
      <xdr:colOff>224119</xdr:colOff>
      <xdr:row>44</xdr:row>
      <xdr:rowOff>159452</xdr:rowOff>
    </xdr:to>
    <xdr:pic>
      <xdr:nvPicPr>
        <xdr:cNvPr id="5" name="Imag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18061" y="5905802"/>
          <a:ext cx="1830293" cy="2299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133350</xdr:colOff>
      <xdr:row>43</xdr:row>
      <xdr:rowOff>40608</xdr:rowOff>
    </xdr:from>
    <xdr:to>
      <xdr:col>30</xdr:col>
      <xdr:colOff>635000</xdr:colOff>
      <xdr:row>48</xdr:row>
      <xdr:rowOff>110430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7500" y="6022308"/>
          <a:ext cx="2025650" cy="7365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815413</xdr:colOff>
      <xdr:row>29</xdr:row>
      <xdr:rowOff>97117</xdr:rowOff>
    </xdr:from>
    <xdr:to>
      <xdr:col>25</xdr:col>
      <xdr:colOff>721902</xdr:colOff>
      <xdr:row>34</xdr:row>
      <xdr:rowOff>102720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31463" y="5869267"/>
          <a:ext cx="2554439" cy="926353"/>
        </a:xfrm>
        <a:prstGeom prst="rect">
          <a:avLst/>
        </a:prstGeom>
      </xdr:spPr>
    </xdr:pic>
    <xdr:clientData/>
  </xdr:twoCellAnchor>
  <xdr:twoCellAnchor>
    <xdr:from>
      <xdr:col>6</xdr:col>
      <xdr:colOff>184150</xdr:colOff>
      <xdr:row>21</xdr:row>
      <xdr:rowOff>12700</xdr:rowOff>
    </xdr:from>
    <xdr:to>
      <xdr:col>6</xdr:col>
      <xdr:colOff>704850</xdr:colOff>
      <xdr:row>24</xdr:row>
      <xdr:rowOff>69850</xdr:rowOff>
    </xdr:to>
    <xdr:sp macro="" textlink="">
      <xdr:nvSpPr>
        <xdr:cNvPr id="3" name="Moins 2"/>
        <xdr:cNvSpPr/>
      </xdr:nvSpPr>
      <xdr:spPr>
        <a:xfrm>
          <a:off x="3562350" y="4311650"/>
          <a:ext cx="520700" cy="609600"/>
        </a:xfrm>
        <a:prstGeom prst="mathMinus">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184150</xdr:colOff>
      <xdr:row>21</xdr:row>
      <xdr:rowOff>82550</xdr:rowOff>
    </xdr:from>
    <xdr:to>
      <xdr:col>9</xdr:col>
      <xdr:colOff>692150</xdr:colOff>
      <xdr:row>24</xdr:row>
      <xdr:rowOff>38100</xdr:rowOff>
    </xdr:to>
    <xdr:sp macro="" textlink="">
      <xdr:nvSpPr>
        <xdr:cNvPr id="4" name="Égal 3"/>
        <xdr:cNvSpPr/>
      </xdr:nvSpPr>
      <xdr:spPr>
        <a:xfrm>
          <a:off x="6229350" y="4381500"/>
          <a:ext cx="508000" cy="508000"/>
        </a:xfrm>
        <a:prstGeom prst="mathEqual">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20</xdr:col>
      <xdr:colOff>184150</xdr:colOff>
      <xdr:row>21</xdr:row>
      <xdr:rowOff>12700</xdr:rowOff>
    </xdr:from>
    <xdr:to>
      <xdr:col>20</xdr:col>
      <xdr:colOff>704850</xdr:colOff>
      <xdr:row>24</xdr:row>
      <xdr:rowOff>69850</xdr:rowOff>
    </xdr:to>
    <xdr:sp macro="" textlink="">
      <xdr:nvSpPr>
        <xdr:cNvPr id="5" name="Moins 4"/>
        <xdr:cNvSpPr/>
      </xdr:nvSpPr>
      <xdr:spPr>
        <a:xfrm>
          <a:off x="3562350" y="4311650"/>
          <a:ext cx="520700" cy="609600"/>
        </a:xfrm>
        <a:prstGeom prst="mathMinus">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FR" sz="1100"/>
        </a:p>
      </xdr:txBody>
    </xdr:sp>
    <xdr:clientData/>
  </xdr:twoCellAnchor>
  <xdr:twoCellAnchor>
    <xdr:from>
      <xdr:col>23</xdr:col>
      <xdr:colOff>184150</xdr:colOff>
      <xdr:row>21</xdr:row>
      <xdr:rowOff>82550</xdr:rowOff>
    </xdr:from>
    <xdr:to>
      <xdr:col>23</xdr:col>
      <xdr:colOff>692150</xdr:colOff>
      <xdr:row>24</xdr:row>
      <xdr:rowOff>38100</xdr:rowOff>
    </xdr:to>
    <xdr:sp macro="" textlink="">
      <xdr:nvSpPr>
        <xdr:cNvPr id="6" name="Égal 5"/>
        <xdr:cNvSpPr/>
      </xdr:nvSpPr>
      <xdr:spPr>
        <a:xfrm>
          <a:off x="6229350" y="4381500"/>
          <a:ext cx="508000" cy="508000"/>
        </a:xfrm>
        <a:prstGeom prst="mathEqual">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0"/>
  <sheetViews>
    <sheetView showGridLines="0" tabSelected="1" zoomScale="55" zoomScaleNormal="55" workbookViewId="0">
      <selection activeCell="P11" sqref="P11"/>
    </sheetView>
  </sheetViews>
  <sheetFormatPr baseColWidth="10" defaultRowHeight="14.5" x14ac:dyDescent="0.35"/>
  <cols>
    <col min="1" max="1" width="3.1796875" customWidth="1"/>
    <col min="2" max="2" width="6.54296875" customWidth="1"/>
    <col min="3" max="3" width="14.26953125" customWidth="1"/>
    <col min="4" max="4" width="2" customWidth="1"/>
    <col min="8" max="8" width="2" customWidth="1"/>
    <col min="12" max="12" width="2" customWidth="1"/>
    <col min="16" max="16" width="13.08984375" customWidth="1"/>
    <col min="17" max="17" width="6.36328125" customWidth="1"/>
    <col min="18" max="18" width="2.08984375" customWidth="1"/>
    <col min="19" max="19" width="6.36328125" customWidth="1"/>
    <col min="21" max="21" width="14.26953125" customWidth="1"/>
    <col min="22" max="22" width="2" customWidth="1"/>
    <col min="26" max="26" width="2" customWidth="1"/>
    <col min="30" max="30" width="2" customWidth="1"/>
  </cols>
  <sheetData>
    <row r="1" spans="1:34" ht="14" customHeight="1" x14ac:dyDescent="0.35">
      <c r="A1" s="63" t="s">
        <v>110</v>
      </c>
      <c r="B1" t="s">
        <v>96</v>
      </c>
    </row>
    <row r="2" spans="1:34" ht="15" thickBot="1" x14ac:dyDescent="0.4"/>
    <row r="3" spans="1:34" ht="15" thickBot="1" x14ac:dyDescent="0.4">
      <c r="B3" s="71" t="s">
        <v>39</v>
      </c>
      <c r="C3" s="72"/>
      <c r="D3" s="72"/>
      <c r="E3" s="72"/>
      <c r="F3" s="72"/>
      <c r="G3" s="72"/>
      <c r="H3" s="72"/>
      <c r="I3" s="72"/>
      <c r="J3" s="72"/>
      <c r="K3" s="72"/>
      <c r="L3" s="72"/>
      <c r="M3" s="72"/>
      <c r="N3" s="72"/>
      <c r="O3" s="72"/>
      <c r="P3" s="73"/>
      <c r="R3" s="70"/>
      <c r="T3" s="74" t="s">
        <v>40</v>
      </c>
      <c r="U3" s="75"/>
      <c r="V3" s="75"/>
      <c r="W3" s="75"/>
      <c r="X3" s="75"/>
      <c r="Y3" s="75"/>
      <c r="Z3" s="75"/>
      <c r="AA3" s="75"/>
      <c r="AB3" s="75"/>
      <c r="AC3" s="75"/>
      <c r="AD3" s="75"/>
      <c r="AE3" s="75"/>
      <c r="AF3" s="75"/>
      <c r="AG3" s="75"/>
      <c r="AH3" s="76"/>
    </row>
    <row r="4" spans="1:34" ht="15" thickBot="1" x14ac:dyDescent="0.4">
      <c r="R4" s="70"/>
    </row>
    <row r="5" spans="1:34" ht="15" thickBot="1" x14ac:dyDescent="0.4">
      <c r="B5" s="67" t="s">
        <v>11</v>
      </c>
      <c r="C5" s="68"/>
      <c r="D5" s="68"/>
      <c r="E5" s="68"/>
      <c r="F5" s="68"/>
      <c r="G5" s="68"/>
      <c r="H5" s="68"/>
      <c r="I5" s="68"/>
      <c r="J5" s="68"/>
      <c r="K5" s="68"/>
      <c r="L5" s="68"/>
      <c r="M5" s="68"/>
      <c r="N5" s="68"/>
      <c r="O5" s="69"/>
      <c r="R5" s="70"/>
      <c r="T5" s="67" t="s">
        <v>11</v>
      </c>
      <c r="U5" s="68"/>
      <c r="V5" s="68"/>
      <c r="W5" s="68"/>
      <c r="X5" s="68"/>
      <c r="Y5" s="68"/>
      <c r="Z5" s="68"/>
      <c r="AA5" s="68"/>
      <c r="AB5" s="68"/>
      <c r="AC5" s="68"/>
      <c r="AD5" s="68"/>
      <c r="AE5" s="68"/>
      <c r="AF5" s="68"/>
      <c r="AG5" s="69"/>
    </row>
    <row r="6" spans="1:34" x14ac:dyDescent="0.35">
      <c r="B6" s="3"/>
      <c r="C6" s="3"/>
      <c r="D6" s="3"/>
      <c r="E6" s="3"/>
      <c r="F6" s="3"/>
      <c r="G6" s="3"/>
      <c r="H6" s="3"/>
      <c r="I6" s="3"/>
      <c r="J6" s="3"/>
      <c r="K6" s="3"/>
      <c r="L6" s="3"/>
      <c r="M6" s="3"/>
      <c r="N6" s="3"/>
      <c r="O6" s="3"/>
      <c r="R6" s="34"/>
      <c r="T6" s="3"/>
      <c r="U6" s="3"/>
      <c r="V6" s="3"/>
      <c r="W6" s="3"/>
      <c r="X6" s="3"/>
      <c r="Y6" s="3"/>
      <c r="Z6" s="3"/>
      <c r="AA6" s="3"/>
      <c r="AB6" s="3"/>
      <c r="AC6" s="3"/>
      <c r="AD6" s="3"/>
      <c r="AE6" s="3"/>
      <c r="AF6" s="3"/>
      <c r="AG6" s="3"/>
    </row>
    <row r="7" spans="1:34" x14ac:dyDescent="0.35">
      <c r="B7" s="3"/>
      <c r="C7" s="80" t="s">
        <v>47</v>
      </c>
      <c r="D7" s="3"/>
      <c r="E7" s="82" t="s">
        <v>5</v>
      </c>
      <c r="F7" s="82"/>
      <c r="G7" s="82"/>
      <c r="H7" s="3"/>
      <c r="I7" s="82" t="s">
        <v>9</v>
      </c>
      <c r="J7" s="82"/>
      <c r="K7" s="82"/>
      <c r="L7" s="3"/>
      <c r="M7" s="66" t="s">
        <v>10</v>
      </c>
      <c r="N7" s="66"/>
      <c r="O7" s="66"/>
      <c r="R7" s="34"/>
      <c r="T7" s="3"/>
      <c r="U7" s="80" t="s">
        <v>47</v>
      </c>
      <c r="V7" s="3"/>
      <c r="W7" s="82" t="s">
        <v>5</v>
      </c>
      <c r="X7" s="82"/>
      <c r="Y7" s="82"/>
      <c r="Z7" s="3"/>
      <c r="AA7" s="82" t="s">
        <v>9</v>
      </c>
      <c r="AB7" s="82"/>
      <c r="AC7" s="82"/>
      <c r="AD7" s="3"/>
      <c r="AE7" s="66" t="s">
        <v>10</v>
      </c>
      <c r="AF7" s="66"/>
      <c r="AG7" s="66"/>
    </row>
    <row r="8" spans="1:34" ht="29" x14ac:dyDescent="0.35">
      <c r="B8" s="3"/>
      <c r="C8" s="81"/>
      <c r="D8" s="3"/>
      <c r="E8" s="29" t="s">
        <v>6</v>
      </c>
      <c r="F8" s="29" t="s">
        <v>7</v>
      </c>
      <c r="G8" s="29" t="s">
        <v>8</v>
      </c>
      <c r="H8" s="3"/>
      <c r="I8" s="29" t="s">
        <v>6</v>
      </c>
      <c r="J8" s="29" t="s">
        <v>7</v>
      </c>
      <c r="K8" s="29" t="s">
        <v>8</v>
      </c>
      <c r="L8" s="3"/>
      <c r="M8" s="29" t="s">
        <v>6</v>
      </c>
      <c r="N8" s="29" t="s">
        <v>7</v>
      </c>
      <c r="O8" s="29" t="s">
        <v>8</v>
      </c>
      <c r="R8" s="34"/>
      <c r="T8" s="3"/>
      <c r="U8" s="81"/>
      <c r="V8" s="3"/>
      <c r="W8" s="29" t="s">
        <v>6</v>
      </c>
      <c r="X8" s="29" t="s">
        <v>7</v>
      </c>
      <c r="Y8" s="29" t="s">
        <v>8</v>
      </c>
      <c r="Z8" s="3"/>
      <c r="AA8" s="29" t="s">
        <v>6</v>
      </c>
      <c r="AB8" s="29" t="s">
        <v>7</v>
      </c>
      <c r="AC8" s="29" t="s">
        <v>8</v>
      </c>
      <c r="AD8" s="3"/>
      <c r="AE8" s="29" t="s">
        <v>6</v>
      </c>
      <c r="AF8" s="29" t="s">
        <v>7</v>
      </c>
      <c r="AG8" s="29" t="s">
        <v>8</v>
      </c>
    </row>
    <row r="9" spans="1:34" x14ac:dyDescent="0.35">
      <c r="B9" s="3"/>
      <c r="C9" s="3"/>
      <c r="D9" s="3"/>
      <c r="E9" s="3"/>
      <c r="F9" s="3"/>
      <c r="G9" s="3"/>
      <c r="H9" s="3"/>
      <c r="I9" s="3"/>
      <c r="J9" s="3"/>
      <c r="K9" s="3"/>
      <c r="L9" s="3"/>
      <c r="M9" s="3"/>
      <c r="N9" s="3"/>
      <c r="O9" s="3"/>
      <c r="R9" s="34"/>
      <c r="T9" s="3"/>
      <c r="U9" s="3"/>
      <c r="V9" s="3"/>
      <c r="W9" s="3"/>
      <c r="X9" s="3"/>
      <c r="Y9" s="3"/>
      <c r="Z9" s="3"/>
      <c r="AA9" s="3"/>
      <c r="AB9" s="3"/>
      <c r="AC9" s="3"/>
      <c r="AD9" s="3"/>
      <c r="AE9" s="3"/>
      <c r="AF9" s="3"/>
      <c r="AG9" s="3"/>
    </row>
    <row r="10" spans="1:34" x14ac:dyDescent="0.35">
      <c r="B10" s="25">
        <v>1</v>
      </c>
      <c r="C10" s="117"/>
      <c r="D10" s="3"/>
      <c r="E10" s="33"/>
      <c r="F10" s="33"/>
      <c r="G10" s="2"/>
      <c r="H10" s="1"/>
      <c r="I10" s="33"/>
      <c r="J10" s="33"/>
      <c r="K10" s="2"/>
      <c r="L10" s="3"/>
      <c r="M10" s="32">
        <f>E10-I10</f>
        <v>0</v>
      </c>
      <c r="N10" s="32">
        <f t="shared" ref="M10:O16" si="0">F10-J10</f>
        <v>0</v>
      </c>
      <c r="O10" s="7">
        <f t="shared" si="0"/>
        <v>0</v>
      </c>
      <c r="R10" s="34"/>
      <c r="T10" s="25">
        <v>1</v>
      </c>
      <c r="U10" s="28" t="s">
        <v>32</v>
      </c>
      <c r="V10" s="3"/>
      <c r="W10" s="31">
        <v>96</v>
      </c>
      <c r="X10" s="31">
        <v>0</v>
      </c>
      <c r="Y10" s="2">
        <v>56398</v>
      </c>
      <c r="Z10" s="1"/>
      <c r="AA10" s="31">
        <v>19</v>
      </c>
      <c r="AB10" s="31">
        <v>0</v>
      </c>
      <c r="AC10" s="2">
        <v>45509</v>
      </c>
      <c r="AD10" s="3"/>
      <c r="AE10" s="32">
        <f>W10-AA10</f>
        <v>77</v>
      </c>
      <c r="AF10" s="32">
        <f t="shared" ref="AF10:AF16" si="1">X10-AB10</f>
        <v>0</v>
      </c>
      <c r="AG10" s="7">
        <f t="shared" ref="AG10:AG16" si="2">Y10-AC10</f>
        <v>10889</v>
      </c>
    </row>
    <row r="11" spans="1:34" x14ac:dyDescent="0.35">
      <c r="B11" s="25">
        <v>2</v>
      </c>
      <c r="C11" s="117"/>
      <c r="D11" s="3"/>
      <c r="E11" s="33"/>
      <c r="F11" s="33"/>
      <c r="G11" s="2"/>
      <c r="H11" s="1"/>
      <c r="I11" s="33"/>
      <c r="J11" s="33"/>
      <c r="K11" s="2"/>
      <c r="L11" s="3"/>
      <c r="M11" s="32">
        <f t="shared" si="0"/>
        <v>0</v>
      </c>
      <c r="N11" s="32">
        <f t="shared" si="0"/>
        <v>0</v>
      </c>
      <c r="O11" s="7">
        <f t="shared" si="0"/>
        <v>0</v>
      </c>
      <c r="R11" s="34"/>
      <c r="T11" s="25">
        <v>2</v>
      </c>
      <c r="U11" s="28" t="s">
        <v>33</v>
      </c>
      <c r="V11" s="3"/>
      <c r="W11" s="31">
        <v>14</v>
      </c>
      <c r="X11" s="31">
        <v>21</v>
      </c>
      <c r="Y11" s="2">
        <v>20404</v>
      </c>
      <c r="Z11" s="1"/>
      <c r="AA11" s="31">
        <v>8</v>
      </c>
      <c r="AB11" s="31">
        <v>15</v>
      </c>
      <c r="AC11" s="2">
        <v>17851</v>
      </c>
      <c r="AD11" s="3"/>
      <c r="AE11" s="32">
        <f t="shared" ref="AE11:AE16" si="3">W11-AA11</f>
        <v>6</v>
      </c>
      <c r="AF11" s="32">
        <f t="shared" si="1"/>
        <v>6</v>
      </c>
      <c r="AG11" s="7">
        <f t="shared" si="2"/>
        <v>2553</v>
      </c>
    </row>
    <row r="12" spans="1:34" x14ac:dyDescent="0.35">
      <c r="B12" s="25">
        <v>3</v>
      </c>
      <c r="C12" s="117"/>
      <c r="D12" s="3"/>
      <c r="E12" s="33"/>
      <c r="F12" s="33"/>
      <c r="G12" s="2"/>
      <c r="H12" s="1"/>
      <c r="I12" s="33"/>
      <c r="J12" s="33"/>
      <c r="K12" s="2"/>
      <c r="L12" s="3"/>
      <c r="M12" s="32">
        <f t="shared" si="0"/>
        <v>0</v>
      </c>
      <c r="N12" s="32">
        <f t="shared" si="0"/>
        <v>0</v>
      </c>
      <c r="O12" s="7">
        <f t="shared" si="0"/>
        <v>0</v>
      </c>
      <c r="R12" s="34"/>
      <c r="T12" s="25">
        <v>3</v>
      </c>
      <c r="U12" s="28" t="s">
        <v>34</v>
      </c>
      <c r="V12" s="3"/>
      <c r="W12" s="31">
        <v>7</v>
      </c>
      <c r="X12" s="31">
        <v>25</v>
      </c>
      <c r="Y12" s="2">
        <v>14626.11</v>
      </c>
      <c r="Z12" s="1"/>
      <c r="AA12" s="31">
        <v>4</v>
      </c>
      <c r="AB12" s="31">
        <v>21</v>
      </c>
      <c r="AC12" s="2">
        <v>12972.6</v>
      </c>
      <c r="AD12" s="3"/>
      <c r="AE12" s="32">
        <f t="shared" si="3"/>
        <v>3</v>
      </c>
      <c r="AF12" s="32">
        <f t="shared" si="1"/>
        <v>4</v>
      </c>
      <c r="AG12" s="7">
        <f t="shared" si="2"/>
        <v>1653.5100000000002</v>
      </c>
    </row>
    <row r="13" spans="1:34" x14ac:dyDescent="0.35">
      <c r="B13" s="25">
        <v>4</v>
      </c>
      <c r="C13" s="117"/>
      <c r="D13" s="3"/>
      <c r="E13" s="33"/>
      <c r="F13" s="33"/>
      <c r="G13" s="2"/>
      <c r="H13" s="1"/>
      <c r="I13" s="33"/>
      <c r="J13" s="33"/>
      <c r="K13" s="2"/>
      <c r="L13" s="3"/>
      <c r="M13" s="32">
        <f t="shared" si="0"/>
        <v>0</v>
      </c>
      <c r="N13" s="32">
        <f t="shared" si="0"/>
        <v>0</v>
      </c>
      <c r="O13" s="7">
        <f t="shared" si="0"/>
        <v>0</v>
      </c>
      <c r="R13" s="34"/>
      <c r="T13" s="25">
        <v>4</v>
      </c>
      <c r="U13" s="28" t="s">
        <v>35</v>
      </c>
      <c r="V13" s="3"/>
      <c r="W13" s="31">
        <v>237</v>
      </c>
      <c r="X13" s="31">
        <v>237</v>
      </c>
      <c r="Y13" s="2">
        <v>37308</v>
      </c>
      <c r="Z13" s="1"/>
      <c r="AA13" s="31">
        <v>5</v>
      </c>
      <c r="AB13" s="31">
        <v>11</v>
      </c>
      <c r="AC13" s="2">
        <v>12092</v>
      </c>
      <c r="AD13" s="3"/>
      <c r="AE13" s="32">
        <f t="shared" si="3"/>
        <v>232</v>
      </c>
      <c r="AF13" s="32">
        <f t="shared" si="1"/>
        <v>226</v>
      </c>
      <c r="AG13" s="7">
        <f t="shared" si="2"/>
        <v>25216</v>
      </c>
    </row>
    <row r="14" spans="1:34" x14ac:dyDescent="0.35">
      <c r="B14" s="25">
        <v>5</v>
      </c>
      <c r="C14" s="117"/>
      <c r="D14" s="3"/>
      <c r="E14" s="33"/>
      <c r="F14" s="33"/>
      <c r="G14" s="2"/>
      <c r="H14" s="1"/>
      <c r="I14" s="33"/>
      <c r="J14" s="33"/>
      <c r="K14" s="2"/>
      <c r="L14" s="3"/>
      <c r="M14" s="32">
        <f t="shared" si="0"/>
        <v>0</v>
      </c>
      <c r="N14" s="32">
        <f t="shared" si="0"/>
        <v>0</v>
      </c>
      <c r="O14" s="7">
        <f t="shared" si="0"/>
        <v>0</v>
      </c>
      <c r="R14" s="34"/>
      <c r="T14" s="25">
        <v>5</v>
      </c>
      <c r="U14" s="28" t="s">
        <v>36</v>
      </c>
      <c r="V14" s="3"/>
      <c r="W14" s="31">
        <v>7</v>
      </c>
      <c r="X14" s="31">
        <v>16</v>
      </c>
      <c r="Y14" s="2">
        <v>5936</v>
      </c>
      <c r="Z14" s="1"/>
      <c r="AA14" s="31">
        <v>0</v>
      </c>
      <c r="AB14" s="31">
        <v>0</v>
      </c>
      <c r="AC14" s="2">
        <v>0</v>
      </c>
      <c r="AD14" s="3"/>
      <c r="AE14" s="32">
        <f t="shared" si="3"/>
        <v>7</v>
      </c>
      <c r="AF14" s="32">
        <f t="shared" si="1"/>
        <v>16</v>
      </c>
      <c r="AG14" s="7">
        <f t="shared" si="2"/>
        <v>5936</v>
      </c>
    </row>
    <row r="15" spans="1:34" x14ac:dyDescent="0.35">
      <c r="B15" s="25">
        <v>6</v>
      </c>
      <c r="C15" s="117"/>
      <c r="D15" s="3"/>
      <c r="E15" s="33"/>
      <c r="F15" s="33"/>
      <c r="G15" s="2"/>
      <c r="H15" s="1"/>
      <c r="I15" s="33"/>
      <c r="J15" s="33"/>
      <c r="K15" s="2"/>
      <c r="L15" s="3"/>
      <c r="M15" s="32">
        <f t="shared" si="0"/>
        <v>0</v>
      </c>
      <c r="N15" s="32">
        <f t="shared" si="0"/>
        <v>0</v>
      </c>
      <c r="O15" s="7">
        <f t="shared" si="0"/>
        <v>0</v>
      </c>
      <c r="R15" s="34"/>
      <c r="T15" s="25">
        <v>6</v>
      </c>
      <c r="U15" s="28" t="s">
        <v>37</v>
      </c>
      <c r="V15" s="3"/>
      <c r="W15" s="31">
        <v>4</v>
      </c>
      <c r="X15" s="31">
        <v>25</v>
      </c>
      <c r="Y15" s="2">
        <v>28500</v>
      </c>
      <c r="Z15" s="1"/>
      <c r="AA15" s="31">
        <v>4</v>
      </c>
      <c r="AB15" s="31">
        <v>9</v>
      </c>
      <c r="AC15" s="2">
        <v>23500</v>
      </c>
      <c r="AD15" s="3"/>
      <c r="AE15" s="32">
        <f t="shared" si="3"/>
        <v>0</v>
      </c>
      <c r="AF15" s="32">
        <f t="shared" si="1"/>
        <v>16</v>
      </c>
      <c r="AG15" s="7">
        <f t="shared" si="2"/>
        <v>5000</v>
      </c>
    </row>
    <row r="16" spans="1:34" x14ac:dyDescent="0.35">
      <c r="B16" s="25">
        <v>7</v>
      </c>
      <c r="C16" s="117"/>
      <c r="D16" s="3"/>
      <c r="E16" s="33"/>
      <c r="F16" s="33"/>
      <c r="G16" s="2"/>
      <c r="H16" s="1"/>
      <c r="I16" s="33"/>
      <c r="J16" s="33"/>
      <c r="K16" s="2"/>
      <c r="L16" s="3"/>
      <c r="M16" s="32">
        <f t="shared" si="0"/>
        <v>0</v>
      </c>
      <c r="N16" s="32">
        <f t="shared" si="0"/>
        <v>0</v>
      </c>
      <c r="O16" s="7">
        <f t="shared" si="0"/>
        <v>0</v>
      </c>
      <c r="R16" s="34"/>
      <c r="T16" s="25">
        <v>7</v>
      </c>
      <c r="U16" s="28" t="s">
        <v>38</v>
      </c>
      <c r="V16" s="3"/>
      <c r="W16" s="31">
        <v>3</v>
      </c>
      <c r="X16" s="31">
        <f>10+3+8</f>
        <v>21</v>
      </c>
      <c r="Y16" s="2">
        <f>5021+2039+487</f>
        <v>7547</v>
      </c>
      <c r="Z16" s="1"/>
      <c r="AA16" s="31">
        <v>2</v>
      </c>
      <c r="AB16" s="31">
        <f>10+8</f>
        <v>18</v>
      </c>
      <c r="AC16" s="2">
        <f>5021+2039</f>
        <v>7060</v>
      </c>
      <c r="AD16" s="3"/>
      <c r="AE16" s="32">
        <f t="shared" si="3"/>
        <v>1</v>
      </c>
      <c r="AF16" s="32">
        <f t="shared" si="1"/>
        <v>3</v>
      </c>
      <c r="AG16" s="7">
        <f t="shared" si="2"/>
        <v>487</v>
      </c>
    </row>
    <row r="17" spans="2:34" x14ac:dyDescent="0.35">
      <c r="B17" s="3"/>
      <c r="C17" s="3"/>
      <c r="D17" s="3"/>
      <c r="E17" s="3"/>
      <c r="F17" s="3"/>
      <c r="G17" s="3"/>
      <c r="H17" s="3"/>
      <c r="I17" s="3"/>
      <c r="J17" s="3"/>
      <c r="K17" s="3"/>
      <c r="L17" s="3"/>
      <c r="M17" s="3"/>
      <c r="N17" s="3"/>
      <c r="O17" s="3"/>
      <c r="R17" s="34"/>
      <c r="T17" s="3"/>
      <c r="U17" s="3"/>
      <c r="V17" s="3"/>
      <c r="W17" s="3"/>
      <c r="X17" s="3"/>
      <c r="Y17" s="3"/>
      <c r="Z17" s="3"/>
      <c r="AA17" s="3"/>
      <c r="AB17" s="3"/>
      <c r="AC17" s="3"/>
      <c r="AD17" s="3"/>
      <c r="AE17" s="3"/>
      <c r="AF17" s="3"/>
      <c r="AG17" s="3"/>
    </row>
    <row r="18" spans="2:34" x14ac:dyDescent="0.35">
      <c r="B18" s="3"/>
      <c r="C18" s="30" t="s">
        <v>0</v>
      </c>
      <c r="D18" s="3"/>
      <c r="E18" s="5">
        <f>SUM(E10:E16)</f>
        <v>0</v>
      </c>
      <c r="F18" s="5">
        <f>SUM(F10:F16)</f>
        <v>0</v>
      </c>
      <c r="G18" s="8">
        <f>SUM(G10:G16)</f>
        <v>0</v>
      </c>
      <c r="H18" s="1"/>
      <c r="I18" s="5">
        <f>SUM(I10:I16)</f>
        <v>0</v>
      </c>
      <c r="J18" s="5">
        <f>SUM(J10:J16)</f>
        <v>0</v>
      </c>
      <c r="K18" s="8">
        <f>SUM(K10:K16)</f>
        <v>0</v>
      </c>
      <c r="L18" s="3"/>
      <c r="M18" s="5">
        <f>SUM(M10:M16)</f>
        <v>0</v>
      </c>
      <c r="N18" s="5">
        <f>SUM(N10:N16)</f>
        <v>0</v>
      </c>
      <c r="O18" s="8">
        <f>SUM(O10:O16)</f>
        <v>0</v>
      </c>
      <c r="R18" s="34"/>
      <c r="T18" s="3"/>
      <c r="U18" s="30" t="s">
        <v>0</v>
      </c>
      <c r="V18" s="3"/>
      <c r="W18" s="5">
        <f>SUM(W10:W16)</f>
        <v>368</v>
      </c>
      <c r="X18" s="5">
        <f>SUM(X10:X16)</f>
        <v>345</v>
      </c>
      <c r="Y18" s="8">
        <f>SUM(Y10:Y16)</f>
        <v>170719.11</v>
      </c>
      <c r="Z18" s="1"/>
      <c r="AA18" s="5">
        <f>SUM(AA10:AA16)</f>
        <v>42</v>
      </c>
      <c r="AB18" s="5">
        <f>SUM(AB10:AB16)</f>
        <v>74</v>
      </c>
      <c r="AC18" s="8">
        <f>SUM(AC10:AC16)</f>
        <v>118984.6</v>
      </c>
      <c r="AD18" s="3"/>
      <c r="AE18" s="5">
        <f>SUM(AE10:AE16)</f>
        <v>326</v>
      </c>
      <c r="AF18" s="5">
        <f>SUM(AF10:AF16)</f>
        <v>271</v>
      </c>
      <c r="AG18" s="8">
        <f>SUM(AG10:AG16)</f>
        <v>51734.51</v>
      </c>
    </row>
    <row r="19" spans="2:34" x14ac:dyDescent="0.35">
      <c r="R19" s="34"/>
    </row>
    <row r="20" spans="2:34" ht="15" thickBot="1" x14ac:dyDescent="0.4">
      <c r="R20" s="34"/>
    </row>
    <row r="21" spans="2:34" ht="15" thickBot="1" x14ac:dyDescent="0.4">
      <c r="B21" s="67" t="s">
        <v>42</v>
      </c>
      <c r="C21" s="68"/>
      <c r="D21" s="68"/>
      <c r="E21" s="68"/>
      <c r="F21" s="68"/>
      <c r="G21" s="68"/>
      <c r="H21" s="68"/>
      <c r="I21" s="68"/>
      <c r="J21" s="68"/>
      <c r="K21" s="68"/>
      <c r="L21" s="68"/>
      <c r="M21" s="68"/>
      <c r="N21" s="68"/>
      <c r="O21" s="68"/>
      <c r="P21" s="69"/>
      <c r="R21" s="34"/>
      <c r="T21" s="67" t="s">
        <v>42</v>
      </c>
      <c r="U21" s="68"/>
      <c r="V21" s="68"/>
      <c r="W21" s="68"/>
      <c r="X21" s="68"/>
      <c r="Y21" s="68"/>
      <c r="Z21" s="68"/>
      <c r="AA21" s="68"/>
      <c r="AB21" s="68"/>
      <c r="AC21" s="68"/>
      <c r="AD21" s="68"/>
      <c r="AE21" s="68"/>
      <c r="AF21" s="68"/>
      <c r="AG21" s="68"/>
      <c r="AH21" s="69"/>
    </row>
    <row r="22" spans="2:34" x14ac:dyDescent="0.35">
      <c r="B22" s="3"/>
      <c r="C22" s="3"/>
      <c r="D22" s="3"/>
      <c r="E22" s="3"/>
      <c r="F22" s="3"/>
      <c r="G22" s="3"/>
      <c r="H22" s="3"/>
      <c r="I22" s="3"/>
      <c r="J22" s="3"/>
      <c r="K22" s="3"/>
      <c r="L22" s="3"/>
      <c r="M22" s="15"/>
      <c r="N22" s="15"/>
      <c r="R22" s="34"/>
      <c r="T22" s="3"/>
      <c r="U22" s="3"/>
      <c r="V22" s="3"/>
      <c r="W22" s="3"/>
      <c r="X22" s="3"/>
      <c r="Y22" s="3"/>
      <c r="Z22" s="3"/>
      <c r="AA22" s="3"/>
      <c r="AB22" s="3"/>
      <c r="AC22" s="3"/>
      <c r="AD22" s="3"/>
      <c r="AE22" s="15"/>
      <c r="AF22" s="15"/>
    </row>
    <row r="23" spans="2:34" ht="29" x14ac:dyDescent="0.35">
      <c r="B23" s="3"/>
      <c r="C23" s="29" t="s">
        <v>47</v>
      </c>
      <c r="D23" s="3"/>
      <c r="E23" s="29" t="s">
        <v>6</v>
      </c>
      <c r="F23" s="30" t="s">
        <v>1</v>
      </c>
      <c r="G23" s="1"/>
      <c r="I23" s="29" t="s">
        <v>7</v>
      </c>
      <c r="J23" s="30" t="s">
        <v>1</v>
      </c>
      <c r="M23" s="29" t="s">
        <v>8</v>
      </c>
      <c r="N23" s="30" t="s">
        <v>1</v>
      </c>
      <c r="P23" s="35" t="s">
        <v>41</v>
      </c>
      <c r="R23" s="34"/>
      <c r="T23" s="3"/>
      <c r="U23" s="29" t="s">
        <v>47</v>
      </c>
      <c r="V23" s="3"/>
      <c r="W23" s="29" t="s">
        <v>6</v>
      </c>
      <c r="X23" s="30" t="s">
        <v>1</v>
      </c>
      <c r="Y23" s="1"/>
      <c r="AA23" s="29" t="s">
        <v>7</v>
      </c>
      <c r="AB23" s="30" t="s">
        <v>1</v>
      </c>
      <c r="AE23" s="29" t="s">
        <v>8</v>
      </c>
      <c r="AF23" s="30" t="s">
        <v>1</v>
      </c>
      <c r="AH23" s="35" t="s">
        <v>41</v>
      </c>
    </row>
    <row r="24" spans="2:34" x14ac:dyDescent="0.35">
      <c r="B24" s="3"/>
      <c r="C24" s="3"/>
      <c r="D24" s="3"/>
      <c r="E24" s="3"/>
      <c r="F24" s="3"/>
      <c r="G24" s="3"/>
      <c r="I24" s="3"/>
      <c r="J24" s="3"/>
      <c r="M24" s="3"/>
      <c r="N24" s="3"/>
      <c r="P24" s="3"/>
      <c r="R24" s="34"/>
      <c r="T24" s="3"/>
      <c r="U24" s="3"/>
      <c r="V24" s="3"/>
      <c r="W24" s="3"/>
      <c r="X24" s="3"/>
      <c r="Y24" s="3"/>
      <c r="AA24" s="3"/>
      <c r="AB24" s="3"/>
      <c r="AE24" s="3"/>
      <c r="AF24" s="3"/>
      <c r="AH24" s="3"/>
    </row>
    <row r="25" spans="2:34" x14ac:dyDescent="0.35">
      <c r="B25" s="25">
        <v>1</v>
      </c>
      <c r="C25" s="28" t="str">
        <f>IF(C10="","",C10)</f>
        <v/>
      </c>
      <c r="D25" s="3"/>
      <c r="E25" s="33"/>
      <c r="F25" s="4" t="str">
        <f>IF(E25="","",E25/$E$33)</f>
        <v/>
      </c>
      <c r="G25" s="1"/>
      <c r="I25" s="33"/>
      <c r="J25" s="4" t="str">
        <f>IF(I25="","",I25/$I$33)</f>
        <v/>
      </c>
      <c r="M25" s="2"/>
      <c r="N25" s="4" t="str">
        <f>IF(M25="","",M25/$M$33)</f>
        <v/>
      </c>
      <c r="P25" s="18" t="str">
        <f>IF(F25="","",AVERAGE(F25,J25,N25))</f>
        <v/>
      </c>
      <c r="R25" s="34"/>
      <c r="T25" s="25">
        <v>1</v>
      </c>
      <c r="U25" s="28" t="str">
        <f>IF(U10="","",U10)</f>
        <v>OG 1</v>
      </c>
      <c r="V25" s="3"/>
      <c r="W25" s="31">
        <v>13</v>
      </c>
      <c r="X25" s="4">
        <f>W25/$W$33</f>
        <v>0.30952380952380953</v>
      </c>
      <c r="Y25" s="1"/>
      <c r="AA25" s="31">
        <v>31</v>
      </c>
      <c r="AB25" s="4">
        <f>AA25/$AA$33</f>
        <v>0.25</v>
      </c>
      <c r="AE25" s="2">
        <v>33859</v>
      </c>
      <c r="AF25" s="4">
        <f>AE25/$AE$33</f>
        <v>0.30802535270899739</v>
      </c>
      <c r="AH25" s="18">
        <f t="shared" ref="AH25:AH31" si="4">AVERAGE(X25,AB25,AF25)</f>
        <v>0.28918305407760231</v>
      </c>
    </row>
    <row r="26" spans="2:34" x14ac:dyDescent="0.35">
      <c r="B26" s="25">
        <v>2</v>
      </c>
      <c r="C26" s="28" t="str">
        <f t="shared" ref="C26:C31" si="5">IF(C11="","",C11)</f>
        <v/>
      </c>
      <c r="D26" s="3"/>
      <c r="E26" s="33"/>
      <c r="F26" s="4" t="str">
        <f t="shared" ref="F26:F31" si="6">IF(E26="","",E26/$E$33)</f>
        <v/>
      </c>
      <c r="G26" s="1"/>
      <c r="I26" s="33"/>
      <c r="J26" s="4" t="str">
        <f t="shared" ref="J26:J31" si="7">IF(I26="","",I26/$I$33)</f>
        <v/>
      </c>
      <c r="M26" s="2"/>
      <c r="N26" s="4" t="str">
        <f t="shared" ref="N26:N31" si="8">IF(M26="","",M26/$M$33)</f>
        <v/>
      </c>
      <c r="P26" s="18" t="str">
        <f t="shared" ref="P26:P31" si="9">IF(F26="","",AVERAGE(F26,J26,N26))</f>
        <v/>
      </c>
      <c r="R26" s="34"/>
      <c r="T26" s="25">
        <v>2</v>
      </c>
      <c r="U26" s="28" t="str">
        <f t="shared" ref="U26:U31" si="10">IF(U11="","",U11)</f>
        <v>OG 2</v>
      </c>
      <c r="V26" s="3"/>
      <c r="W26" s="31">
        <v>5</v>
      </c>
      <c r="X26" s="4">
        <f t="shared" ref="X26:X31" si="11">W26/$W$33</f>
        <v>0.11904761904761904</v>
      </c>
      <c r="Y26" s="1"/>
      <c r="AA26" s="31">
        <v>12</v>
      </c>
      <c r="AB26" s="4">
        <f t="shared" ref="AB26:AB31" si="12">AA26/$AA$33</f>
        <v>9.6774193548387094E-2</v>
      </c>
      <c r="AE26" s="2">
        <v>13505</v>
      </c>
      <c r="AF26" s="4">
        <f t="shared" ref="AF26:AF31" si="13">AE26/$AE$33</f>
        <v>0.1228589854495115</v>
      </c>
      <c r="AH26" s="18">
        <f t="shared" si="4"/>
        <v>0.11289359934850589</v>
      </c>
    </row>
    <row r="27" spans="2:34" x14ac:dyDescent="0.35">
      <c r="B27" s="25">
        <v>3</v>
      </c>
      <c r="C27" s="28" t="str">
        <f t="shared" si="5"/>
        <v/>
      </c>
      <c r="D27" s="3"/>
      <c r="E27" s="33"/>
      <c r="F27" s="4" t="str">
        <f t="shared" si="6"/>
        <v/>
      </c>
      <c r="G27" s="1"/>
      <c r="I27" s="33"/>
      <c r="J27" s="4" t="str">
        <f t="shared" si="7"/>
        <v/>
      </c>
      <c r="M27" s="2"/>
      <c r="N27" s="4" t="str">
        <f t="shared" si="8"/>
        <v/>
      </c>
      <c r="P27" s="18" t="str">
        <f t="shared" si="9"/>
        <v/>
      </c>
      <c r="R27" s="34"/>
      <c r="T27" s="25">
        <v>3</v>
      </c>
      <c r="U27" s="28" t="str">
        <f t="shared" si="10"/>
        <v>OG 3</v>
      </c>
      <c r="V27" s="3"/>
      <c r="W27" s="31">
        <v>6</v>
      </c>
      <c r="X27" s="4">
        <f t="shared" si="11"/>
        <v>0.14285714285714285</v>
      </c>
      <c r="Y27" s="1"/>
      <c r="AA27" s="31">
        <v>21</v>
      </c>
      <c r="AB27" s="4">
        <f t="shared" si="12"/>
        <v>0.16935483870967741</v>
      </c>
      <c r="AE27" s="2">
        <v>11470.77</v>
      </c>
      <c r="AF27" s="4">
        <f t="shared" si="13"/>
        <v>0.10435299256014018</v>
      </c>
      <c r="AH27" s="18">
        <f t="shared" si="4"/>
        <v>0.13885499137565349</v>
      </c>
    </row>
    <row r="28" spans="2:34" x14ac:dyDescent="0.35">
      <c r="B28" s="25">
        <v>4</v>
      </c>
      <c r="C28" s="28" t="str">
        <f t="shared" si="5"/>
        <v/>
      </c>
      <c r="D28" s="3"/>
      <c r="E28" s="33"/>
      <c r="F28" s="4" t="str">
        <f t="shared" si="6"/>
        <v/>
      </c>
      <c r="G28" s="1"/>
      <c r="I28" s="33"/>
      <c r="J28" s="4" t="str">
        <f t="shared" si="7"/>
        <v/>
      </c>
      <c r="M28" s="2"/>
      <c r="N28" s="4" t="str">
        <f t="shared" si="8"/>
        <v/>
      </c>
      <c r="P28" s="18" t="str">
        <f t="shared" si="9"/>
        <v/>
      </c>
      <c r="R28" s="34"/>
      <c r="T28" s="25">
        <v>4</v>
      </c>
      <c r="U28" s="28" t="str">
        <f t="shared" si="10"/>
        <v>OG 4</v>
      </c>
      <c r="V28" s="3"/>
      <c r="W28" s="31">
        <v>5</v>
      </c>
      <c r="X28" s="4">
        <f t="shared" si="11"/>
        <v>0.11904761904761904</v>
      </c>
      <c r="Y28" s="1"/>
      <c r="AA28" s="31">
        <v>11</v>
      </c>
      <c r="AB28" s="4">
        <f t="shared" si="12"/>
        <v>8.8709677419354843E-2</v>
      </c>
      <c r="AE28" s="2">
        <v>12092</v>
      </c>
      <c r="AF28" s="4">
        <f t="shared" si="13"/>
        <v>0.1100045058908177</v>
      </c>
      <c r="AH28" s="18">
        <f t="shared" si="4"/>
        <v>0.10592060078593053</v>
      </c>
    </row>
    <row r="29" spans="2:34" x14ac:dyDescent="0.35">
      <c r="B29" s="25">
        <v>5</v>
      </c>
      <c r="C29" s="28" t="str">
        <f t="shared" si="5"/>
        <v/>
      </c>
      <c r="D29" s="3"/>
      <c r="E29" s="33"/>
      <c r="F29" s="4" t="str">
        <f t="shared" si="6"/>
        <v/>
      </c>
      <c r="G29" s="1"/>
      <c r="I29" s="33"/>
      <c r="J29" s="4" t="str">
        <f t="shared" si="7"/>
        <v/>
      </c>
      <c r="M29" s="2"/>
      <c r="N29" s="4" t="str">
        <f t="shared" si="8"/>
        <v/>
      </c>
      <c r="P29" s="18" t="str">
        <f t="shared" si="9"/>
        <v/>
      </c>
      <c r="R29" s="34"/>
      <c r="T29" s="25">
        <v>5</v>
      </c>
      <c r="U29" s="28" t="str">
        <f t="shared" si="10"/>
        <v>OG 5</v>
      </c>
      <c r="V29" s="3"/>
      <c r="W29" s="31">
        <v>7</v>
      </c>
      <c r="X29" s="4">
        <f t="shared" si="11"/>
        <v>0.16666666666666666</v>
      </c>
      <c r="Y29" s="1"/>
      <c r="AA29" s="31">
        <v>16</v>
      </c>
      <c r="AB29" s="4">
        <f t="shared" si="12"/>
        <v>0.12903225806451613</v>
      </c>
      <c r="AE29" s="2">
        <v>5936</v>
      </c>
      <c r="AF29" s="4">
        <f t="shared" si="13"/>
        <v>5.4001550361221791E-2</v>
      </c>
      <c r="AH29" s="18">
        <f t="shared" si="4"/>
        <v>0.11656682503080151</v>
      </c>
    </row>
    <row r="30" spans="2:34" x14ac:dyDescent="0.35">
      <c r="B30" s="25">
        <v>6</v>
      </c>
      <c r="C30" s="28" t="str">
        <f t="shared" si="5"/>
        <v/>
      </c>
      <c r="D30" s="3"/>
      <c r="E30" s="33"/>
      <c r="F30" s="4" t="str">
        <f t="shared" si="6"/>
        <v/>
      </c>
      <c r="G30" s="1"/>
      <c r="I30" s="33"/>
      <c r="J30" s="4" t="str">
        <f t="shared" si="7"/>
        <v/>
      </c>
      <c r="M30" s="2"/>
      <c r="N30" s="4" t="str">
        <f t="shared" si="8"/>
        <v/>
      </c>
      <c r="P30" s="18" t="str">
        <f t="shared" si="9"/>
        <v/>
      </c>
      <c r="R30" s="34"/>
      <c r="T30" s="25">
        <v>6</v>
      </c>
      <c r="U30" s="28" t="str">
        <f t="shared" si="10"/>
        <v>OG 6</v>
      </c>
      <c r="V30" s="3"/>
      <c r="W30" s="31">
        <v>4</v>
      </c>
      <c r="X30" s="4">
        <f t="shared" si="11"/>
        <v>9.5238095238095233E-2</v>
      </c>
      <c r="Y30" s="1"/>
      <c r="AA30" s="31">
        <v>15</v>
      </c>
      <c r="AB30" s="4">
        <f t="shared" si="12"/>
        <v>0.12096774193548387</v>
      </c>
      <c r="AE30" s="2">
        <v>26000</v>
      </c>
      <c r="AF30" s="4">
        <f t="shared" si="13"/>
        <v>0.23652970171694179</v>
      </c>
      <c r="AH30" s="18">
        <f t="shared" si="4"/>
        <v>0.15091184629684029</v>
      </c>
    </row>
    <row r="31" spans="2:34" x14ac:dyDescent="0.35">
      <c r="B31" s="25">
        <v>7</v>
      </c>
      <c r="C31" s="28" t="str">
        <f t="shared" si="5"/>
        <v/>
      </c>
      <c r="D31" s="3"/>
      <c r="E31" s="33"/>
      <c r="F31" s="4" t="str">
        <f t="shared" si="6"/>
        <v/>
      </c>
      <c r="G31" s="1"/>
      <c r="I31" s="33"/>
      <c r="J31" s="4" t="str">
        <f t="shared" si="7"/>
        <v/>
      </c>
      <c r="M31" s="2"/>
      <c r="N31" s="4" t="str">
        <f t="shared" si="8"/>
        <v/>
      </c>
      <c r="P31" s="18" t="str">
        <f t="shared" si="9"/>
        <v/>
      </c>
      <c r="R31" s="34"/>
      <c r="T31" s="25">
        <v>7</v>
      </c>
      <c r="U31" s="28" t="str">
        <f t="shared" si="10"/>
        <v>OG 7</v>
      </c>
      <c r="V31" s="3"/>
      <c r="W31" s="31">
        <v>2</v>
      </c>
      <c r="X31" s="4">
        <f t="shared" si="11"/>
        <v>4.7619047619047616E-2</v>
      </c>
      <c r="Y31" s="1"/>
      <c r="AA31" s="31">
        <v>18</v>
      </c>
      <c r="AB31" s="4">
        <f t="shared" si="12"/>
        <v>0.14516129032258066</v>
      </c>
      <c r="AE31" s="2">
        <v>7060</v>
      </c>
      <c r="AF31" s="4">
        <f t="shared" si="13"/>
        <v>6.4226911312369586E-2</v>
      </c>
      <c r="AH31" s="18">
        <f t="shared" si="4"/>
        <v>8.5669083084665962E-2</v>
      </c>
    </row>
    <row r="32" spans="2:34" x14ac:dyDescent="0.35">
      <c r="B32" s="3"/>
      <c r="C32" s="3"/>
      <c r="D32" s="3"/>
      <c r="E32" s="3"/>
      <c r="F32" s="3"/>
      <c r="G32" s="1"/>
      <c r="I32" s="3"/>
      <c r="J32" s="3"/>
      <c r="M32" s="3"/>
      <c r="N32" s="3"/>
      <c r="P32" s="3"/>
      <c r="R32" s="34"/>
      <c r="T32" s="3"/>
      <c r="U32" s="3"/>
      <c r="V32" s="3"/>
      <c r="W32" s="3"/>
      <c r="X32" s="3"/>
      <c r="Y32" s="1"/>
      <c r="AA32" s="3"/>
      <c r="AB32" s="3"/>
      <c r="AE32" s="3"/>
      <c r="AF32" s="3"/>
      <c r="AH32" s="3"/>
    </row>
    <row r="33" spans="2:34" x14ac:dyDescent="0.35">
      <c r="B33" s="3"/>
      <c r="C33" s="30" t="s">
        <v>0</v>
      </c>
      <c r="D33" s="3"/>
      <c r="E33" s="5">
        <f>SUM(E25:E31)</f>
        <v>0</v>
      </c>
      <c r="F33" s="6">
        <f>SUM(F25:F31)</f>
        <v>0</v>
      </c>
      <c r="G33" s="1"/>
      <c r="I33" s="5">
        <f>SUM(I25:I31)</f>
        <v>0</v>
      </c>
      <c r="J33" s="6">
        <f>SUM(J25:J31)</f>
        <v>0</v>
      </c>
      <c r="M33" s="8">
        <f>SUM(M25:M31)</f>
        <v>0</v>
      </c>
      <c r="N33" s="6">
        <f>SUM(N25:N31)</f>
        <v>0</v>
      </c>
      <c r="P33" s="42">
        <f>SUM(P25:P31)</f>
        <v>0</v>
      </c>
      <c r="R33" s="34"/>
      <c r="T33" s="3"/>
      <c r="U33" s="30" t="s">
        <v>0</v>
      </c>
      <c r="V33" s="3"/>
      <c r="W33" s="5">
        <f>SUM(W25:W31)</f>
        <v>42</v>
      </c>
      <c r="X33" s="6">
        <f>SUM(X25:X31)</f>
        <v>1</v>
      </c>
      <c r="Y33" s="1"/>
      <c r="AA33" s="5">
        <f>SUM(AA25:AA31)</f>
        <v>124</v>
      </c>
      <c r="AB33" s="6">
        <f>SUM(AB25:AB31)</f>
        <v>1</v>
      </c>
      <c r="AE33" s="8">
        <f>SUM(AE25:AE31)</f>
        <v>109922.77</v>
      </c>
      <c r="AF33" s="6">
        <f>SUM(AF25:AF31)</f>
        <v>0.99999999999999989</v>
      </c>
      <c r="AH33" s="42">
        <f>SUM(AH25:AH31)</f>
        <v>1</v>
      </c>
    </row>
    <row r="37" spans="2:34" ht="11" customHeight="1" x14ac:dyDescent="0.35">
      <c r="C37" s="77" t="s">
        <v>52</v>
      </c>
      <c r="D37" s="77"/>
      <c r="E37" s="77"/>
      <c r="F37" s="77"/>
      <c r="I37" s="78" t="s">
        <v>53</v>
      </c>
      <c r="J37" s="78"/>
      <c r="K37" s="78"/>
      <c r="L37" s="78"/>
      <c r="N37" s="79" t="s">
        <v>53</v>
      </c>
      <c r="O37" s="79"/>
      <c r="P37" s="79"/>
      <c r="Q37" s="79"/>
    </row>
    <row r="38" spans="2:34" ht="11" customHeight="1" x14ac:dyDescent="0.35">
      <c r="C38" s="77"/>
      <c r="D38" s="77"/>
      <c r="E38" s="77"/>
      <c r="F38" s="77"/>
      <c r="I38" s="78"/>
      <c r="J38" s="78"/>
      <c r="K38" s="78"/>
      <c r="L38" s="78"/>
      <c r="N38" s="79"/>
      <c r="O38" s="79"/>
      <c r="P38" s="79"/>
      <c r="Q38" s="79"/>
    </row>
    <row r="39" spans="2:34" ht="11" customHeight="1" x14ac:dyDescent="0.35">
      <c r="C39" s="77"/>
      <c r="D39" s="77"/>
      <c r="E39" s="77"/>
      <c r="F39" s="77"/>
      <c r="I39" s="78"/>
      <c r="J39" s="78"/>
      <c r="K39" s="78"/>
      <c r="L39" s="78"/>
      <c r="N39" s="79"/>
      <c r="O39" s="79"/>
      <c r="P39" s="79"/>
      <c r="Q39" s="79"/>
    </row>
    <row r="40" spans="2:34" ht="11" customHeight="1" x14ac:dyDescent="0.35">
      <c r="C40" s="77"/>
      <c r="D40" s="77"/>
      <c r="E40" s="77"/>
      <c r="F40" s="77"/>
      <c r="I40" s="78"/>
      <c r="J40" s="78"/>
      <c r="K40" s="78"/>
      <c r="L40" s="78"/>
      <c r="N40" s="79"/>
      <c r="O40" s="79"/>
      <c r="P40" s="79"/>
      <c r="Q40" s="79"/>
    </row>
  </sheetData>
  <mergeCells count="18">
    <mergeCell ref="C37:F40"/>
    <mergeCell ref="I37:L40"/>
    <mergeCell ref="N37:Q40"/>
    <mergeCell ref="T5:AG5"/>
    <mergeCell ref="U7:U8"/>
    <mergeCell ref="W7:Y7"/>
    <mergeCell ref="AA7:AC7"/>
    <mergeCell ref="AE7:AG7"/>
    <mergeCell ref="T21:AH21"/>
    <mergeCell ref="B5:O5"/>
    <mergeCell ref="C7:C8"/>
    <mergeCell ref="E7:G7"/>
    <mergeCell ref="I7:K7"/>
    <mergeCell ref="M7:O7"/>
    <mergeCell ref="B21:P21"/>
    <mergeCell ref="R3:R5"/>
    <mergeCell ref="B3:P3"/>
    <mergeCell ref="T3:AH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showGridLines="0" zoomScale="55" zoomScaleNormal="55" workbookViewId="0">
      <selection activeCell="AD10" sqref="AD10"/>
    </sheetView>
  </sheetViews>
  <sheetFormatPr baseColWidth="10" defaultRowHeight="14.5" x14ac:dyDescent="0.35"/>
  <cols>
    <col min="1" max="1" width="2.81640625" customWidth="1"/>
    <col min="2" max="2" width="4.1796875" customWidth="1"/>
    <col min="3" max="3" width="16" customWidth="1"/>
    <col min="4" max="13" width="9.36328125" customWidth="1"/>
    <col min="14" max="14" width="5.26953125" customWidth="1"/>
    <col min="15" max="15" width="2.453125" customWidth="1"/>
    <col min="16" max="16" width="5.26953125" customWidth="1"/>
    <col min="17" max="17" width="4.1796875" customWidth="1"/>
    <col min="18" max="18" width="16" customWidth="1"/>
    <col min="19" max="28" width="9.36328125" customWidth="1"/>
  </cols>
  <sheetData>
    <row r="1" spans="1:28" ht="16.5" customHeight="1" x14ac:dyDescent="0.35">
      <c r="A1" s="63" t="s">
        <v>105</v>
      </c>
      <c r="B1" t="s">
        <v>96</v>
      </c>
    </row>
    <row r="2" spans="1:28" ht="15" thickBot="1" x14ac:dyDescent="0.4"/>
    <row r="3" spans="1:28" ht="15" thickBot="1" x14ac:dyDescent="0.4">
      <c r="B3" s="71" t="s">
        <v>39</v>
      </c>
      <c r="C3" s="72"/>
      <c r="D3" s="72"/>
      <c r="E3" s="72"/>
      <c r="F3" s="72"/>
      <c r="G3" s="72"/>
      <c r="H3" s="72"/>
      <c r="I3" s="72"/>
      <c r="J3" s="72"/>
      <c r="K3" s="72"/>
      <c r="L3" s="72"/>
      <c r="M3" s="73"/>
      <c r="O3" s="70"/>
      <c r="Q3" s="74" t="s">
        <v>40</v>
      </c>
      <c r="R3" s="75"/>
      <c r="S3" s="75"/>
      <c r="T3" s="75"/>
      <c r="U3" s="75"/>
      <c r="V3" s="75"/>
      <c r="W3" s="75"/>
      <c r="X3" s="75"/>
      <c r="Y3" s="75"/>
      <c r="Z3" s="75"/>
      <c r="AA3" s="75"/>
      <c r="AB3" s="76"/>
    </row>
    <row r="4" spans="1:28" ht="15" thickBot="1" x14ac:dyDescent="0.4">
      <c r="O4" s="70"/>
    </row>
    <row r="5" spans="1:28" ht="15" thickBot="1" x14ac:dyDescent="0.4">
      <c r="B5" s="67" t="s">
        <v>23</v>
      </c>
      <c r="C5" s="68"/>
      <c r="D5" s="68"/>
      <c r="E5" s="68"/>
      <c r="F5" s="68"/>
      <c r="G5" s="68"/>
      <c r="H5" s="68"/>
      <c r="I5" s="68"/>
      <c r="J5" s="68"/>
      <c r="K5" s="68"/>
      <c r="L5" s="68"/>
      <c r="M5" s="69"/>
      <c r="O5" s="70"/>
      <c r="Q5" s="67" t="s">
        <v>23</v>
      </c>
      <c r="R5" s="68"/>
      <c r="S5" s="68"/>
      <c r="T5" s="68"/>
      <c r="U5" s="68"/>
      <c r="V5" s="68"/>
      <c r="W5" s="68"/>
      <c r="X5" s="68"/>
      <c r="Y5" s="68"/>
      <c r="Z5" s="68"/>
      <c r="AA5" s="68"/>
      <c r="AB5" s="69"/>
    </row>
    <row r="6" spans="1:28" x14ac:dyDescent="0.35">
      <c r="O6" s="70"/>
    </row>
    <row r="7" spans="1:28" x14ac:dyDescent="0.35">
      <c r="B7" s="3"/>
      <c r="C7" s="3"/>
      <c r="D7" s="19">
        <f>L9</f>
        <v>0</v>
      </c>
      <c r="E7" s="19">
        <f>L10</f>
        <v>0</v>
      </c>
      <c r="F7" s="19">
        <f>L11</f>
        <v>0</v>
      </c>
      <c r="G7" s="19">
        <f>L12</f>
        <v>0</v>
      </c>
      <c r="H7" s="84" t="s">
        <v>0</v>
      </c>
      <c r="I7" s="85"/>
      <c r="O7" s="70"/>
      <c r="Q7" s="3"/>
      <c r="R7" s="3"/>
      <c r="S7" s="19">
        <f>AA9</f>
        <v>2026</v>
      </c>
      <c r="T7" s="19">
        <f>AA10</f>
        <v>2027</v>
      </c>
      <c r="U7" s="19">
        <f>AA11</f>
        <v>2028</v>
      </c>
      <c r="V7" s="19">
        <f>AA12</f>
        <v>2029</v>
      </c>
      <c r="W7" s="84" t="s">
        <v>0</v>
      </c>
      <c r="X7" s="85"/>
    </row>
    <row r="8" spans="1:28" x14ac:dyDescent="0.35">
      <c r="B8" s="3"/>
      <c r="C8" s="3"/>
      <c r="D8" s="3"/>
      <c r="E8" s="3"/>
      <c r="F8" s="3"/>
      <c r="G8" s="3"/>
      <c r="H8" s="3"/>
      <c r="I8" s="3"/>
      <c r="L8" s="37" t="s">
        <v>97</v>
      </c>
      <c r="M8" s="37" t="s">
        <v>48</v>
      </c>
      <c r="O8" s="70"/>
      <c r="Q8" s="3"/>
      <c r="R8" s="3"/>
      <c r="S8" s="3"/>
      <c r="T8" s="3"/>
      <c r="U8" s="3"/>
      <c r="V8" s="3"/>
      <c r="W8" s="3"/>
      <c r="X8" s="3"/>
      <c r="AA8" s="37" t="s">
        <v>97</v>
      </c>
      <c r="AB8" s="37" t="s">
        <v>48</v>
      </c>
    </row>
    <row r="9" spans="1:28" x14ac:dyDescent="0.35">
      <c r="B9" s="86" t="s">
        <v>2</v>
      </c>
      <c r="C9" s="86"/>
      <c r="D9" s="11"/>
      <c r="E9" s="11"/>
      <c r="F9" s="11"/>
      <c r="G9" s="11"/>
      <c r="H9" s="9">
        <f>D9*$D$14+E9*$E$14+F9*$F$14+G9*$G$14</f>
        <v>0</v>
      </c>
      <c r="I9" s="4" t="e">
        <f>H9/H16</f>
        <v>#DIV/0!</v>
      </c>
      <c r="K9" s="28" t="s">
        <v>16</v>
      </c>
      <c r="L9" s="14"/>
      <c r="M9" s="38"/>
      <c r="O9" s="70"/>
      <c r="Q9" s="86" t="s">
        <v>2</v>
      </c>
      <c r="R9" s="86"/>
      <c r="S9" s="11">
        <v>60000</v>
      </c>
      <c r="T9" s="11">
        <v>60000</v>
      </c>
      <c r="U9" s="11">
        <v>60000</v>
      </c>
      <c r="V9" s="11">
        <v>60000</v>
      </c>
      <c r="W9" s="9">
        <f>S9*$S$14+T9*$T$14+U9*$U$14+V9*$V$14</f>
        <v>180000</v>
      </c>
      <c r="X9" s="4">
        <f>W9/W16</f>
        <v>0.82568807339449546</v>
      </c>
      <c r="Z9" s="28" t="s">
        <v>16</v>
      </c>
      <c r="AA9" s="14">
        <v>2026</v>
      </c>
      <c r="AB9" s="38">
        <v>9</v>
      </c>
    </row>
    <row r="10" spans="1:28" x14ac:dyDescent="0.35">
      <c r="B10" s="86" t="s">
        <v>50</v>
      </c>
      <c r="C10" s="86"/>
      <c r="D10" s="11"/>
      <c r="E10" s="11"/>
      <c r="F10" s="11"/>
      <c r="G10" s="11"/>
      <c r="H10" s="9">
        <f>D10*$D$14+E10*$E$14+F10*$F$14+G10*$G$14</f>
        <v>0</v>
      </c>
      <c r="I10" s="4" t="e">
        <f>H10/H16</f>
        <v>#DIV/0!</v>
      </c>
      <c r="K10" s="28" t="s">
        <v>17</v>
      </c>
      <c r="L10" s="14"/>
      <c r="M10" s="38"/>
      <c r="O10" s="70"/>
      <c r="Q10" s="86" t="s">
        <v>50</v>
      </c>
      <c r="R10" s="86"/>
      <c r="S10" s="11">
        <v>5000</v>
      </c>
      <c r="T10" s="11">
        <v>5000</v>
      </c>
      <c r="U10" s="11">
        <v>5000</v>
      </c>
      <c r="V10" s="11">
        <v>5000</v>
      </c>
      <c r="W10" s="9">
        <f>S10*$S$14+T10*$T$14+U10*$U$14+V10*$V$14</f>
        <v>15000</v>
      </c>
      <c r="X10" s="4">
        <f>W10/W16</f>
        <v>6.8807339449541288E-2</v>
      </c>
      <c r="Z10" s="28" t="s">
        <v>17</v>
      </c>
      <c r="AA10" s="14">
        <v>2027</v>
      </c>
      <c r="AB10" s="38">
        <v>12</v>
      </c>
    </row>
    <row r="11" spans="1:28" x14ac:dyDescent="0.35">
      <c r="B11" s="86" t="s">
        <v>3</v>
      </c>
      <c r="C11" s="86"/>
      <c r="D11" s="11"/>
      <c r="E11" s="11"/>
      <c r="F11" s="11"/>
      <c r="G11" s="11"/>
      <c r="H11" s="9">
        <f>SUM(D11:G11)</f>
        <v>0</v>
      </c>
      <c r="I11" s="4" t="e">
        <f>H11/H16</f>
        <v>#DIV/0!</v>
      </c>
      <c r="K11" s="28" t="s">
        <v>18</v>
      </c>
      <c r="L11" s="14"/>
      <c r="M11" s="38"/>
      <c r="O11" s="70"/>
      <c r="Q11" s="86" t="s">
        <v>3</v>
      </c>
      <c r="R11" s="86"/>
      <c r="S11" s="11">
        <v>5000</v>
      </c>
      <c r="T11" s="11">
        <v>0</v>
      </c>
      <c r="U11" s="11">
        <v>0</v>
      </c>
      <c r="V11" s="11">
        <v>0</v>
      </c>
      <c r="W11" s="9">
        <f>SUM(S11:V11)</f>
        <v>5000</v>
      </c>
      <c r="X11" s="4">
        <f>W11/W16</f>
        <v>2.2935779816513763E-2</v>
      </c>
      <c r="Z11" s="28" t="s">
        <v>18</v>
      </c>
      <c r="AA11" s="14">
        <v>2028</v>
      </c>
      <c r="AB11" s="38">
        <v>12</v>
      </c>
    </row>
    <row r="12" spans="1:28" x14ac:dyDescent="0.35">
      <c r="B12" s="86" t="s">
        <v>4</v>
      </c>
      <c r="C12" s="86"/>
      <c r="D12" s="11"/>
      <c r="E12" s="11"/>
      <c r="F12" s="11"/>
      <c r="G12" s="11"/>
      <c r="H12" s="9">
        <f>D12*$D$14+E12*$E$14+F12*$F$14+G12*$G$14</f>
        <v>0</v>
      </c>
      <c r="I12" s="4" t="e">
        <f>H12/H16</f>
        <v>#DIV/0!</v>
      </c>
      <c r="K12" s="28" t="s">
        <v>49</v>
      </c>
      <c r="L12" s="14"/>
      <c r="M12" s="38"/>
      <c r="O12" s="70"/>
      <c r="Q12" s="86" t="s">
        <v>4</v>
      </c>
      <c r="R12" s="86"/>
      <c r="S12" s="11">
        <v>6000</v>
      </c>
      <c r="T12" s="11">
        <v>6000</v>
      </c>
      <c r="U12" s="11">
        <v>6000</v>
      </c>
      <c r="V12" s="11">
        <v>6000</v>
      </c>
      <c r="W12" s="9">
        <f>S12*$S$14+T12*$T$14+U12*$U$14+V12*$V$14</f>
        <v>18000</v>
      </c>
      <c r="X12" s="4">
        <f>W12/W16</f>
        <v>8.2568807339449546E-2</v>
      </c>
      <c r="Z12" s="28" t="s">
        <v>49</v>
      </c>
      <c r="AA12" s="14">
        <v>2029</v>
      </c>
      <c r="AB12" s="38">
        <v>3</v>
      </c>
    </row>
    <row r="13" spans="1:28" x14ac:dyDescent="0.35">
      <c r="B13" s="86" t="s">
        <v>13</v>
      </c>
      <c r="C13" s="86"/>
      <c r="D13" s="40">
        <f>M9</f>
        <v>0</v>
      </c>
      <c r="E13" s="40">
        <f>M10</f>
        <v>0</v>
      </c>
      <c r="F13" s="40">
        <f>M11</f>
        <v>0</v>
      </c>
      <c r="G13" s="40">
        <f>M12</f>
        <v>0</v>
      </c>
      <c r="H13" s="12"/>
      <c r="I13" s="13"/>
      <c r="L13" s="39">
        <f>M13/12</f>
        <v>0</v>
      </c>
      <c r="M13" s="37">
        <f>SUM(M9:M12)</f>
        <v>0</v>
      </c>
      <c r="O13" s="70"/>
      <c r="Q13" s="86" t="s">
        <v>13</v>
      </c>
      <c r="R13" s="86"/>
      <c r="S13" s="40">
        <f>AB9</f>
        <v>9</v>
      </c>
      <c r="T13" s="40">
        <f>AB10</f>
        <v>12</v>
      </c>
      <c r="U13" s="40">
        <f>AB11</f>
        <v>12</v>
      </c>
      <c r="V13" s="40">
        <f>AB12</f>
        <v>3</v>
      </c>
      <c r="W13" s="12"/>
      <c r="X13" s="13"/>
      <c r="AA13" s="39">
        <f>AB13/12</f>
        <v>3</v>
      </c>
      <c r="AB13" s="37">
        <f>SUM(AB9:AB12)</f>
        <v>36</v>
      </c>
    </row>
    <row r="14" spans="1:28" x14ac:dyDescent="0.35">
      <c r="B14" s="86" t="s">
        <v>12</v>
      </c>
      <c r="C14" s="86"/>
      <c r="D14" s="4">
        <f>D13/12</f>
        <v>0</v>
      </c>
      <c r="E14" s="4">
        <f>E13/12</f>
        <v>0</v>
      </c>
      <c r="F14" s="4">
        <f>F13/12</f>
        <v>0</v>
      </c>
      <c r="G14" s="4">
        <f>G13/12</f>
        <v>0</v>
      </c>
      <c r="H14" s="12"/>
      <c r="I14" s="13"/>
      <c r="O14" s="70"/>
      <c r="Q14" s="86" t="s">
        <v>12</v>
      </c>
      <c r="R14" s="86"/>
      <c r="S14" s="4">
        <f>S13/12</f>
        <v>0.75</v>
      </c>
      <c r="T14" s="4">
        <f>T13/12</f>
        <v>1</v>
      </c>
      <c r="U14" s="4">
        <f>U13/12</f>
        <v>1</v>
      </c>
      <c r="V14" s="4">
        <f>V13/12</f>
        <v>0.25</v>
      </c>
      <c r="W14" s="12"/>
      <c r="X14" s="13"/>
    </row>
    <row r="15" spans="1:28" x14ac:dyDescent="0.35">
      <c r="C15" s="3"/>
      <c r="D15" s="3"/>
      <c r="E15" s="3"/>
      <c r="F15" s="3"/>
      <c r="G15" s="3"/>
      <c r="H15" s="3"/>
      <c r="I15" s="3"/>
      <c r="O15" s="70"/>
      <c r="R15" s="3"/>
      <c r="S15" s="3"/>
      <c r="T15" s="3"/>
      <c r="U15" s="3"/>
      <c r="V15" s="3"/>
      <c r="W15" s="3"/>
      <c r="X15" s="3"/>
    </row>
    <row r="16" spans="1:28" x14ac:dyDescent="0.35">
      <c r="B16" s="66" t="s">
        <v>0</v>
      </c>
      <c r="C16" s="66"/>
      <c r="D16" s="10">
        <f>D11+(D9+D12+D10)*D14</f>
        <v>0</v>
      </c>
      <c r="E16" s="10">
        <f>E11+(E9+E12+E10)*E14</f>
        <v>0</v>
      </c>
      <c r="F16" s="10">
        <f>F11+(F9+F12+F10)*F14</f>
        <v>0</v>
      </c>
      <c r="G16" s="10">
        <f>G11+(G9+G12+G10)*G14</f>
        <v>0</v>
      </c>
      <c r="H16" s="41">
        <f>SUM(D16:G16)</f>
        <v>0</v>
      </c>
      <c r="I16" s="42" t="e">
        <f>SUM(I9:I12)</f>
        <v>#DIV/0!</v>
      </c>
      <c r="L16" s="64"/>
      <c r="O16" s="70"/>
      <c r="Q16" s="66" t="s">
        <v>0</v>
      </c>
      <c r="R16" s="66"/>
      <c r="S16" s="10">
        <f>S11+(S9+S12+S10)*S14</f>
        <v>58250</v>
      </c>
      <c r="T16" s="10">
        <f>T11+(T9+T12+T10)*T14</f>
        <v>71000</v>
      </c>
      <c r="U16" s="10">
        <f>U11+(U9+U12+U10)*U14</f>
        <v>71000</v>
      </c>
      <c r="V16" s="10">
        <f>V11+(V9+V12+V10)*V14</f>
        <v>17750</v>
      </c>
      <c r="W16" s="41">
        <f>SUM(S16:V16)</f>
        <v>218000</v>
      </c>
      <c r="X16" s="42">
        <f>SUM(X9:X12)</f>
        <v>1</v>
      </c>
    </row>
    <row r="17" spans="2:28" x14ac:dyDescent="0.35">
      <c r="B17" s="66" t="s">
        <v>51</v>
      </c>
      <c r="C17" s="66"/>
      <c r="H17" s="43" t="e">
        <f>H16/L13</f>
        <v>#DIV/0!</v>
      </c>
      <c r="O17" s="70"/>
      <c r="Q17" s="66" t="s">
        <v>51</v>
      </c>
      <c r="R17" s="66"/>
      <c r="W17" s="43">
        <f>W16/AA13</f>
        <v>72666.666666666672</v>
      </c>
    </row>
    <row r="18" spans="2:28" x14ac:dyDescent="0.35">
      <c r="O18" s="70"/>
    </row>
    <row r="19" spans="2:28" ht="15" thickBot="1" x14ac:dyDescent="0.4">
      <c r="O19" s="70"/>
    </row>
    <row r="20" spans="2:28" ht="15" thickBot="1" x14ac:dyDescent="0.4">
      <c r="B20" s="67" t="s">
        <v>46</v>
      </c>
      <c r="C20" s="68"/>
      <c r="D20" s="68"/>
      <c r="E20" s="68"/>
      <c r="F20" s="68"/>
      <c r="G20" s="68"/>
      <c r="H20" s="68"/>
      <c r="I20" s="68"/>
      <c r="J20" s="68"/>
      <c r="K20" s="68"/>
      <c r="L20" s="68"/>
      <c r="M20" s="69"/>
      <c r="O20" s="70"/>
      <c r="Q20" s="67" t="s">
        <v>46</v>
      </c>
      <c r="R20" s="68"/>
      <c r="S20" s="68"/>
      <c r="T20" s="68"/>
      <c r="U20" s="68"/>
      <c r="V20" s="68"/>
      <c r="W20" s="68"/>
      <c r="X20" s="68"/>
      <c r="Y20" s="68"/>
      <c r="Z20" s="68"/>
      <c r="AA20" s="68"/>
      <c r="AB20" s="69"/>
    </row>
    <row r="21" spans="2:28" x14ac:dyDescent="0.35">
      <c r="O21" s="70"/>
    </row>
    <row r="22" spans="2:28" ht="29" customHeight="1" x14ac:dyDescent="0.35">
      <c r="B22" s="3"/>
      <c r="C22" s="29" t="s">
        <v>47</v>
      </c>
      <c r="D22" s="82" t="s">
        <v>19</v>
      </c>
      <c r="E22" s="82"/>
      <c r="F22" s="87" t="s">
        <v>20</v>
      </c>
      <c r="G22" s="88"/>
      <c r="H22" s="87" t="s">
        <v>14</v>
      </c>
      <c r="I22" s="88"/>
      <c r="J22" s="87" t="s">
        <v>21</v>
      </c>
      <c r="K22" s="88"/>
      <c r="L22" s="82" t="s">
        <v>22</v>
      </c>
      <c r="M22" s="82"/>
      <c r="O22" s="70"/>
      <c r="Q22" s="3"/>
      <c r="R22" s="29" t="s">
        <v>47</v>
      </c>
      <c r="S22" s="82" t="s">
        <v>19</v>
      </c>
      <c r="T22" s="82"/>
      <c r="U22" s="87" t="s">
        <v>20</v>
      </c>
      <c r="V22" s="88"/>
      <c r="W22" s="87" t="s">
        <v>14</v>
      </c>
      <c r="X22" s="88"/>
      <c r="Y22" s="87" t="s">
        <v>21</v>
      </c>
      <c r="Z22" s="88"/>
      <c r="AA22" s="82" t="s">
        <v>22</v>
      </c>
      <c r="AB22" s="82"/>
    </row>
    <row r="23" spans="2:28" x14ac:dyDescent="0.35">
      <c r="B23" s="3"/>
      <c r="C23" s="1"/>
      <c r="D23" s="1"/>
      <c r="E23" s="1"/>
      <c r="F23" s="1"/>
      <c r="G23" s="1"/>
      <c r="H23" s="1"/>
      <c r="I23" s="1"/>
      <c r="J23" s="1"/>
      <c r="K23" s="1"/>
      <c r="L23" s="1"/>
      <c r="M23" s="1"/>
      <c r="O23" s="70"/>
      <c r="Q23" s="3"/>
      <c r="R23" s="1"/>
      <c r="S23" s="1"/>
      <c r="T23" s="1"/>
      <c r="U23" s="1"/>
      <c r="V23" s="1"/>
      <c r="W23" s="1"/>
      <c r="X23" s="1"/>
      <c r="Y23" s="1"/>
      <c r="Z23" s="1"/>
      <c r="AA23" s="1"/>
      <c r="AB23" s="1"/>
    </row>
    <row r="24" spans="2:28" x14ac:dyDescent="0.35">
      <c r="B24" s="25">
        <v>1</v>
      </c>
      <c r="C24" s="28" t="str">
        <f>'1 - PERIMETRE INTERVENTION'!C25</f>
        <v/>
      </c>
      <c r="D24" s="83"/>
      <c r="E24" s="83"/>
      <c r="F24" s="83"/>
      <c r="G24" s="83"/>
      <c r="H24" s="83"/>
      <c r="I24" s="83"/>
      <c r="J24" s="83"/>
      <c r="K24" s="83"/>
      <c r="L24" s="83"/>
      <c r="M24" s="83"/>
      <c r="O24" s="70"/>
      <c r="Q24" s="25">
        <v>1</v>
      </c>
      <c r="R24" s="28" t="str">
        <f>'1 - PERIMETRE INTERVENTION'!U25</f>
        <v>OG 1</v>
      </c>
      <c r="S24" s="83" t="s">
        <v>43</v>
      </c>
      <c r="T24" s="83"/>
      <c r="U24" s="83" t="s">
        <v>43</v>
      </c>
      <c r="V24" s="83"/>
      <c r="W24" s="83" t="s">
        <v>55</v>
      </c>
      <c r="X24" s="83"/>
      <c r="Y24" s="83"/>
      <c r="Z24" s="83"/>
      <c r="AA24" s="83"/>
      <c r="AB24" s="83"/>
    </row>
    <row r="25" spans="2:28" x14ac:dyDescent="0.35">
      <c r="B25" s="25">
        <v>2</v>
      </c>
      <c r="C25" s="28" t="str">
        <f>'1 - PERIMETRE INTERVENTION'!C26</f>
        <v/>
      </c>
      <c r="D25" s="83"/>
      <c r="E25" s="83"/>
      <c r="F25" s="83"/>
      <c r="G25" s="83"/>
      <c r="H25" s="83"/>
      <c r="I25" s="83"/>
      <c r="J25" s="83"/>
      <c r="K25" s="83"/>
      <c r="L25" s="83"/>
      <c r="M25" s="83"/>
      <c r="O25" s="70"/>
      <c r="Q25" s="25">
        <v>2</v>
      </c>
      <c r="R25" s="28" t="str">
        <f>'1 - PERIMETRE INTERVENTION'!U26</f>
        <v>OG 2</v>
      </c>
      <c r="S25" s="83" t="s">
        <v>44</v>
      </c>
      <c r="T25" s="83"/>
      <c r="U25" s="83" t="s">
        <v>44</v>
      </c>
      <c r="V25" s="83"/>
      <c r="W25" s="83" t="s">
        <v>45</v>
      </c>
      <c r="X25" s="83"/>
      <c r="Y25" s="83"/>
      <c r="Z25" s="83"/>
      <c r="AA25" s="83"/>
      <c r="AB25" s="83"/>
    </row>
    <row r="26" spans="2:28" x14ac:dyDescent="0.35">
      <c r="B26" s="25">
        <v>3</v>
      </c>
      <c r="C26" s="28" t="str">
        <f>'1 - PERIMETRE INTERVENTION'!C27</f>
        <v/>
      </c>
      <c r="D26" s="83"/>
      <c r="E26" s="83"/>
      <c r="F26" s="83"/>
      <c r="G26" s="83"/>
      <c r="H26" s="83"/>
      <c r="I26" s="83"/>
      <c r="J26" s="83"/>
      <c r="K26" s="83"/>
      <c r="L26" s="83"/>
      <c r="M26" s="83"/>
      <c r="O26" s="70"/>
      <c r="Q26" s="25">
        <v>3</v>
      </c>
      <c r="R26" s="28" t="str">
        <f>'1 - PERIMETRE INTERVENTION'!U27</f>
        <v>OG 3</v>
      </c>
      <c r="S26" s="83" t="s">
        <v>44</v>
      </c>
      <c r="T26" s="83"/>
      <c r="U26" s="83" t="s">
        <v>44</v>
      </c>
      <c r="V26" s="83"/>
      <c r="W26" s="83" t="s">
        <v>45</v>
      </c>
      <c r="X26" s="83"/>
      <c r="Y26" s="83"/>
      <c r="Z26" s="83"/>
      <c r="AA26" s="83"/>
      <c r="AB26" s="83"/>
    </row>
    <row r="27" spans="2:28" x14ac:dyDescent="0.35">
      <c r="B27" s="25">
        <v>4</v>
      </c>
      <c r="C27" s="28" t="str">
        <f>'1 - PERIMETRE INTERVENTION'!C28</f>
        <v/>
      </c>
      <c r="D27" s="83"/>
      <c r="E27" s="83"/>
      <c r="F27" s="83"/>
      <c r="G27" s="83"/>
      <c r="H27" s="83"/>
      <c r="I27" s="83"/>
      <c r="J27" s="83"/>
      <c r="K27" s="83"/>
      <c r="L27" s="83"/>
      <c r="M27" s="83"/>
      <c r="O27" s="70"/>
      <c r="Q27" s="25">
        <v>4</v>
      </c>
      <c r="R27" s="28" t="str">
        <f>'1 - PERIMETRE INTERVENTION'!U28</f>
        <v>OG 4</v>
      </c>
      <c r="S27" s="83" t="s">
        <v>44</v>
      </c>
      <c r="T27" s="83"/>
      <c r="U27" s="83" t="s">
        <v>44</v>
      </c>
      <c r="V27" s="83"/>
      <c r="W27" s="83" t="s">
        <v>45</v>
      </c>
      <c r="X27" s="83"/>
      <c r="Y27" s="83"/>
      <c r="Z27" s="83"/>
      <c r="AA27" s="83"/>
      <c r="AB27" s="83"/>
    </row>
    <row r="28" spans="2:28" x14ac:dyDescent="0.35">
      <c r="B28" s="25">
        <v>5</v>
      </c>
      <c r="C28" s="28" t="str">
        <f>'1 - PERIMETRE INTERVENTION'!C29</f>
        <v/>
      </c>
      <c r="D28" s="83"/>
      <c r="E28" s="83"/>
      <c r="F28" s="83"/>
      <c r="G28" s="83"/>
      <c r="H28" s="83"/>
      <c r="I28" s="83"/>
      <c r="J28" s="83"/>
      <c r="K28" s="83"/>
      <c r="L28" s="83"/>
      <c r="M28" s="83"/>
      <c r="O28" s="70"/>
      <c r="Q28" s="25">
        <v>5</v>
      </c>
      <c r="R28" s="28" t="str">
        <f>'1 - PERIMETRE INTERVENTION'!U29</f>
        <v>OG 5</v>
      </c>
      <c r="S28" s="83" t="s">
        <v>43</v>
      </c>
      <c r="T28" s="83"/>
      <c r="U28" s="83" t="s">
        <v>44</v>
      </c>
      <c r="V28" s="83"/>
      <c r="W28" s="83" t="s">
        <v>54</v>
      </c>
      <c r="X28" s="83"/>
      <c r="Y28" s="83"/>
      <c r="Z28" s="83"/>
      <c r="AA28" s="83"/>
      <c r="AB28" s="83"/>
    </row>
    <row r="29" spans="2:28" x14ac:dyDescent="0.35">
      <c r="B29" s="25">
        <v>6</v>
      </c>
      <c r="C29" s="28" t="str">
        <f>'1 - PERIMETRE INTERVENTION'!C30</f>
        <v/>
      </c>
      <c r="D29" s="89"/>
      <c r="E29" s="90"/>
      <c r="F29" s="89"/>
      <c r="G29" s="90"/>
      <c r="H29" s="89"/>
      <c r="I29" s="90"/>
      <c r="J29" s="89"/>
      <c r="K29" s="90"/>
      <c r="L29" s="83"/>
      <c r="M29" s="83"/>
      <c r="O29" s="70"/>
      <c r="Q29" s="25">
        <v>6</v>
      </c>
      <c r="R29" s="28" t="str">
        <f>'1 - PERIMETRE INTERVENTION'!U30</f>
        <v>OG 6</v>
      </c>
      <c r="S29" s="89" t="s">
        <v>43</v>
      </c>
      <c r="T29" s="90"/>
      <c r="U29" s="89" t="s">
        <v>43</v>
      </c>
      <c r="V29" s="90"/>
      <c r="W29" s="89" t="s">
        <v>45</v>
      </c>
      <c r="X29" s="90"/>
      <c r="Y29" s="89"/>
      <c r="Z29" s="90"/>
      <c r="AA29" s="83"/>
      <c r="AB29" s="83"/>
    </row>
    <row r="30" spans="2:28" x14ac:dyDescent="0.35">
      <c r="B30" s="25">
        <v>7</v>
      </c>
      <c r="C30" s="28" t="str">
        <f>'1 - PERIMETRE INTERVENTION'!C31</f>
        <v/>
      </c>
      <c r="D30" s="103"/>
      <c r="E30" s="104"/>
      <c r="F30" s="103"/>
      <c r="G30" s="104"/>
      <c r="H30" s="103"/>
      <c r="I30" s="104"/>
      <c r="J30" s="103"/>
      <c r="K30" s="104"/>
      <c r="L30" s="83"/>
      <c r="M30" s="83"/>
      <c r="O30" s="70"/>
      <c r="Q30" s="25">
        <v>7</v>
      </c>
      <c r="R30" s="28" t="str">
        <f>'1 - PERIMETRE INTERVENTION'!U31</f>
        <v>OG 7</v>
      </c>
      <c r="S30" s="103" t="s">
        <v>43</v>
      </c>
      <c r="T30" s="104"/>
      <c r="U30" s="103" t="s">
        <v>44</v>
      </c>
      <c r="V30" s="104"/>
      <c r="W30" s="103" t="s">
        <v>45</v>
      </c>
      <c r="X30" s="104"/>
      <c r="Y30" s="103"/>
      <c r="Z30" s="104"/>
      <c r="AA30" s="83"/>
      <c r="AB30" s="83"/>
    </row>
    <row r="33" spans="2:14" ht="10.5" customHeight="1" x14ac:dyDescent="0.35">
      <c r="B33" s="3"/>
      <c r="D33" s="97" t="s">
        <v>52</v>
      </c>
      <c r="E33" s="98"/>
      <c r="H33" s="91" t="s">
        <v>53</v>
      </c>
      <c r="I33" s="92"/>
      <c r="L33" s="79" t="s">
        <v>53</v>
      </c>
      <c r="M33" s="79"/>
    </row>
    <row r="34" spans="2:14" ht="10.5" customHeight="1" x14ac:dyDescent="0.35">
      <c r="D34" s="99"/>
      <c r="E34" s="100"/>
      <c r="H34" s="93"/>
      <c r="I34" s="94"/>
      <c r="L34" s="79"/>
      <c r="M34" s="79"/>
    </row>
    <row r="35" spans="2:14" ht="10.5" customHeight="1" x14ac:dyDescent="0.35">
      <c r="D35" s="99"/>
      <c r="E35" s="100"/>
      <c r="H35" s="93"/>
      <c r="I35" s="94"/>
      <c r="L35" s="79"/>
      <c r="M35" s="79"/>
    </row>
    <row r="36" spans="2:14" ht="10.5" customHeight="1" x14ac:dyDescent="0.35">
      <c r="D36" s="101"/>
      <c r="E36" s="102"/>
      <c r="H36" s="95"/>
      <c r="I36" s="96"/>
      <c r="L36" s="79"/>
      <c r="M36" s="79"/>
    </row>
    <row r="39" spans="2:14" x14ac:dyDescent="0.35">
      <c r="N39" s="3"/>
    </row>
    <row r="40" spans="2:14" x14ac:dyDescent="0.35">
      <c r="N40" s="3"/>
    </row>
    <row r="41" spans="2:14" x14ac:dyDescent="0.35">
      <c r="N41" s="3"/>
    </row>
    <row r="42" spans="2:14" x14ac:dyDescent="0.35">
      <c r="N42" s="3"/>
    </row>
  </sheetData>
  <mergeCells count="108">
    <mergeCell ref="S30:T30"/>
    <mergeCell ref="U30:V30"/>
    <mergeCell ref="W30:X30"/>
    <mergeCell ref="Y30:Z30"/>
    <mergeCell ref="AA30:AB30"/>
    <mergeCell ref="S28:T28"/>
    <mergeCell ref="U28:V28"/>
    <mergeCell ref="W28:X28"/>
    <mergeCell ref="Y28:Z28"/>
    <mergeCell ref="AA28:AB28"/>
    <mergeCell ref="S29:T29"/>
    <mergeCell ref="U29:V29"/>
    <mergeCell ref="W29:X29"/>
    <mergeCell ref="Y29:Z29"/>
    <mergeCell ref="AA29:AB29"/>
    <mergeCell ref="S26:T26"/>
    <mergeCell ref="U26:V26"/>
    <mergeCell ref="W26:X26"/>
    <mergeCell ref="Y26:Z26"/>
    <mergeCell ref="AA26:AB26"/>
    <mergeCell ref="S27:T27"/>
    <mergeCell ref="U27:V27"/>
    <mergeCell ref="W27:X27"/>
    <mergeCell ref="Y27:Z27"/>
    <mergeCell ref="AA27:AB27"/>
    <mergeCell ref="S24:T24"/>
    <mergeCell ref="U24:V24"/>
    <mergeCell ref="W24:X24"/>
    <mergeCell ref="Y24:Z24"/>
    <mergeCell ref="AA24:AB24"/>
    <mergeCell ref="S25:T25"/>
    <mergeCell ref="U25:V25"/>
    <mergeCell ref="W25:X25"/>
    <mergeCell ref="Y25:Z25"/>
    <mergeCell ref="AA25:AB25"/>
    <mergeCell ref="Q17:R17"/>
    <mergeCell ref="Q20:AB20"/>
    <mergeCell ref="S22:T22"/>
    <mergeCell ref="U22:V22"/>
    <mergeCell ref="W22:X22"/>
    <mergeCell ref="Y22:Z22"/>
    <mergeCell ref="AA22:AB22"/>
    <mergeCell ref="Q10:R10"/>
    <mergeCell ref="Q11:R11"/>
    <mergeCell ref="Q12:R12"/>
    <mergeCell ref="Q13:R13"/>
    <mergeCell ref="Q14:R14"/>
    <mergeCell ref="Q16:R16"/>
    <mergeCell ref="H33:I36"/>
    <mergeCell ref="D33:E36"/>
    <mergeCell ref="L33:M36"/>
    <mergeCell ref="L22:M22"/>
    <mergeCell ref="B14:C14"/>
    <mergeCell ref="B13:C13"/>
    <mergeCell ref="B12:C12"/>
    <mergeCell ref="B11:C11"/>
    <mergeCell ref="B10:C10"/>
    <mergeCell ref="B16:C16"/>
    <mergeCell ref="B17:C17"/>
    <mergeCell ref="D30:E30"/>
    <mergeCell ref="F30:G30"/>
    <mergeCell ref="H30:I30"/>
    <mergeCell ref="J30:K30"/>
    <mergeCell ref="B20:M20"/>
    <mergeCell ref="L30:M30"/>
    <mergeCell ref="L29:M29"/>
    <mergeCell ref="L28:M28"/>
    <mergeCell ref="L27:M27"/>
    <mergeCell ref="D28:E28"/>
    <mergeCell ref="F28:G28"/>
    <mergeCell ref="H28:I28"/>
    <mergeCell ref="J28:K28"/>
    <mergeCell ref="D29:E29"/>
    <mergeCell ref="F29:G29"/>
    <mergeCell ref="H29:I29"/>
    <mergeCell ref="J29:K29"/>
    <mergeCell ref="D26:E26"/>
    <mergeCell ref="F26:G26"/>
    <mergeCell ref="H26:I26"/>
    <mergeCell ref="J26:K26"/>
    <mergeCell ref="D27:E27"/>
    <mergeCell ref="F27:G27"/>
    <mergeCell ref="H27:I27"/>
    <mergeCell ref="J27:K27"/>
    <mergeCell ref="O3:O30"/>
    <mergeCell ref="L26:M26"/>
    <mergeCell ref="L25:M25"/>
    <mergeCell ref="L24:M24"/>
    <mergeCell ref="B3:M3"/>
    <mergeCell ref="Q3:AB3"/>
    <mergeCell ref="H7:I7"/>
    <mergeCell ref="B5:M5"/>
    <mergeCell ref="B9:C9"/>
    <mergeCell ref="Q5:AB5"/>
    <mergeCell ref="W7:X7"/>
    <mergeCell ref="Q9:R9"/>
    <mergeCell ref="D24:E24"/>
    <mergeCell ref="F24:G24"/>
    <mergeCell ref="H24:I24"/>
    <mergeCell ref="J24:K24"/>
    <mergeCell ref="D25:E25"/>
    <mergeCell ref="F25:G25"/>
    <mergeCell ref="H25:I25"/>
    <mergeCell ref="J25:K25"/>
    <mergeCell ref="D22:E22"/>
    <mergeCell ref="F22:G22"/>
    <mergeCell ref="H22:I22"/>
    <mergeCell ref="J22:K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showGridLines="0" zoomScale="55" zoomScaleNormal="55" workbookViewId="0">
      <selection activeCell="J13" sqref="J13"/>
    </sheetView>
  </sheetViews>
  <sheetFormatPr baseColWidth="10" defaultRowHeight="14.5" x14ac:dyDescent="0.35"/>
  <cols>
    <col min="1" max="1" width="2.7265625" customWidth="1"/>
    <col min="2" max="2" width="3.90625" customWidth="1"/>
    <col min="3" max="3" width="16.08984375" customWidth="1"/>
    <col min="4" max="4" width="2.54296875" customWidth="1"/>
    <col min="5" max="9" width="11.81640625" customWidth="1"/>
    <col min="10" max="10" width="12.90625" customWidth="1"/>
    <col min="11" max="11" width="2.81640625" customWidth="1"/>
    <col min="12" max="13" width="11.81640625" customWidth="1"/>
    <col min="14" max="14" width="3.1796875" customWidth="1"/>
    <col min="15" max="15" width="2.453125" customWidth="1"/>
    <col min="16" max="16" width="3.1796875" customWidth="1"/>
    <col min="17" max="17" width="3.90625" customWidth="1"/>
    <col min="18" max="18" width="9.54296875" customWidth="1"/>
    <col min="19" max="19" width="2.54296875" customWidth="1"/>
    <col min="20" max="24" width="11.81640625" customWidth="1"/>
    <col min="25" max="25" width="12.7265625" customWidth="1"/>
    <col min="26" max="26" width="2.81640625" customWidth="1"/>
    <col min="27" max="28" width="11.81640625" customWidth="1"/>
  </cols>
  <sheetData>
    <row r="1" spans="1:28" x14ac:dyDescent="0.35">
      <c r="A1" s="34" t="s">
        <v>106</v>
      </c>
      <c r="B1" t="s">
        <v>96</v>
      </c>
    </row>
    <row r="2" spans="1:28" ht="15" thickBot="1" x14ac:dyDescent="0.4"/>
    <row r="3" spans="1:28" ht="15" thickBot="1" x14ac:dyDescent="0.4">
      <c r="B3" s="71" t="s">
        <v>39</v>
      </c>
      <c r="C3" s="72"/>
      <c r="D3" s="72"/>
      <c r="E3" s="72"/>
      <c r="F3" s="72"/>
      <c r="G3" s="72"/>
      <c r="H3" s="72"/>
      <c r="I3" s="72"/>
      <c r="J3" s="72"/>
      <c r="K3" s="72"/>
      <c r="L3" s="72"/>
      <c r="M3" s="73"/>
      <c r="O3" s="109"/>
      <c r="Q3" s="74" t="s">
        <v>40</v>
      </c>
      <c r="R3" s="75"/>
      <c r="S3" s="75"/>
      <c r="T3" s="75"/>
      <c r="U3" s="75"/>
      <c r="V3" s="75"/>
      <c r="W3" s="75"/>
      <c r="X3" s="75"/>
      <c r="Y3" s="75"/>
      <c r="Z3" s="75"/>
      <c r="AA3" s="75"/>
      <c r="AB3" s="76"/>
    </row>
    <row r="4" spans="1:28" x14ac:dyDescent="0.35">
      <c r="O4" s="110"/>
    </row>
    <row r="5" spans="1:28" ht="14.5" customHeight="1" x14ac:dyDescent="0.35">
      <c r="B5" s="1"/>
      <c r="C5" s="3"/>
      <c r="D5" s="1"/>
      <c r="E5" s="108" t="s">
        <v>88</v>
      </c>
      <c r="F5" s="108"/>
      <c r="G5" s="108"/>
      <c r="H5" s="108"/>
      <c r="I5" s="108"/>
      <c r="O5" s="110"/>
      <c r="Q5" s="1"/>
      <c r="R5" s="3"/>
      <c r="S5" s="1"/>
      <c r="T5" s="108" t="s">
        <v>88</v>
      </c>
      <c r="U5" s="108"/>
      <c r="V5" s="108"/>
      <c r="W5" s="108"/>
      <c r="X5" s="108"/>
    </row>
    <row r="6" spans="1:28" ht="14.5" customHeight="1" x14ac:dyDescent="0.35">
      <c r="O6" s="110"/>
    </row>
    <row r="7" spans="1:28" x14ac:dyDescent="0.35">
      <c r="B7" s="1"/>
      <c r="C7" s="3"/>
      <c r="D7" s="1"/>
      <c r="E7" s="30" t="s">
        <v>87</v>
      </c>
      <c r="F7" s="49" t="s">
        <v>86</v>
      </c>
      <c r="G7" s="30" t="s">
        <v>84</v>
      </c>
      <c r="H7" s="35" t="s">
        <v>85</v>
      </c>
      <c r="I7" s="30" t="s">
        <v>94</v>
      </c>
      <c r="O7" s="110"/>
      <c r="Q7" s="1"/>
      <c r="R7" s="3"/>
      <c r="S7" s="1"/>
      <c r="T7" s="30" t="s">
        <v>87</v>
      </c>
      <c r="U7" s="49" t="s">
        <v>86</v>
      </c>
      <c r="V7" s="30" t="s">
        <v>84</v>
      </c>
      <c r="W7" s="35" t="s">
        <v>85</v>
      </c>
      <c r="X7" s="30" t="s">
        <v>94</v>
      </c>
    </row>
    <row r="8" spans="1:28" x14ac:dyDescent="0.35">
      <c r="B8" s="1"/>
      <c r="C8" s="1"/>
      <c r="D8" s="1"/>
      <c r="E8" s="1"/>
      <c r="F8" s="1"/>
      <c r="G8" s="1"/>
      <c r="H8" s="1"/>
      <c r="I8" s="1"/>
      <c r="O8" s="110"/>
      <c r="Q8" s="1"/>
      <c r="R8" s="1"/>
      <c r="S8" s="1"/>
      <c r="T8" s="1"/>
      <c r="U8" s="1"/>
      <c r="V8" s="1"/>
      <c r="W8" s="1"/>
      <c r="X8" s="1"/>
    </row>
    <row r="9" spans="1:28" x14ac:dyDescent="0.35">
      <c r="B9" s="27">
        <v>1</v>
      </c>
      <c r="C9" s="28" t="str">
        <f>'1 - PERIMETRE INTERVENTION'!C25</f>
        <v/>
      </c>
      <c r="D9" s="1"/>
      <c r="E9" s="32">
        <f>'1 - PERIMETRE INTERVENTION'!E25</f>
        <v>0</v>
      </c>
      <c r="F9" s="18" t="str">
        <f>'1 - PERIMETRE INTERVENTION'!P25</f>
        <v/>
      </c>
      <c r="G9" s="22" t="str">
        <f>IF(F9="","",21*F9)</f>
        <v/>
      </c>
      <c r="H9" s="40" t="str">
        <f>IF(G9="","",G9*12)</f>
        <v/>
      </c>
      <c r="I9" s="22" t="str">
        <f>IF(E9=0,"",H9/E9)</f>
        <v/>
      </c>
      <c r="O9" s="110"/>
      <c r="Q9" s="27">
        <v>1</v>
      </c>
      <c r="R9" s="28" t="str">
        <f>'2 - COUT RH TOTAL'!R24</f>
        <v>OG 1</v>
      </c>
      <c r="S9" s="1"/>
      <c r="T9" s="32">
        <f>'1 - PERIMETRE INTERVENTION'!W25</f>
        <v>13</v>
      </c>
      <c r="U9" s="18">
        <f>'1 - PERIMETRE INTERVENTION'!AH25</f>
        <v>0.28918305407760231</v>
      </c>
      <c r="V9" s="22">
        <f>IF(U9="","",21*U9)</f>
        <v>6.0728441356296488</v>
      </c>
      <c r="W9" s="40">
        <f>IF(V9="","",V9*12)</f>
        <v>72.874129627555789</v>
      </c>
      <c r="X9" s="22">
        <f>W9/T9</f>
        <v>5.6057022790427533</v>
      </c>
    </row>
    <row r="10" spans="1:28" x14ac:dyDescent="0.35">
      <c r="B10" s="27">
        <v>2</v>
      </c>
      <c r="C10" s="28" t="str">
        <f>'1 - PERIMETRE INTERVENTION'!C26</f>
        <v/>
      </c>
      <c r="D10" s="1"/>
      <c r="E10" s="32">
        <f>'1 - PERIMETRE INTERVENTION'!E26</f>
        <v>0</v>
      </c>
      <c r="F10" s="18" t="str">
        <f>'1 - PERIMETRE INTERVENTION'!P26</f>
        <v/>
      </c>
      <c r="G10" s="22" t="str">
        <f t="shared" ref="G10:G15" si="0">IF(F10="","",21*F10)</f>
        <v/>
      </c>
      <c r="H10" s="40" t="str">
        <f t="shared" ref="H10:H15" si="1">IF(G10="","",G10*12)</f>
        <v/>
      </c>
      <c r="I10" s="22" t="str">
        <f t="shared" ref="I10:I15" si="2">IF(E10=0,"",H10/E10)</f>
        <v/>
      </c>
      <c r="O10" s="110"/>
      <c r="Q10" s="27">
        <v>2</v>
      </c>
      <c r="R10" s="28" t="str">
        <f>'2 - COUT RH TOTAL'!R25</f>
        <v>OG 2</v>
      </c>
      <c r="S10" s="1"/>
      <c r="T10" s="32">
        <f>'1 - PERIMETRE INTERVENTION'!W26</f>
        <v>5</v>
      </c>
      <c r="U10" s="18">
        <f>'1 - PERIMETRE INTERVENTION'!AH26</f>
        <v>0.11289359934850589</v>
      </c>
      <c r="V10" s="22">
        <f t="shared" ref="V10:V15" si="3">IF(U10="","",21*U10)</f>
        <v>2.3707655863186234</v>
      </c>
      <c r="W10" s="40">
        <f t="shared" ref="W10:W15" si="4">IF(V10="","",V10*12)</f>
        <v>28.449187035823481</v>
      </c>
      <c r="X10" s="22">
        <f t="shared" ref="X10:X15" si="5">W10/T10</f>
        <v>5.6898374071646964</v>
      </c>
    </row>
    <row r="11" spans="1:28" x14ac:dyDescent="0.35">
      <c r="B11" s="27">
        <v>3</v>
      </c>
      <c r="C11" s="28" t="str">
        <f>'1 - PERIMETRE INTERVENTION'!C27</f>
        <v/>
      </c>
      <c r="D11" s="1"/>
      <c r="E11" s="32">
        <f>'1 - PERIMETRE INTERVENTION'!E27</f>
        <v>0</v>
      </c>
      <c r="F11" s="18" t="str">
        <f>'1 - PERIMETRE INTERVENTION'!P27</f>
        <v/>
      </c>
      <c r="G11" s="22" t="str">
        <f t="shared" si="0"/>
        <v/>
      </c>
      <c r="H11" s="40" t="str">
        <f t="shared" si="1"/>
        <v/>
      </c>
      <c r="I11" s="22" t="str">
        <f t="shared" si="2"/>
        <v/>
      </c>
      <c r="O11" s="110"/>
      <c r="Q11" s="27">
        <v>3</v>
      </c>
      <c r="R11" s="28" t="str">
        <f>'2 - COUT RH TOTAL'!R26</f>
        <v>OG 3</v>
      </c>
      <c r="S11" s="1"/>
      <c r="T11" s="32">
        <f>'1 - PERIMETRE INTERVENTION'!W27</f>
        <v>6</v>
      </c>
      <c r="U11" s="18">
        <f>'1 - PERIMETRE INTERVENTION'!AH27</f>
        <v>0.13885499137565349</v>
      </c>
      <c r="V11" s="22">
        <f t="shared" si="3"/>
        <v>2.9159548188887232</v>
      </c>
      <c r="W11" s="40">
        <f t="shared" si="4"/>
        <v>34.991457826664679</v>
      </c>
      <c r="X11" s="22">
        <f t="shared" si="5"/>
        <v>5.8319096377774464</v>
      </c>
    </row>
    <row r="12" spans="1:28" x14ac:dyDescent="0.35">
      <c r="B12" s="27">
        <v>4</v>
      </c>
      <c r="C12" s="28" t="str">
        <f>'1 - PERIMETRE INTERVENTION'!C28</f>
        <v/>
      </c>
      <c r="D12" s="1"/>
      <c r="E12" s="32">
        <f>'1 - PERIMETRE INTERVENTION'!E28</f>
        <v>0</v>
      </c>
      <c r="F12" s="18" t="str">
        <f>'1 - PERIMETRE INTERVENTION'!P28</f>
        <v/>
      </c>
      <c r="G12" s="22" t="str">
        <f t="shared" si="0"/>
        <v/>
      </c>
      <c r="H12" s="40" t="str">
        <f t="shared" si="1"/>
        <v/>
      </c>
      <c r="I12" s="22" t="str">
        <f t="shared" si="2"/>
        <v/>
      </c>
      <c r="O12" s="110"/>
      <c r="Q12" s="27">
        <v>4</v>
      </c>
      <c r="R12" s="28" t="str">
        <f>'2 - COUT RH TOTAL'!R27</f>
        <v>OG 4</v>
      </c>
      <c r="S12" s="1"/>
      <c r="T12" s="32">
        <f>'1 - PERIMETRE INTERVENTION'!W28</f>
        <v>5</v>
      </c>
      <c r="U12" s="18">
        <f>'1 - PERIMETRE INTERVENTION'!AH28</f>
        <v>0.10592060078593053</v>
      </c>
      <c r="V12" s="22">
        <f t="shared" si="3"/>
        <v>2.2243326165045412</v>
      </c>
      <c r="W12" s="40">
        <f t="shared" si="4"/>
        <v>26.691991398054494</v>
      </c>
      <c r="X12" s="22">
        <f t="shared" si="5"/>
        <v>5.3383982796108986</v>
      </c>
    </row>
    <row r="13" spans="1:28" x14ac:dyDescent="0.35">
      <c r="B13" s="27">
        <v>5</v>
      </c>
      <c r="C13" s="28" t="str">
        <f>'1 - PERIMETRE INTERVENTION'!C29</f>
        <v/>
      </c>
      <c r="D13" s="1"/>
      <c r="E13" s="32">
        <f>'1 - PERIMETRE INTERVENTION'!E29</f>
        <v>0</v>
      </c>
      <c r="F13" s="18" t="str">
        <f>'1 - PERIMETRE INTERVENTION'!P29</f>
        <v/>
      </c>
      <c r="G13" s="22" t="str">
        <f t="shared" si="0"/>
        <v/>
      </c>
      <c r="H13" s="40" t="str">
        <f t="shared" si="1"/>
        <v/>
      </c>
      <c r="I13" s="22" t="str">
        <f t="shared" si="2"/>
        <v/>
      </c>
      <c r="O13" s="110"/>
      <c r="Q13" s="27">
        <v>5</v>
      </c>
      <c r="R13" s="28" t="str">
        <f>'2 - COUT RH TOTAL'!R28</f>
        <v>OG 5</v>
      </c>
      <c r="S13" s="1"/>
      <c r="T13" s="32">
        <f>'1 - PERIMETRE INTERVENTION'!W29</f>
        <v>7</v>
      </c>
      <c r="U13" s="18">
        <f>'1 - PERIMETRE INTERVENTION'!AH29</f>
        <v>0.11656682503080151</v>
      </c>
      <c r="V13" s="22">
        <f t="shared" si="3"/>
        <v>2.4479033256468319</v>
      </c>
      <c r="W13" s="40">
        <f t="shared" si="4"/>
        <v>29.374839907761981</v>
      </c>
      <c r="X13" s="22">
        <f t="shared" si="5"/>
        <v>4.196405701108854</v>
      </c>
    </row>
    <row r="14" spans="1:28" x14ac:dyDescent="0.35">
      <c r="B14" s="27">
        <v>6</v>
      </c>
      <c r="C14" s="28" t="str">
        <f>'1 - PERIMETRE INTERVENTION'!C30</f>
        <v/>
      </c>
      <c r="D14" s="1"/>
      <c r="E14" s="32">
        <f>'1 - PERIMETRE INTERVENTION'!E30</f>
        <v>0</v>
      </c>
      <c r="F14" s="18" t="str">
        <f>'1 - PERIMETRE INTERVENTION'!P30</f>
        <v/>
      </c>
      <c r="G14" s="22" t="str">
        <f t="shared" si="0"/>
        <v/>
      </c>
      <c r="H14" s="40" t="str">
        <f t="shared" si="1"/>
        <v/>
      </c>
      <c r="I14" s="22" t="str">
        <f t="shared" si="2"/>
        <v/>
      </c>
      <c r="O14" s="110"/>
      <c r="Q14" s="27">
        <v>6</v>
      </c>
      <c r="R14" s="28" t="str">
        <f>'2 - COUT RH TOTAL'!R29</f>
        <v>OG 6</v>
      </c>
      <c r="S14" s="1"/>
      <c r="T14" s="32">
        <f>'1 - PERIMETRE INTERVENTION'!W30</f>
        <v>4</v>
      </c>
      <c r="U14" s="18">
        <f>'1 - PERIMETRE INTERVENTION'!AH30</f>
        <v>0.15091184629684029</v>
      </c>
      <c r="V14" s="22">
        <f t="shared" si="3"/>
        <v>3.1691487722336462</v>
      </c>
      <c r="W14" s="40">
        <f t="shared" si="4"/>
        <v>38.029785266803756</v>
      </c>
      <c r="X14" s="22">
        <f t="shared" si="5"/>
        <v>9.5074463167009391</v>
      </c>
    </row>
    <row r="15" spans="1:28" x14ac:dyDescent="0.35">
      <c r="B15" s="27">
        <v>7</v>
      </c>
      <c r="C15" s="28" t="str">
        <f>'1 - PERIMETRE INTERVENTION'!C31</f>
        <v/>
      </c>
      <c r="D15" s="1"/>
      <c r="E15" s="32">
        <f>'1 - PERIMETRE INTERVENTION'!E31</f>
        <v>0</v>
      </c>
      <c r="F15" s="18" t="str">
        <f>'1 - PERIMETRE INTERVENTION'!P31</f>
        <v/>
      </c>
      <c r="G15" s="22" t="str">
        <f t="shared" si="0"/>
        <v/>
      </c>
      <c r="H15" s="40" t="str">
        <f t="shared" si="1"/>
        <v/>
      </c>
      <c r="I15" s="22" t="str">
        <f t="shared" si="2"/>
        <v/>
      </c>
      <c r="O15" s="110"/>
      <c r="Q15" s="27">
        <v>7</v>
      </c>
      <c r="R15" s="28" t="str">
        <f>'2 - COUT RH TOTAL'!R30</f>
        <v>OG 7</v>
      </c>
      <c r="S15" s="1"/>
      <c r="T15" s="32">
        <f>'1 - PERIMETRE INTERVENTION'!W31</f>
        <v>2</v>
      </c>
      <c r="U15" s="18">
        <f>'1 - PERIMETRE INTERVENTION'!AH31</f>
        <v>8.5669083084665962E-2</v>
      </c>
      <c r="V15" s="22">
        <f t="shared" si="3"/>
        <v>1.7990507447779851</v>
      </c>
      <c r="W15" s="40">
        <f t="shared" si="4"/>
        <v>21.58860893733582</v>
      </c>
      <c r="X15" s="22">
        <f t="shared" si="5"/>
        <v>10.79430446866791</v>
      </c>
    </row>
    <row r="16" spans="1:28" x14ac:dyDescent="0.35">
      <c r="B16" s="3"/>
      <c r="C16" s="3"/>
      <c r="D16" s="3"/>
      <c r="E16" s="3"/>
      <c r="F16" s="3"/>
      <c r="G16" s="3"/>
      <c r="H16" s="3"/>
      <c r="I16" s="3"/>
      <c r="O16" s="110"/>
      <c r="Q16" s="3"/>
      <c r="R16" s="3"/>
      <c r="S16" s="3"/>
      <c r="T16" s="3"/>
      <c r="U16" s="3"/>
      <c r="V16" s="3"/>
      <c r="W16" s="3"/>
      <c r="X16" s="3"/>
    </row>
    <row r="17" spans="2:28" x14ac:dyDescent="0.35">
      <c r="B17" s="66" t="s">
        <v>0</v>
      </c>
      <c r="C17" s="66"/>
      <c r="D17" s="1"/>
      <c r="E17" s="30">
        <f>SUM(E9:E15)</f>
        <v>0</v>
      </c>
      <c r="F17" s="42">
        <f>SUM(F9:F15)</f>
        <v>0</v>
      </c>
      <c r="G17" s="17">
        <f>SUM(G9:G15)</f>
        <v>0</v>
      </c>
      <c r="H17" s="51">
        <f>SUM(H9:H15)</f>
        <v>0</v>
      </c>
      <c r="I17" s="17" t="str">
        <f>IF(SUM(I9:I15)=0,"",AVERAGE(I9:I15))</f>
        <v/>
      </c>
      <c r="O17" s="110"/>
      <c r="Q17" s="66" t="s">
        <v>0</v>
      </c>
      <c r="R17" s="66"/>
      <c r="S17" s="1"/>
      <c r="T17" s="30">
        <f>SUM(T9:T15)</f>
        <v>42</v>
      </c>
      <c r="U17" s="42">
        <f>SUM(U9:U15)</f>
        <v>1</v>
      </c>
      <c r="V17" s="17">
        <f>SUM(V9:V15)</f>
        <v>21</v>
      </c>
      <c r="W17" s="51">
        <f>SUM(W9:W15)</f>
        <v>252</v>
      </c>
      <c r="X17" s="17">
        <f>AVERAGE(X9:X15)</f>
        <v>6.709143441439072</v>
      </c>
    </row>
    <row r="18" spans="2:28" x14ac:dyDescent="0.35">
      <c r="O18" s="110"/>
    </row>
    <row r="19" spans="2:28" x14ac:dyDescent="0.35">
      <c r="C19" s="3"/>
      <c r="O19" s="110"/>
      <c r="R19" s="3"/>
    </row>
    <row r="20" spans="2:28" ht="14.5" customHeight="1" x14ac:dyDescent="0.35">
      <c r="C20" s="3"/>
      <c r="E20" s="105" t="s">
        <v>89</v>
      </c>
      <c r="F20" s="106"/>
      <c r="G20" s="106"/>
      <c r="H20" s="106"/>
      <c r="I20" s="106"/>
      <c r="J20" s="106"/>
      <c r="K20" s="106"/>
      <c r="L20" s="106"/>
      <c r="M20" s="107"/>
      <c r="O20" s="110"/>
      <c r="R20" s="3"/>
      <c r="T20" s="105" t="s">
        <v>89</v>
      </c>
      <c r="U20" s="106"/>
      <c r="V20" s="106"/>
      <c r="W20" s="106"/>
      <c r="X20" s="106"/>
      <c r="Y20" s="106"/>
      <c r="Z20" s="106"/>
      <c r="AA20" s="106"/>
      <c r="AB20" s="107"/>
    </row>
    <row r="21" spans="2:28" ht="14.5" customHeight="1" x14ac:dyDescent="0.35">
      <c r="C21" s="3"/>
      <c r="D21" s="3"/>
      <c r="E21" s="3"/>
      <c r="F21" s="3"/>
      <c r="G21" s="3"/>
      <c r="H21" s="3"/>
      <c r="I21" s="3"/>
      <c r="J21" s="3"/>
      <c r="K21" s="3"/>
      <c r="L21" s="3"/>
      <c r="M21" s="3"/>
      <c r="N21" s="3"/>
      <c r="O21" s="110"/>
      <c r="R21" s="3"/>
      <c r="S21" s="3"/>
      <c r="T21" s="3"/>
      <c r="U21" s="3"/>
      <c r="V21" s="3"/>
      <c r="W21" s="3"/>
      <c r="X21" s="3"/>
      <c r="Y21" s="3"/>
      <c r="Z21" s="3"/>
      <c r="AA21" s="3"/>
      <c r="AB21" s="3"/>
    </row>
    <row r="22" spans="2:28" x14ac:dyDescent="0.35">
      <c r="C22" s="3"/>
      <c r="E22" s="17">
        <f>'2 - COUT RH TOTAL'!D7</f>
        <v>0</v>
      </c>
      <c r="F22" s="17">
        <f>'2 - COUT RH TOTAL'!E7</f>
        <v>0</v>
      </c>
      <c r="G22" s="17">
        <f>'2 - COUT RH TOTAL'!F7</f>
        <v>0</v>
      </c>
      <c r="H22" s="17">
        <f>'2 - COUT RH TOTAL'!G7</f>
        <v>0</v>
      </c>
      <c r="I22" s="51" t="s">
        <v>92</v>
      </c>
      <c r="J22" s="51" t="s">
        <v>93</v>
      </c>
      <c r="L22" s="24" t="s">
        <v>90</v>
      </c>
      <c r="M22" s="24" t="s">
        <v>91</v>
      </c>
      <c r="O22" s="110"/>
      <c r="R22" s="3"/>
      <c r="T22" s="17">
        <f>'2 - COUT RH TOTAL'!S7</f>
        <v>2026</v>
      </c>
      <c r="U22" s="17">
        <f>'2 - COUT RH TOTAL'!T7</f>
        <v>2027</v>
      </c>
      <c r="V22" s="17">
        <f>'2 - COUT RH TOTAL'!U7</f>
        <v>2028</v>
      </c>
      <c r="W22" s="17">
        <f>'2 - COUT RH TOTAL'!V7</f>
        <v>2029</v>
      </c>
      <c r="X22" s="51" t="s">
        <v>92</v>
      </c>
      <c r="Y22" s="51" t="s">
        <v>93</v>
      </c>
      <c r="AA22" s="24" t="s">
        <v>90</v>
      </c>
      <c r="AB22" s="24" t="s">
        <v>91</v>
      </c>
    </row>
    <row r="23" spans="2:28" x14ac:dyDescent="0.35">
      <c r="E23" s="1"/>
      <c r="F23" s="1"/>
      <c r="G23" s="1"/>
      <c r="I23" s="1"/>
      <c r="J23" s="3"/>
      <c r="L23" s="3"/>
      <c r="M23" s="3"/>
      <c r="O23" s="110"/>
      <c r="T23" s="1"/>
      <c r="U23" s="1"/>
      <c r="V23" s="1"/>
      <c r="X23" s="1"/>
      <c r="Y23" s="3"/>
      <c r="AA23" s="3"/>
      <c r="AB23" s="3"/>
    </row>
    <row r="24" spans="2:28" x14ac:dyDescent="0.35">
      <c r="B24" s="27">
        <v>1</v>
      </c>
      <c r="C24" s="28" t="str">
        <f>C9</f>
        <v/>
      </c>
      <c r="E24" s="7" t="str">
        <f>IF(F9="","",F9*'2 - COUT RH TOTAL'!$D$16)</f>
        <v/>
      </c>
      <c r="F24" s="7" t="str">
        <f>IF(F9="","",F9*'2 - COUT RH TOTAL'!$E$16)</f>
        <v/>
      </c>
      <c r="G24" s="7" t="str">
        <f>IF(F9="","",F9*'2 - COUT RH TOTAL'!$F$16)</f>
        <v/>
      </c>
      <c r="H24" s="7" t="str">
        <f>IF(F9="","",F9*'2 - COUT RH TOTAL'!$G$16)</f>
        <v/>
      </c>
      <c r="I24" s="26">
        <f>SUM(E24:H24)</f>
        <v>0</v>
      </c>
      <c r="J24" s="26">
        <f>IF(I24=0,0,I24/'2 - COUT RH TOTAL'!$L$13)</f>
        <v>0</v>
      </c>
      <c r="L24" s="7" t="str">
        <f t="shared" ref="L24:L30" si="6">IF(E9=0,"",I24/E9)</f>
        <v/>
      </c>
      <c r="M24" s="7" t="str">
        <f>IF(L24="","",L24/'2 - COUT RH TOTAL'!$L$13)</f>
        <v/>
      </c>
      <c r="O24" s="110"/>
      <c r="Q24" s="27">
        <v>1</v>
      </c>
      <c r="R24" s="28" t="str">
        <f>R9</f>
        <v>OG 1</v>
      </c>
      <c r="T24" s="7">
        <f>IF(U9="","",U9*'2 - COUT RH TOTAL'!$S$16)</f>
        <v>16844.912900020336</v>
      </c>
      <c r="U24" s="7">
        <f>IF(U9="","",U9*'2 - COUT RH TOTAL'!$T$16)</f>
        <v>20531.996839509764</v>
      </c>
      <c r="V24" s="7">
        <f>IF(U9="","",U9*'2 - COUT RH TOTAL'!$U$16)</f>
        <v>20531.996839509764</v>
      </c>
      <c r="W24" s="7">
        <f>IF(U9="","",U9*'2 - COUT RH TOTAL'!$V$16)</f>
        <v>5132.999209877441</v>
      </c>
      <c r="X24" s="26">
        <f>SUM(T24:W24)</f>
        <v>63041.905788917298</v>
      </c>
      <c r="Y24" s="26">
        <f>IF(X24=0,0,X24/'2 - COUT RH TOTAL'!$AA$13)</f>
        <v>21013.968596305767</v>
      </c>
      <c r="AA24" s="7">
        <f t="shared" ref="AA24:AA30" si="7">IF(T9=0,"",X24/T9)</f>
        <v>4849.3773683782538</v>
      </c>
      <c r="AB24" s="7">
        <f>IF(AA24="","",AA24/'2 - COUT RH TOTAL'!$AA$13)</f>
        <v>1616.4591227927513</v>
      </c>
    </row>
    <row r="25" spans="2:28" x14ac:dyDescent="0.35">
      <c r="B25" s="27">
        <v>2</v>
      </c>
      <c r="C25" s="28" t="str">
        <f t="shared" ref="C25:C30" si="8">C10</f>
        <v/>
      </c>
      <c r="E25" s="7" t="str">
        <f>IF(F10="","",F10*'2 - COUT RH TOTAL'!$D$16)</f>
        <v/>
      </c>
      <c r="F25" s="7" t="str">
        <f>IF(F10="","",F10*'2 - COUT RH TOTAL'!$E$16)</f>
        <v/>
      </c>
      <c r="G25" s="7" t="str">
        <f>IF(F10="","",F10*'2 - COUT RH TOTAL'!$F$16)</f>
        <v/>
      </c>
      <c r="H25" s="7" t="str">
        <f>IF(F10="","",F10*'2 - COUT RH TOTAL'!$G$16)</f>
        <v/>
      </c>
      <c r="I25" s="26">
        <f t="shared" ref="I25:I30" si="9">SUM(E25:H25)</f>
        <v>0</v>
      </c>
      <c r="J25" s="26">
        <f>IF(I25=0,0,I25/'2 - COUT RH TOTAL'!$L$13)</f>
        <v>0</v>
      </c>
      <c r="L25" s="7" t="str">
        <f t="shared" si="6"/>
        <v/>
      </c>
      <c r="M25" s="7" t="str">
        <f>IF(L25="","",L25/'2 - COUT RH TOTAL'!$L$13)</f>
        <v/>
      </c>
      <c r="O25" s="110"/>
      <c r="Q25" s="27">
        <v>2</v>
      </c>
      <c r="R25" s="28" t="str">
        <f t="shared" ref="R25:R30" si="10">R10</f>
        <v>OG 2</v>
      </c>
      <c r="T25" s="7">
        <f>IF(U10="","",U10*'2 - COUT RH TOTAL'!$S$16)</f>
        <v>6576.0521620504678</v>
      </c>
      <c r="U25" s="7">
        <f>IF(U10="","",U10*'2 - COUT RH TOTAL'!$T$16)</f>
        <v>8015.445553743918</v>
      </c>
      <c r="V25" s="7">
        <f>IF(U10="","",U10*'2 - COUT RH TOTAL'!$U$16)</f>
        <v>8015.445553743918</v>
      </c>
      <c r="W25" s="7">
        <f>IF(U10="","",U10*'2 - COUT RH TOTAL'!$V$16)</f>
        <v>2003.8613884359795</v>
      </c>
      <c r="X25" s="26">
        <f t="shared" ref="X25:X30" si="11">SUM(T25:W25)</f>
        <v>24610.804657974284</v>
      </c>
      <c r="Y25" s="26">
        <f>IF(X25=0,0,X25/'2 - COUT RH TOTAL'!$AA$13)</f>
        <v>8203.6015526580941</v>
      </c>
      <c r="AA25" s="7">
        <f t="shared" si="7"/>
        <v>4922.1609315948572</v>
      </c>
      <c r="AB25" s="7">
        <f>IF(AA25="","",AA25/'2 - COUT RH TOTAL'!$AA$13)</f>
        <v>1640.7203105316191</v>
      </c>
    </row>
    <row r="26" spans="2:28" x14ac:dyDescent="0.35">
      <c r="B26" s="27">
        <v>3</v>
      </c>
      <c r="C26" s="28" t="str">
        <f t="shared" si="8"/>
        <v/>
      </c>
      <c r="E26" s="7" t="str">
        <f>IF(F11="","",F11*'2 - COUT RH TOTAL'!$D$16)</f>
        <v/>
      </c>
      <c r="F26" s="7" t="str">
        <f>IF(F11="","",F11*'2 - COUT RH TOTAL'!$E$16)</f>
        <v/>
      </c>
      <c r="G26" s="7" t="str">
        <f>IF(F11="","",F11*'2 - COUT RH TOTAL'!$F$16)</f>
        <v/>
      </c>
      <c r="H26" s="7" t="str">
        <f>IF(F11="","",F11*'2 - COUT RH TOTAL'!$G$16)</f>
        <v/>
      </c>
      <c r="I26" s="26">
        <f t="shared" si="9"/>
        <v>0</v>
      </c>
      <c r="J26" s="26">
        <f>IF(I26=0,0,I26/'2 - COUT RH TOTAL'!$L$13)</f>
        <v>0</v>
      </c>
      <c r="L26" s="7" t="str">
        <f t="shared" si="6"/>
        <v/>
      </c>
      <c r="M26" s="7" t="str">
        <f>IF(L26="","",L26/'2 - COUT RH TOTAL'!$L$13)</f>
        <v/>
      </c>
      <c r="O26" s="110"/>
      <c r="Q26" s="27">
        <v>3</v>
      </c>
      <c r="R26" s="28" t="str">
        <f t="shared" si="10"/>
        <v>OG 3</v>
      </c>
      <c r="T26" s="7">
        <f>IF(U11="","",U11*'2 - COUT RH TOTAL'!$S$16)</f>
        <v>8088.3032476318158</v>
      </c>
      <c r="U26" s="7">
        <f>IF(U11="","",U11*'2 - COUT RH TOTAL'!$T$16)</f>
        <v>9858.7043876713979</v>
      </c>
      <c r="V26" s="7">
        <f>IF(U11="","",U11*'2 - COUT RH TOTAL'!$U$16)</f>
        <v>9858.7043876713979</v>
      </c>
      <c r="W26" s="7">
        <f>IF(U11="","",U11*'2 - COUT RH TOTAL'!$V$16)</f>
        <v>2464.6760969178495</v>
      </c>
      <c r="X26" s="26">
        <f t="shared" si="11"/>
        <v>30270.388119892461</v>
      </c>
      <c r="Y26" s="26">
        <f>IF(X26=0,0,X26/'2 - COUT RH TOTAL'!$AA$13)</f>
        <v>10090.129373297486</v>
      </c>
      <c r="AA26" s="7">
        <f t="shared" si="7"/>
        <v>5045.0646866487432</v>
      </c>
      <c r="AB26" s="7">
        <f>IF(AA26="","",AA26/'2 - COUT RH TOTAL'!$AA$13)</f>
        <v>1681.6882288829145</v>
      </c>
    </row>
    <row r="27" spans="2:28" x14ac:dyDescent="0.35">
      <c r="B27" s="27">
        <v>4</v>
      </c>
      <c r="C27" s="28" t="str">
        <f t="shared" si="8"/>
        <v/>
      </c>
      <c r="E27" s="7" t="str">
        <f>IF(F12="","",F12*'2 - COUT RH TOTAL'!$D$16)</f>
        <v/>
      </c>
      <c r="F27" s="7" t="str">
        <f>IF(F12="","",F12*'2 - COUT RH TOTAL'!$E$16)</f>
        <v/>
      </c>
      <c r="G27" s="7" t="str">
        <f>IF(F12="","",F12*'2 - COUT RH TOTAL'!$F$16)</f>
        <v/>
      </c>
      <c r="H27" s="7" t="str">
        <f>IF(F12="","",F12*'2 - COUT RH TOTAL'!$G$16)</f>
        <v/>
      </c>
      <c r="I27" s="26">
        <f t="shared" si="9"/>
        <v>0</v>
      </c>
      <c r="J27" s="26">
        <f>IF(I27=0,0,I27/'2 - COUT RH TOTAL'!$L$13)</f>
        <v>0</v>
      </c>
      <c r="L27" s="7" t="str">
        <f t="shared" si="6"/>
        <v/>
      </c>
      <c r="M27" s="7" t="str">
        <f>IF(L27="","",L27/'2 - COUT RH TOTAL'!$L$13)</f>
        <v/>
      </c>
      <c r="O27" s="110"/>
      <c r="Q27" s="27">
        <v>4</v>
      </c>
      <c r="R27" s="28" t="str">
        <f t="shared" si="10"/>
        <v>OG 4</v>
      </c>
      <c r="T27" s="7">
        <f>IF(U12="","",U12*'2 - COUT RH TOTAL'!$S$16)</f>
        <v>6169.8749957804539</v>
      </c>
      <c r="U27" s="7">
        <f>IF(U12="","",U12*'2 - COUT RH TOTAL'!$T$16)</f>
        <v>7520.3626558010674</v>
      </c>
      <c r="V27" s="7">
        <f>IF(U12="","",U12*'2 - COUT RH TOTAL'!$U$16)</f>
        <v>7520.3626558010674</v>
      </c>
      <c r="W27" s="7">
        <f>IF(U12="","",U12*'2 - COUT RH TOTAL'!$V$16)</f>
        <v>1880.0906639502668</v>
      </c>
      <c r="X27" s="26">
        <f t="shared" si="11"/>
        <v>23090.690971332857</v>
      </c>
      <c r="Y27" s="26">
        <f>IF(X27=0,0,X27/'2 - COUT RH TOTAL'!$AA$13)</f>
        <v>7696.8969904442856</v>
      </c>
      <c r="AA27" s="7">
        <f t="shared" si="7"/>
        <v>4618.1381942665712</v>
      </c>
      <c r="AB27" s="7">
        <f>IF(AA27="","",AA27/'2 - COUT RH TOTAL'!$AA$13)</f>
        <v>1539.379398088857</v>
      </c>
    </row>
    <row r="28" spans="2:28" x14ac:dyDescent="0.35">
      <c r="B28" s="27">
        <v>5</v>
      </c>
      <c r="C28" s="28" t="str">
        <f t="shared" si="8"/>
        <v/>
      </c>
      <c r="E28" s="7" t="str">
        <f>IF(F13="","",F13*'2 - COUT RH TOTAL'!$D$16)</f>
        <v/>
      </c>
      <c r="F28" s="7" t="str">
        <f>IF(F13="","",F13*'2 - COUT RH TOTAL'!$E$16)</f>
        <v/>
      </c>
      <c r="G28" s="7" t="str">
        <f>IF(F13="","",F13*'2 - COUT RH TOTAL'!$F$16)</f>
        <v/>
      </c>
      <c r="H28" s="7" t="str">
        <f>IF(F13="","",F13*'2 - COUT RH TOTAL'!$G$16)</f>
        <v/>
      </c>
      <c r="I28" s="26">
        <f t="shared" si="9"/>
        <v>0</v>
      </c>
      <c r="J28" s="26">
        <f>IF(I28=0,0,I28/'2 - COUT RH TOTAL'!$L$13)</f>
        <v>0</v>
      </c>
      <c r="L28" s="7" t="str">
        <f t="shared" si="6"/>
        <v/>
      </c>
      <c r="M28" s="7" t="str">
        <f>IF(L28="","",L28/'2 - COUT RH TOTAL'!$L$13)</f>
        <v/>
      </c>
      <c r="O28" s="110"/>
      <c r="Q28" s="27">
        <v>5</v>
      </c>
      <c r="R28" s="28" t="str">
        <f t="shared" si="10"/>
        <v>OG 5</v>
      </c>
      <c r="T28" s="7">
        <f>IF(U13="","",U13*'2 - COUT RH TOTAL'!$S$16)</f>
        <v>6790.0175580441883</v>
      </c>
      <c r="U28" s="7">
        <f>IF(U13="","",U13*'2 - COUT RH TOTAL'!$T$16)</f>
        <v>8276.2445771869079</v>
      </c>
      <c r="V28" s="7">
        <f>IF(U13="","",U13*'2 - COUT RH TOTAL'!$U$16)</f>
        <v>8276.2445771869079</v>
      </c>
      <c r="W28" s="7">
        <f>IF(U13="","",U13*'2 - COUT RH TOTAL'!$V$16)</f>
        <v>2069.061144296727</v>
      </c>
      <c r="X28" s="26">
        <f t="shared" si="11"/>
        <v>25411.567856714733</v>
      </c>
      <c r="Y28" s="26">
        <f>IF(X28=0,0,X28/'2 - COUT RH TOTAL'!$AA$13)</f>
        <v>8470.5226189049117</v>
      </c>
      <c r="AA28" s="7">
        <f t="shared" si="7"/>
        <v>3630.2239795306764</v>
      </c>
      <c r="AB28" s="7">
        <f>IF(AA28="","",AA28/'2 - COUT RH TOTAL'!$AA$13)</f>
        <v>1210.0746598435587</v>
      </c>
    </row>
    <row r="29" spans="2:28" x14ac:dyDescent="0.35">
      <c r="B29" s="27">
        <v>6</v>
      </c>
      <c r="C29" s="28" t="str">
        <f t="shared" si="8"/>
        <v/>
      </c>
      <c r="E29" s="7" t="str">
        <f>IF(F14="","",F14*'2 - COUT RH TOTAL'!$D$16)</f>
        <v/>
      </c>
      <c r="F29" s="7" t="str">
        <f>IF(F14="","",F14*'2 - COUT RH TOTAL'!$E$16)</f>
        <v/>
      </c>
      <c r="G29" s="7" t="str">
        <f>IF(F14="","",F14*'2 - COUT RH TOTAL'!$F$16)</f>
        <v/>
      </c>
      <c r="H29" s="7" t="str">
        <f>IF(F14="","",F14*'2 - COUT RH TOTAL'!$G$16)</f>
        <v/>
      </c>
      <c r="I29" s="26">
        <f t="shared" si="9"/>
        <v>0</v>
      </c>
      <c r="J29" s="26">
        <f>IF(I29=0,0,I29/'2 - COUT RH TOTAL'!$L$13)</f>
        <v>0</v>
      </c>
      <c r="L29" s="7" t="str">
        <f t="shared" si="6"/>
        <v/>
      </c>
      <c r="M29" s="7" t="str">
        <f>IF(L29="","",L29/'2 - COUT RH TOTAL'!$L$13)</f>
        <v/>
      </c>
      <c r="O29" s="110"/>
      <c r="Q29" s="27">
        <v>6</v>
      </c>
      <c r="R29" s="28" t="str">
        <f t="shared" si="10"/>
        <v>OG 6</v>
      </c>
      <c r="T29" s="7">
        <f>IF(U14="","",U14*'2 - COUT RH TOTAL'!$S$16)</f>
        <v>8790.6150467909465</v>
      </c>
      <c r="U29" s="7">
        <f>IF(U14="","",U14*'2 - COUT RH TOTAL'!$T$16)</f>
        <v>10714.741087075661</v>
      </c>
      <c r="V29" s="7">
        <f>IF(U14="","",U14*'2 - COUT RH TOTAL'!$U$16)</f>
        <v>10714.741087075661</v>
      </c>
      <c r="W29" s="7">
        <f>IF(U14="","",U14*'2 - COUT RH TOTAL'!$V$16)</f>
        <v>2678.6852717689153</v>
      </c>
      <c r="X29" s="26">
        <f t="shared" si="11"/>
        <v>32898.782492711187</v>
      </c>
      <c r="Y29" s="26">
        <f>IF(X29=0,0,X29/'2 - COUT RH TOTAL'!$AA$13)</f>
        <v>10966.26083090373</v>
      </c>
      <c r="AA29" s="7">
        <f t="shared" si="7"/>
        <v>8224.6956231777967</v>
      </c>
      <c r="AB29" s="7">
        <f>IF(AA29="","",AA29/'2 - COUT RH TOTAL'!$AA$13)</f>
        <v>2741.5652077259324</v>
      </c>
    </row>
    <row r="30" spans="2:28" x14ac:dyDescent="0.35">
      <c r="B30" s="27">
        <v>7</v>
      </c>
      <c r="C30" s="28" t="str">
        <f t="shared" si="8"/>
        <v/>
      </c>
      <c r="E30" s="7" t="str">
        <f>IF(F15="","",F15*'2 - COUT RH TOTAL'!$D$16)</f>
        <v/>
      </c>
      <c r="F30" s="7" t="str">
        <f>IF(F15="","",F15*'2 - COUT RH TOTAL'!$E$16)</f>
        <v/>
      </c>
      <c r="G30" s="7" t="str">
        <f>IF(F15="","",F15*'2 - COUT RH TOTAL'!$F$16)</f>
        <v/>
      </c>
      <c r="H30" s="7" t="str">
        <f>IF(F15="","",F15*'2 - COUT RH TOTAL'!$G$16)</f>
        <v/>
      </c>
      <c r="I30" s="26">
        <f t="shared" si="9"/>
        <v>0</v>
      </c>
      <c r="J30" s="26">
        <f>IF(I30=0,0,I30/'2 - COUT RH TOTAL'!$L$13)</f>
        <v>0</v>
      </c>
      <c r="L30" s="7" t="str">
        <f t="shared" si="6"/>
        <v/>
      </c>
      <c r="M30" s="7" t="str">
        <f>IF(L30="","",L30/'2 - COUT RH TOTAL'!$L$13)</f>
        <v/>
      </c>
      <c r="O30" s="110"/>
      <c r="Q30" s="27">
        <v>7</v>
      </c>
      <c r="R30" s="28" t="str">
        <f t="shared" si="10"/>
        <v>OG 7</v>
      </c>
      <c r="T30" s="7">
        <f>IF(U15="","",U15*'2 - COUT RH TOTAL'!$S$16)</f>
        <v>4990.2240896817921</v>
      </c>
      <c r="U30" s="7">
        <f>IF(U15="","",U15*'2 - COUT RH TOTAL'!$T$16)</f>
        <v>6082.5048990112837</v>
      </c>
      <c r="V30" s="7">
        <f>IF(U15="","",U15*'2 - COUT RH TOTAL'!$U$16)</f>
        <v>6082.5048990112837</v>
      </c>
      <c r="W30" s="7">
        <f>IF(U15="","",U15*'2 - COUT RH TOTAL'!$V$16)</f>
        <v>1520.6262247528209</v>
      </c>
      <c r="X30" s="26">
        <f t="shared" si="11"/>
        <v>18675.86011245718</v>
      </c>
      <c r="Y30" s="26">
        <f>IF(X30=0,0,X30/'2 - COUT RH TOTAL'!$AA$13)</f>
        <v>6225.2867041523932</v>
      </c>
      <c r="AA30" s="7">
        <f t="shared" si="7"/>
        <v>9337.9300562285898</v>
      </c>
      <c r="AB30" s="7">
        <f>IF(AA30="","",AA30/'2 - COUT RH TOTAL'!$AA$13)</f>
        <v>3112.6433520761966</v>
      </c>
    </row>
    <row r="31" spans="2:28" x14ac:dyDescent="0.35">
      <c r="E31" s="3"/>
      <c r="F31" s="3"/>
      <c r="G31" s="3"/>
      <c r="I31" s="3"/>
      <c r="J31" s="3"/>
      <c r="L31" s="3"/>
      <c r="O31" s="110"/>
      <c r="T31" s="3"/>
      <c r="U31" s="3"/>
      <c r="V31" s="3"/>
      <c r="X31" s="3"/>
      <c r="Y31" s="3"/>
      <c r="AA31" s="3"/>
    </row>
    <row r="32" spans="2:28" x14ac:dyDescent="0.35">
      <c r="B32" s="66" t="s">
        <v>0</v>
      </c>
      <c r="C32" s="66"/>
      <c r="E32" s="23">
        <f>SUM(E24:E30)</f>
        <v>0</v>
      </c>
      <c r="F32" s="23">
        <f t="shared" ref="F32:H32" si="12">SUM(F24:F30)</f>
        <v>0</v>
      </c>
      <c r="G32" s="23">
        <f t="shared" si="12"/>
        <v>0</v>
      </c>
      <c r="H32" s="23">
        <f t="shared" si="12"/>
        <v>0</v>
      </c>
      <c r="I32" s="41">
        <f>SUM(I24:I30)</f>
        <v>0</v>
      </c>
      <c r="J32" s="41">
        <f>IF(I32=0,0,I32/'2 - COUT RH TOTAL'!$L$13)</f>
        <v>0</v>
      </c>
      <c r="L32" s="50" t="str">
        <f>IF(E17=0,"",I32/E17)</f>
        <v/>
      </c>
      <c r="M32" s="50" t="str">
        <f>IF(L32="","",L32/'2 - COUT RH TOTAL'!$L$13)</f>
        <v/>
      </c>
      <c r="O32" s="110"/>
      <c r="Q32" s="66" t="s">
        <v>0</v>
      </c>
      <c r="R32" s="66"/>
      <c r="T32" s="23">
        <f>SUM(T24:T30)</f>
        <v>58249.999999999993</v>
      </c>
      <c r="U32" s="23">
        <f>SUM(U24:U30)</f>
        <v>71000</v>
      </c>
      <c r="V32" s="23">
        <f>SUM(V24:V30)</f>
        <v>71000</v>
      </c>
      <c r="W32" s="23">
        <f>SUM(W24:W30)</f>
        <v>17750</v>
      </c>
      <c r="X32" s="41">
        <f>SUM(X24:X30)</f>
        <v>218000</v>
      </c>
      <c r="Y32" s="41">
        <f>IF(X32=0,0,X32/'2 - COUT RH TOTAL'!$AA$13)</f>
        <v>72666.666666666672</v>
      </c>
      <c r="AA32" s="50">
        <f>IF(T17=0,"",X32/T17)</f>
        <v>5190.4761904761908</v>
      </c>
      <c r="AB32" s="50">
        <f>IF(AA32="","",AA32/'2 - COUT RH TOTAL'!$AA$13)</f>
        <v>1730.1587301587304</v>
      </c>
    </row>
    <row r="35" ht="10" customHeight="1" x14ac:dyDescent="0.35"/>
    <row r="36" ht="10" customHeight="1" x14ac:dyDescent="0.35"/>
  </sheetData>
  <mergeCells count="11">
    <mergeCell ref="Q17:R17"/>
    <mergeCell ref="T20:AB20"/>
    <mergeCell ref="B32:C32"/>
    <mergeCell ref="Q32:R32"/>
    <mergeCell ref="T5:X5"/>
    <mergeCell ref="E5:I5"/>
    <mergeCell ref="B17:C17"/>
    <mergeCell ref="O3:O32"/>
    <mergeCell ref="E20:M20"/>
    <mergeCell ref="B3:M3"/>
    <mergeCell ref="Q3:AB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showGridLines="0" zoomScale="55" zoomScaleNormal="55" workbookViewId="0">
      <selection activeCell="L25" sqref="L25"/>
    </sheetView>
  </sheetViews>
  <sheetFormatPr baseColWidth="10" defaultRowHeight="14.5" x14ac:dyDescent="0.35"/>
  <cols>
    <col min="1" max="1" width="2.7265625" customWidth="1"/>
    <col min="2" max="2" width="3.36328125" customWidth="1"/>
    <col min="3" max="3" width="16.453125" customWidth="1"/>
    <col min="4" max="4" width="2.36328125" customWidth="1"/>
    <col min="5" max="10" width="12.54296875" customWidth="1"/>
    <col min="11" max="11" width="2.36328125" customWidth="1"/>
    <col min="12" max="14" width="13.1796875" customWidth="1"/>
    <col min="15" max="16" width="3.08984375" customWidth="1"/>
    <col min="17" max="17" width="3" customWidth="1"/>
    <col min="18" max="18" width="13.1796875" customWidth="1"/>
    <col min="19" max="19" width="3.36328125" customWidth="1"/>
    <col min="20" max="20" width="16.453125" customWidth="1"/>
    <col min="21" max="21" width="2.36328125" customWidth="1"/>
    <col min="22" max="27" width="12.54296875" customWidth="1"/>
    <col min="28" max="28" width="2.36328125" customWidth="1"/>
    <col min="29" max="30" width="13.1796875" customWidth="1"/>
  </cols>
  <sheetData>
    <row r="1" spans="1:30" ht="15.5" customHeight="1" x14ac:dyDescent="0.35">
      <c r="A1" s="63" t="s">
        <v>107</v>
      </c>
      <c r="B1" t="s">
        <v>96</v>
      </c>
    </row>
    <row r="2" spans="1:30" ht="15" thickBot="1" x14ac:dyDescent="0.4"/>
    <row r="3" spans="1:30" ht="15" thickBot="1" x14ac:dyDescent="0.4">
      <c r="B3" s="71" t="s">
        <v>39</v>
      </c>
      <c r="C3" s="72"/>
      <c r="D3" s="72"/>
      <c r="E3" s="72"/>
      <c r="F3" s="72"/>
      <c r="G3" s="72"/>
      <c r="H3" s="72"/>
      <c r="I3" s="72"/>
      <c r="J3" s="72"/>
      <c r="K3" s="72"/>
      <c r="L3" s="72"/>
      <c r="M3" s="73"/>
      <c r="P3" s="109"/>
      <c r="S3" s="74" t="s">
        <v>40</v>
      </c>
      <c r="T3" s="75"/>
      <c r="U3" s="75"/>
      <c r="V3" s="75"/>
      <c r="W3" s="75"/>
      <c r="X3" s="75"/>
      <c r="Y3" s="75"/>
      <c r="Z3" s="75"/>
      <c r="AA3" s="75"/>
      <c r="AB3" s="75"/>
      <c r="AC3" s="75"/>
      <c r="AD3" s="76"/>
    </row>
    <row r="4" spans="1:30" x14ac:dyDescent="0.35">
      <c r="P4" s="110"/>
    </row>
    <row r="5" spans="1:30" x14ac:dyDescent="0.35">
      <c r="E5" s="108" t="s">
        <v>30</v>
      </c>
      <c r="F5" s="108"/>
      <c r="G5" s="108"/>
      <c r="H5" s="108"/>
      <c r="I5" s="108"/>
      <c r="J5" s="108"/>
      <c r="K5" s="108"/>
      <c r="L5" s="108"/>
      <c r="M5" s="108"/>
      <c r="P5" s="110"/>
      <c r="V5" s="108" t="s">
        <v>30</v>
      </c>
      <c r="W5" s="108"/>
      <c r="X5" s="108"/>
      <c r="Y5" s="108"/>
      <c r="Z5" s="108"/>
      <c r="AA5" s="108"/>
      <c r="AB5" s="108"/>
      <c r="AC5" s="108"/>
      <c r="AD5" s="108"/>
    </row>
    <row r="6" spans="1:30" x14ac:dyDescent="0.35">
      <c r="P6" s="110"/>
    </row>
    <row r="7" spans="1:30" x14ac:dyDescent="0.35">
      <c r="E7" s="17">
        <f>'3 - TPS &amp; COUT HUMAIN PRORATA  '!E22</f>
        <v>0</v>
      </c>
      <c r="F7" s="17">
        <f>'3 - TPS &amp; COUT HUMAIN PRORATA  '!F22</f>
        <v>0</v>
      </c>
      <c r="G7" s="17">
        <f>'3 - TPS &amp; COUT HUMAIN PRORATA  '!G22</f>
        <v>0</v>
      </c>
      <c r="H7" s="17">
        <f>'3 - TPS &amp; COUT HUMAIN PRORATA  '!H22</f>
        <v>0</v>
      </c>
      <c r="I7" s="51" t="s">
        <v>92</v>
      </c>
      <c r="J7" s="51" t="s">
        <v>93</v>
      </c>
      <c r="L7" s="24" t="s">
        <v>90</v>
      </c>
      <c r="M7" s="24" t="s">
        <v>91</v>
      </c>
      <c r="P7" s="110"/>
      <c r="V7" s="17">
        <f>'3 - TPS &amp; COUT HUMAIN PRORATA  '!T22</f>
        <v>2026</v>
      </c>
      <c r="W7" s="17">
        <f>'3 - TPS &amp; COUT HUMAIN PRORATA  '!U22</f>
        <v>2027</v>
      </c>
      <c r="X7" s="17">
        <f>'3 - TPS &amp; COUT HUMAIN PRORATA  '!V22</f>
        <v>2028</v>
      </c>
      <c r="Y7" s="17">
        <f>'3 - TPS &amp; COUT HUMAIN PRORATA  '!W22</f>
        <v>2029</v>
      </c>
      <c r="Z7" s="51" t="s">
        <v>92</v>
      </c>
      <c r="AA7" s="51" t="s">
        <v>93</v>
      </c>
      <c r="AC7" s="24" t="s">
        <v>90</v>
      </c>
      <c r="AD7" s="24" t="s">
        <v>91</v>
      </c>
    </row>
    <row r="8" spans="1:30" x14ac:dyDescent="0.35">
      <c r="P8" s="110"/>
    </row>
    <row r="9" spans="1:30" x14ac:dyDescent="0.35">
      <c r="B9" s="27">
        <v>1</v>
      </c>
      <c r="C9" s="28" t="str">
        <f>'3 - TPS &amp; COUT HUMAIN PRORATA  '!C9</f>
        <v/>
      </c>
      <c r="E9" s="65">
        <f>'3 - TPS &amp; COUT HUMAIN PRORATA  '!$E$9*'4 - GAINS FINANCIERS &amp; NET'!$L$42*'2 - COUT RH TOTAL'!$D$14</f>
        <v>0</v>
      </c>
      <c r="F9" s="65">
        <f>'3 - TPS &amp; COUT HUMAIN PRORATA  '!$E$9*'4 - GAINS FINANCIERS &amp; NET'!$L$42*'2 - COUT RH TOTAL'!$E$14</f>
        <v>0</v>
      </c>
      <c r="G9" s="65">
        <f>'3 - TPS &amp; COUT HUMAIN PRORATA  '!$E$9*'4 - GAINS FINANCIERS &amp; NET'!$L$42*'2 - COUT RH TOTAL'!$F$14</f>
        <v>0</v>
      </c>
      <c r="H9" s="65">
        <f>'3 - TPS &amp; COUT HUMAIN PRORATA  '!$E$9*'4 - GAINS FINANCIERS &amp; NET'!$L$42*'2 - COUT RH TOTAL'!$G$14</f>
        <v>0</v>
      </c>
      <c r="I9" s="26">
        <f>SUM(E9:H9)</f>
        <v>0</v>
      </c>
      <c r="J9" s="26">
        <f>IF(I9=0,0,I9/'2 - COUT RH TOTAL'!$L$13)</f>
        <v>0</v>
      </c>
      <c r="L9" s="7" t="str">
        <f>IF(I9=0,"",I9/'3 - TPS &amp; COUT HUMAIN PRORATA  '!E9)</f>
        <v/>
      </c>
      <c r="M9" s="7" t="str">
        <f>IF(L9="","",L9/'2 - COUT RH TOTAL'!$L$13)</f>
        <v/>
      </c>
      <c r="P9" s="110"/>
      <c r="S9" s="27">
        <v>1</v>
      </c>
      <c r="T9" s="28" t="str">
        <f>'3 - TPS &amp; COUT HUMAIN PRORATA  '!R9</f>
        <v>OG 1</v>
      </c>
      <c r="V9" s="65">
        <f>'3 - TPS &amp; COUT HUMAIN PRORATA  '!$T$9*'4 - GAINS FINANCIERS &amp; NET'!$L$42*'2 - COUT RH TOTAL'!$S$14</f>
        <v>126750</v>
      </c>
      <c r="W9" s="65">
        <f>'3 - TPS &amp; COUT HUMAIN PRORATA  '!$T$9*'4 - GAINS FINANCIERS &amp; NET'!$L$42*'2 - COUT RH TOTAL'!$T$14</f>
        <v>169000</v>
      </c>
      <c r="X9" s="65">
        <f>'3 - TPS &amp; COUT HUMAIN PRORATA  '!$T$9*'4 - GAINS FINANCIERS &amp; NET'!$L$42*'2 - COUT RH TOTAL'!$U$14</f>
        <v>169000</v>
      </c>
      <c r="Y9" s="65">
        <f>'3 - TPS &amp; COUT HUMAIN PRORATA  '!$T$9*'4 - GAINS FINANCIERS &amp; NET'!$L$42*'2 - COUT RH TOTAL'!$V$14</f>
        <v>42250</v>
      </c>
      <c r="Z9" s="26">
        <f>SUM(V9:Y9)</f>
        <v>507000</v>
      </c>
      <c r="AA9" s="26">
        <f>IF(Z9=0,0,Z9/'2 - COUT RH TOTAL'!$AA$13)</f>
        <v>169000</v>
      </c>
      <c r="AC9" s="7">
        <f>IF(Z9=0,"",Z9/'3 - TPS &amp; COUT HUMAIN PRORATA  '!T9)</f>
        <v>39000</v>
      </c>
      <c r="AD9" s="7">
        <f>IF(AC9="","",AC9/'2 - COUT RH TOTAL'!$AA$13)</f>
        <v>13000</v>
      </c>
    </row>
    <row r="10" spans="1:30" x14ac:dyDescent="0.35">
      <c r="B10" s="27">
        <v>2</v>
      </c>
      <c r="C10" s="28" t="str">
        <f>'3 - TPS &amp; COUT HUMAIN PRORATA  '!C10</f>
        <v/>
      </c>
      <c r="E10" s="65">
        <f>'3 - TPS &amp; COUT HUMAIN PRORATA  '!$E$10*'4 - GAINS FINANCIERS &amp; NET'!$L$42*'2 - COUT RH TOTAL'!$D$14</f>
        <v>0</v>
      </c>
      <c r="F10" s="65">
        <f>'3 - TPS &amp; COUT HUMAIN PRORATA  '!$E$10*'4 - GAINS FINANCIERS &amp; NET'!$L$42*'2 - COUT RH TOTAL'!$E$14</f>
        <v>0</v>
      </c>
      <c r="G10" s="65">
        <f>'3 - TPS &amp; COUT HUMAIN PRORATA  '!$E$10*'4 - GAINS FINANCIERS &amp; NET'!$L$42*'2 - COUT RH TOTAL'!$F$14</f>
        <v>0</v>
      </c>
      <c r="H10" s="65">
        <f>'3 - TPS &amp; COUT HUMAIN PRORATA  '!$E$10*'4 - GAINS FINANCIERS &amp; NET'!$L$42*'2 - COUT RH TOTAL'!$G$14</f>
        <v>0</v>
      </c>
      <c r="I10" s="26">
        <f t="shared" ref="I10:I15" si="0">SUM(E10:H10)</f>
        <v>0</v>
      </c>
      <c r="J10" s="26">
        <f>IF(I10=0,0,I10/'2 - COUT RH TOTAL'!$L$13)</f>
        <v>0</v>
      </c>
      <c r="L10" s="7" t="str">
        <f>IF(I10=0,"",I10/'3 - TPS &amp; COUT HUMAIN PRORATA  '!E10)</f>
        <v/>
      </c>
      <c r="M10" s="7" t="str">
        <f>IF(L10="","",L10/'2 - COUT RH TOTAL'!$L$13)</f>
        <v/>
      </c>
      <c r="P10" s="110"/>
      <c r="S10" s="27">
        <v>2</v>
      </c>
      <c r="T10" s="28" t="str">
        <f>'3 - TPS &amp; COUT HUMAIN PRORATA  '!R10</f>
        <v>OG 2</v>
      </c>
      <c r="V10" s="65">
        <f>'3 - TPS &amp; COUT HUMAIN PRORATA  '!$T$10*'4 - GAINS FINANCIERS &amp; NET'!$L$42*'2 - COUT RH TOTAL'!$S$14</f>
        <v>48750</v>
      </c>
      <c r="W10" s="65">
        <f>'3 - TPS &amp; COUT HUMAIN PRORATA  '!$T$10*'4 - GAINS FINANCIERS &amp; NET'!$L$42*'2 - COUT RH TOTAL'!$T$14</f>
        <v>65000</v>
      </c>
      <c r="X10" s="65">
        <f>'3 - TPS &amp; COUT HUMAIN PRORATA  '!$T$10*'4 - GAINS FINANCIERS &amp; NET'!$L$42*'2 - COUT RH TOTAL'!$U$14</f>
        <v>65000</v>
      </c>
      <c r="Y10" s="65">
        <f>'3 - TPS &amp; COUT HUMAIN PRORATA  '!$T$10*'4 - GAINS FINANCIERS &amp; NET'!$L$42*'2 - COUT RH TOTAL'!$V$14</f>
        <v>16250</v>
      </c>
      <c r="Z10" s="26">
        <f t="shared" ref="Z10:Z15" si="1">SUM(V10:Y10)</f>
        <v>195000</v>
      </c>
      <c r="AA10" s="26">
        <f>IF(Z10=0,0,Z10/'2 - COUT RH TOTAL'!$AA$13)</f>
        <v>65000</v>
      </c>
      <c r="AC10" s="7">
        <f>IF(Z10=0,"",Z10/'3 - TPS &amp; COUT HUMAIN PRORATA  '!T10)</f>
        <v>39000</v>
      </c>
      <c r="AD10" s="7">
        <f>IF(AC10="","",AC10/'2 - COUT RH TOTAL'!$AA$13)</f>
        <v>13000</v>
      </c>
    </row>
    <row r="11" spans="1:30" x14ac:dyDescent="0.35">
      <c r="B11" s="27">
        <v>3</v>
      </c>
      <c r="C11" s="28" t="str">
        <f>'3 - TPS &amp; COUT HUMAIN PRORATA  '!C11</f>
        <v/>
      </c>
      <c r="E11" s="65">
        <f>'3 - TPS &amp; COUT HUMAIN PRORATA  '!$E$11*'4 - GAINS FINANCIERS &amp; NET'!$L$42*'2 - COUT RH TOTAL'!$D$14</f>
        <v>0</v>
      </c>
      <c r="F11" s="65">
        <f>'3 - TPS &amp; COUT HUMAIN PRORATA  '!$E$11*'4 - GAINS FINANCIERS &amp; NET'!$L$42*'2 - COUT RH TOTAL'!$E$14</f>
        <v>0</v>
      </c>
      <c r="G11" s="65">
        <f>'3 - TPS &amp; COUT HUMAIN PRORATA  '!$E$11*'4 - GAINS FINANCIERS &amp; NET'!$L$42*'2 - COUT RH TOTAL'!$F$14</f>
        <v>0</v>
      </c>
      <c r="H11" s="65">
        <f>'3 - TPS &amp; COUT HUMAIN PRORATA  '!$E$11*'4 - GAINS FINANCIERS &amp; NET'!$L$42*'2 - COUT RH TOTAL'!$G$14</f>
        <v>0</v>
      </c>
      <c r="I11" s="26">
        <f t="shared" si="0"/>
        <v>0</v>
      </c>
      <c r="J11" s="26">
        <f>IF(I11=0,0,I11/'2 - COUT RH TOTAL'!$L$13)</f>
        <v>0</v>
      </c>
      <c r="L11" s="7" t="str">
        <f>IF(I11=0,"",I11/'3 - TPS &amp; COUT HUMAIN PRORATA  '!E11)</f>
        <v/>
      </c>
      <c r="M11" s="7" t="str">
        <f>IF(L11="","",L11/'2 - COUT RH TOTAL'!$L$13)</f>
        <v/>
      </c>
      <c r="P11" s="110"/>
      <c r="S11" s="27">
        <v>3</v>
      </c>
      <c r="T11" s="28" t="str">
        <f>'3 - TPS &amp; COUT HUMAIN PRORATA  '!R11</f>
        <v>OG 3</v>
      </c>
      <c r="V11" s="65">
        <f>'3 - TPS &amp; COUT HUMAIN PRORATA  '!$T$11*'4 - GAINS FINANCIERS &amp; NET'!$L$42*'2 - COUT RH TOTAL'!$S$14</f>
        <v>58500</v>
      </c>
      <c r="W11" s="65">
        <f>'3 - TPS &amp; COUT HUMAIN PRORATA  '!$T$11*'4 - GAINS FINANCIERS &amp; NET'!$L$42*'2 - COUT RH TOTAL'!$T$14</f>
        <v>78000</v>
      </c>
      <c r="X11" s="65">
        <f>'3 - TPS &amp; COUT HUMAIN PRORATA  '!$T$11*'4 - GAINS FINANCIERS &amp; NET'!$L$42*'2 - COUT RH TOTAL'!$U$14</f>
        <v>78000</v>
      </c>
      <c r="Y11" s="65">
        <f>'3 - TPS &amp; COUT HUMAIN PRORATA  '!$T$11*'4 - GAINS FINANCIERS &amp; NET'!$L$42*'2 - COUT RH TOTAL'!$V$14</f>
        <v>19500</v>
      </c>
      <c r="Z11" s="26">
        <f t="shared" si="1"/>
        <v>234000</v>
      </c>
      <c r="AA11" s="26">
        <f>IF(Z11=0,0,Z11/'2 - COUT RH TOTAL'!$AA$13)</f>
        <v>78000</v>
      </c>
      <c r="AC11" s="7">
        <f>IF(Z11=0,"",Z11/'3 - TPS &amp; COUT HUMAIN PRORATA  '!T11)</f>
        <v>39000</v>
      </c>
      <c r="AD11" s="7">
        <f>IF(AC11="","",AC11/'2 - COUT RH TOTAL'!$AA$13)</f>
        <v>13000</v>
      </c>
    </row>
    <row r="12" spans="1:30" x14ac:dyDescent="0.35">
      <c r="B12" s="27">
        <v>4</v>
      </c>
      <c r="C12" s="28" t="str">
        <f>'3 - TPS &amp; COUT HUMAIN PRORATA  '!C12</f>
        <v/>
      </c>
      <c r="E12" s="65">
        <f>'3 - TPS &amp; COUT HUMAIN PRORATA  '!$E$12*'4 - GAINS FINANCIERS &amp; NET'!$L$42*'2 - COUT RH TOTAL'!$D$14</f>
        <v>0</v>
      </c>
      <c r="F12" s="65">
        <f>'3 - TPS &amp; COUT HUMAIN PRORATA  '!$E$12*'4 - GAINS FINANCIERS &amp; NET'!$L$42*'2 - COUT RH TOTAL'!$E$14</f>
        <v>0</v>
      </c>
      <c r="G12" s="65">
        <f>'3 - TPS &amp; COUT HUMAIN PRORATA  '!$E$12*'4 - GAINS FINANCIERS &amp; NET'!$L$42*'2 - COUT RH TOTAL'!$F$14</f>
        <v>0</v>
      </c>
      <c r="H12" s="65">
        <f>'3 - TPS &amp; COUT HUMAIN PRORATA  '!$E$12*'4 - GAINS FINANCIERS &amp; NET'!$L$42*'2 - COUT RH TOTAL'!$G$14</f>
        <v>0</v>
      </c>
      <c r="I12" s="26">
        <f t="shared" si="0"/>
        <v>0</v>
      </c>
      <c r="J12" s="26">
        <f>IF(I12=0,0,I12/'2 - COUT RH TOTAL'!$L$13)</f>
        <v>0</v>
      </c>
      <c r="L12" s="7" t="str">
        <f>IF(I12=0,"",I12/'3 - TPS &amp; COUT HUMAIN PRORATA  '!E12)</f>
        <v/>
      </c>
      <c r="M12" s="7" t="str">
        <f>IF(L12="","",L12/'2 - COUT RH TOTAL'!$L$13)</f>
        <v/>
      </c>
      <c r="P12" s="110"/>
      <c r="S12" s="27">
        <v>4</v>
      </c>
      <c r="T12" s="28" t="str">
        <f>'3 - TPS &amp; COUT HUMAIN PRORATA  '!R12</f>
        <v>OG 4</v>
      </c>
      <c r="V12" s="65">
        <f>'3 - TPS &amp; COUT HUMAIN PRORATA  '!$T$12*'4 - GAINS FINANCIERS &amp; NET'!$L$42*'2 - COUT RH TOTAL'!$S$14</f>
        <v>48750</v>
      </c>
      <c r="W12" s="65">
        <f>'3 - TPS &amp; COUT HUMAIN PRORATA  '!$T$12*'4 - GAINS FINANCIERS &amp; NET'!$L$42*'2 - COUT RH TOTAL'!$T$14</f>
        <v>65000</v>
      </c>
      <c r="X12" s="65">
        <f>'3 - TPS &amp; COUT HUMAIN PRORATA  '!$T$12*'4 - GAINS FINANCIERS &amp; NET'!$L$42*'2 - COUT RH TOTAL'!$U$14</f>
        <v>65000</v>
      </c>
      <c r="Y12" s="65">
        <f>'3 - TPS &amp; COUT HUMAIN PRORATA  '!$T$12*'4 - GAINS FINANCIERS &amp; NET'!$L$42*'2 - COUT RH TOTAL'!$V$14</f>
        <v>16250</v>
      </c>
      <c r="Z12" s="26">
        <f t="shared" si="1"/>
        <v>195000</v>
      </c>
      <c r="AA12" s="26">
        <f>IF(Z12=0,0,Z12/'2 - COUT RH TOTAL'!$AA$13)</f>
        <v>65000</v>
      </c>
      <c r="AC12" s="7">
        <f>IF(Z12=0,"",Z12/'3 - TPS &amp; COUT HUMAIN PRORATA  '!T12)</f>
        <v>39000</v>
      </c>
      <c r="AD12" s="7">
        <f>IF(AC12="","",AC12/'2 - COUT RH TOTAL'!$AA$13)</f>
        <v>13000</v>
      </c>
    </row>
    <row r="13" spans="1:30" x14ac:dyDescent="0.35">
      <c r="B13" s="27">
        <v>5</v>
      </c>
      <c r="C13" s="28" t="str">
        <f>'3 - TPS &amp; COUT HUMAIN PRORATA  '!C13</f>
        <v/>
      </c>
      <c r="E13" s="65">
        <f>'3 - TPS &amp; COUT HUMAIN PRORATA  '!$E$13*'4 - GAINS FINANCIERS &amp; NET'!$L$42*'2 - COUT RH TOTAL'!$D$14</f>
        <v>0</v>
      </c>
      <c r="F13" s="65">
        <f>'3 - TPS &amp; COUT HUMAIN PRORATA  '!$E$13*'4 - GAINS FINANCIERS &amp; NET'!$L$42*'2 - COUT RH TOTAL'!$E$14</f>
        <v>0</v>
      </c>
      <c r="G13" s="65">
        <f>'3 - TPS &amp; COUT HUMAIN PRORATA  '!$E$13*'4 - GAINS FINANCIERS &amp; NET'!$L$42*'2 - COUT RH TOTAL'!$F$14</f>
        <v>0</v>
      </c>
      <c r="H13" s="65">
        <f>'3 - TPS &amp; COUT HUMAIN PRORATA  '!$E$13*'4 - GAINS FINANCIERS &amp; NET'!$L$42*'2 - COUT RH TOTAL'!$G$14</f>
        <v>0</v>
      </c>
      <c r="I13" s="26">
        <f t="shared" si="0"/>
        <v>0</v>
      </c>
      <c r="J13" s="26">
        <f>IF(I13=0,0,I13/'2 - COUT RH TOTAL'!$L$13)</f>
        <v>0</v>
      </c>
      <c r="L13" s="7" t="str">
        <f>IF(I13=0,"",I13/'3 - TPS &amp; COUT HUMAIN PRORATA  '!E13)</f>
        <v/>
      </c>
      <c r="M13" s="7" t="str">
        <f>IF(L13="","",L13/'2 - COUT RH TOTAL'!$L$13)</f>
        <v/>
      </c>
      <c r="P13" s="110"/>
      <c r="S13" s="27">
        <v>5</v>
      </c>
      <c r="T13" s="28" t="str">
        <f>'3 - TPS &amp; COUT HUMAIN PRORATA  '!R13</f>
        <v>OG 5</v>
      </c>
      <c r="V13" s="65">
        <f>'3 - TPS &amp; COUT HUMAIN PRORATA  '!$T$13*'4 - GAINS FINANCIERS &amp; NET'!$L$42*'2 - COUT RH TOTAL'!$S$14</f>
        <v>68250</v>
      </c>
      <c r="W13" s="65">
        <f>'3 - TPS &amp; COUT HUMAIN PRORATA  '!$T$13*'4 - GAINS FINANCIERS &amp; NET'!$L$42*'2 - COUT RH TOTAL'!$T$14</f>
        <v>91000</v>
      </c>
      <c r="X13" s="65">
        <f>'3 - TPS &amp; COUT HUMAIN PRORATA  '!$T$13*'4 - GAINS FINANCIERS &amp; NET'!$L$42*'2 - COUT RH TOTAL'!$U$14</f>
        <v>91000</v>
      </c>
      <c r="Y13" s="65">
        <f>'3 - TPS &amp; COUT HUMAIN PRORATA  '!$T$13*'4 - GAINS FINANCIERS &amp; NET'!$L$42*'2 - COUT RH TOTAL'!$V$14</f>
        <v>22750</v>
      </c>
      <c r="Z13" s="26">
        <f t="shared" si="1"/>
        <v>273000</v>
      </c>
      <c r="AA13" s="26">
        <f>IF(Z13=0,0,Z13/'2 - COUT RH TOTAL'!$AA$13)</f>
        <v>91000</v>
      </c>
      <c r="AC13" s="7">
        <f>IF(Z13=0,"",Z13/'3 - TPS &amp; COUT HUMAIN PRORATA  '!T13)</f>
        <v>39000</v>
      </c>
      <c r="AD13" s="7">
        <f>IF(AC13="","",AC13/'2 - COUT RH TOTAL'!$AA$13)</f>
        <v>13000</v>
      </c>
    </row>
    <row r="14" spans="1:30" x14ac:dyDescent="0.35">
      <c r="B14" s="27">
        <v>6</v>
      </c>
      <c r="C14" s="28" t="str">
        <f>'3 - TPS &amp; COUT HUMAIN PRORATA  '!C14</f>
        <v/>
      </c>
      <c r="E14" s="65">
        <f>'3 - TPS &amp; COUT HUMAIN PRORATA  '!$E$14*'4 - GAINS FINANCIERS &amp; NET'!$L$42*'2 - COUT RH TOTAL'!$D$14</f>
        <v>0</v>
      </c>
      <c r="F14" s="65">
        <f>'3 - TPS &amp; COUT HUMAIN PRORATA  '!$E$14*'4 - GAINS FINANCIERS &amp; NET'!$L$42*'2 - COUT RH TOTAL'!$E$14</f>
        <v>0</v>
      </c>
      <c r="G14" s="65">
        <f>'3 - TPS &amp; COUT HUMAIN PRORATA  '!$E$14*'4 - GAINS FINANCIERS &amp; NET'!$L$42*'2 - COUT RH TOTAL'!$F$14</f>
        <v>0</v>
      </c>
      <c r="H14" s="65">
        <f>'3 - TPS &amp; COUT HUMAIN PRORATA  '!$E$14*'4 - GAINS FINANCIERS &amp; NET'!$L$42*'2 - COUT RH TOTAL'!$G$14</f>
        <v>0</v>
      </c>
      <c r="I14" s="26">
        <f t="shared" si="0"/>
        <v>0</v>
      </c>
      <c r="J14" s="26">
        <f>IF(I14=0,0,I14/'2 - COUT RH TOTAL'!$L$13)</f>
        <v>0</v>
      </c>
      <c r="L14" s="7" t="str">
        <f>IF(I14=0,"",I14/'3 - TPS &amp; COUT HUMAIN PRORATA  '!E14)</f>
        <v/>
      </c>
      <c r="M14" s="7" t="str">
        <f>IF(L14="","",L14/'2 - COUT RH TOTAL'!$L$13)</f>
        <v/>
      </c>
      <c r="P14" s="110"/>
      <c r="S14" s="27">
        <v>6</v>
      </c>
      <c r="T14" s="28" t="str">
        <f>'3 - TPS &amp; COUT HUMAIN PRORATA  '!R14</f>
        <v>OG 6</v>
      </c>
      <c r="V14" s="65">
        <f>'3 - TPS &amp; COUT HUMAIN PRORATA  '!$T$14*'4 - GAINS FINANCIERS &amp; NET'!$L$42*'2 - COUT RH TOTAL'!$S$14</f>
        <v>39000</v>
      </c>
      <c r="W14" s="65">
        <f>'3 - TPS &amp; COUT HUMAIN PRORATA  '!$T$14*'4 - GAINS FINANCIERS &amp; NET'!$L$42*'2 - COUT RH TOTAL'!$T$14</f>
        <v>52000</v>
      </c>
      <c r="X14" s="65">
        <f>'3 - TPS &amp; COUT HUMAIN PRORATA  '!$T$14*'4 - GAINS FINANCIERS &amp; NET'!$L$42*'2 - COUT RH TOTAL'!$U$14</f>
        <v>52000</v>
      </c>
      <c r="Y14" s="65">
        <f>'3 - TPS &amp; COUT HUMAIN PRORATA  '!$T$14*'4 - GAINS FINANCIERS &amp; NET'!$L$42*'2 - COUT RH TOTAL'!$V$14</f>
        <v>13000</v>
      </c>
      <c r="Z14" s="26">
        <f t="shared" si="1"/>
        <v>156000</v>
      </c>
      <c r="AA14" s="26">
        <f>IF(Z14=0,0,Z14/'2 - COUT RH TOTAL'!$AA$13)</f>
        <v>52000</v>
      </c>
      <c r="AC14" s="7">
        <f>IF(Z14=0,"",Z14/'3 - TPS &amp; COUT HUMAIN PRORATA  '!T14)</f>
        <v>39000</v>
      </c>
      <c r="AD14" s="7">
        <f>IF(AC14="","",AC14/'2 - COUT RH TOTAL'!$AA$13)</f>
        <v>13000</v>
      </c>
    </row>
    <row r="15" spans="1:30" x14ac:dyDescent="0.35">
      <c r="B15" s="27">
        <v>7</v>
      </c>
      <c r="C15" s="28" t="str">
        <f>'3 - TPS &amp; COUT HUMAIN PRORATA  '!C15</f>
        <v/>
      </c>
      <c r="E15" s="65">
        <f>'3 - TPS &amp; COUT HUMAIN PRORATA  '!$E$15*'4 - GAINS FINANCIERS &amp; NET'!$L$42*'2 - COUT RH TOTAL'!$D$14</f>
        <v>0</v>
      </c>
      <c r="F15" s="65">
        <f>'3 - TPS &amp; COUT HUMAIN PRORATA  '!$E$15*'4 - GAINS FINANCIERS &amp; NET'!$L$42*'2 - COUT RH TOTAL'!$E$14</f>
        <v>0</v>
      </c>
      <c r="G15" s="65">
        <f>'3 - TPS &amp; COUT HUMAIN PRORATA  '!$E$15*'4 - GAINS FINANCIERS &amp; NET'!$L$42*'2 - COUT RH TOTAL'!$F$14</f>
        <v>0</v>
      </c>
      <c r="H15" s="65">
        <f>'3 - TPS &amp; COUT HUMAIN PRORATA  '!$E$15*'4 - GAINS FINANCIERS &amp; NET'!$L$42*'2 - COUT RH TOTAL'!$G$14</f>
        <v>0</v>
      </c>
      <c r="I15" s="26">
        <f t="shared" si="0"/>
        <v>0</v>
      </c>
      <c r="J15" s="26">
        <f>IF(I15=0,0,I15/'2 - COUT RH TOTAL'!$L$13)</f>
        <v>0</v>
      </c>
      <c r="L15" s="7" t="str">
        <f>IF(I15=0,"",I15/'3 - TPS &amp; COUT HUMAIN PRORATA  '!E15)</f>
        <v/>
      </c>
      <c r="M15" s="7" t="str">
        <f>IF(L15="","",L15/'2 - COUT RH TOTAL'!$L$13)</f>
        <v/>
      </c>
      <c r="P15" s="110"/>
      <c r="S15" s="27">
        <v>7</v>
      </c>
      <c r="T15" s="28" t="str">
        <f>'3 - TPS &amp; COUT HUMAIN PRORATA  '!R15</f>
        <v>OG 7</v>
      </c>
      <c r="V15" s="65">
        <f>'3 - TPS &amp; COUT HUMAIN PRORATA  '!$T$15*'4 - GAINS FINANCIERS &amp; NET'!$L$42*'2 - COUT RH TOTAL'!$S$14</f>
        <v>19500</v>
      </c>
      <c r="W15" s="65">
        <f>'3 - TPS &amp; COUT HUMAIN PRORATA  '!$T$15*'4 - GAINS FINANCIERS &amp; NET'!$L$42*'2 - COUT RH TOTAL'!$T$14</f>
        <v>26000</v>
      </c>
      <c r="X15" s="65">
        <f>'3 - TPS &amp; COUT HUMAIN PRORATA  '!$T$15*'4 - GAINS FINANCIERS &amp; NET'!$L$42*'2 - COUT RH TOTAL'!$U$14</f>
        <v>26000</v>
      </c>
      <c r="Y15" s="65">
        <f>'3 - TPS &amp; COUT HUMAIN PRORATA  '!$T$15*'4 - GAINS FINANCIERS &amp; NET'!$L$42*'2 - COUT RH TOTAL'!$V$14</f>
        <v>6500</v>
      </c>
      <c r="Z15" s="26">
        <f t="shared" si="1"/>
        <v>78000</v>
      </c>
      <c r="AA15" s="26">
        <f>IF(Z15=0,0,Z15/'2 - COUT RH TOTAL'!$AA$13)</f>
        <v>26000</v>
      </c>
      <c r="AC15" s="7">
        <f>IF(Z15=0,"",Z15/'3 - TPS &amp; COUT HUMAIN PRORATA  '!T15)</f>
        <v>39000</v>
      </c>
      <c r="AD15" s="7">
        <f>IF(AC15="","",AC15/'2 - COUT RH TOTAL'!$AA$13)</f>
        <v>13000</v>
      </c>
    </row>
    <row r="16" spans="1:30" x14ac:dyDescent="0.35">
      <c r="B16" s="3"/>
      <c r="C16" s="3"/>
      <c r="P16" s="110"/>
      <c r="S16" s="3"/>
      <c r="T16" s="3"/>
    </row>
    <row r="17" spans="2:30" x14ac:dyDescent="0.35">
      <c r="B17" s="66" t="s">
        <v>0</v>
      </c>
      <c r="C17" s="66"/>
      <c r="E17" s="23">
        <f>SUM(E9:E15)</f>
        <v>0</v>
      </c>
      <c r="F17" s="23">
        <f t="shared" ref="F17:H17" si="2">SUM(F9:F15)</f>
        <v>0</v>
      </c>
      <c r="G17" s="23">
        <f t="shared" si="2"/>
        <v>0</v>
      </c>
      <c r="H17" s="23">
        <f t="shared" si="2"/>
        <v>0</v>
      </c>
      <c r="I17" s="41">
        <f>SUM(I9:I15)</f>
        <v>0</v>
      </c>
      <c r="J17" s="41">
        <f>IF(I17=0,0,I17/'2 - COUT RH TOTAL'!$L$13)</f>
        <v>0</v>
      </c>
      <c r="P17" s="110"/>
      <c r="S17" s="66" t="s">
        <v>0</v>
      </c>
      <c r="T17" s="66"/>
      <c r="V17" s="23">
        <f>SUM(V9:V15)</f>
        <v>409500</v>
      </c>
      <c r="W17" s="23">
        <f t="shared" ref="W17:Y17" si="3">SUM(W9:W15)</f>
        <v>546000</v>
      </c>
      <c r="X17" s="23">
        <f t="shared" si="3"/>
        <v>546000</v>
      </c>
      <c r="Y17" s="23">
        <f t="shared" si="3"/>
        <v>136500</v>
      </c>
      <c r="Z17" s="41">
        <f>SUM(Z9:Z15)</f>
        <v>1638000</v>
      </c>
      <c r="AA17" s="41">
        <f>IF(Z17=0,0,Z17/'2 - COUT RH TOTAL'!$AA$13)</f>
        <v>546000</v>
      </c>
    </row>
    <row r="18" spans="2:30" x14ac:dyDescent="0.35">
      <c r="P18" s="110"/>
    </row>
    <row r="19" spans="2:30" ht="5.5" customHeight="1" x14ac:dyDescent="0.35">
      <c r="P19" s="110"/>
    </row>
    <row r="20" spans="2:30" x14ac:dyDescent="0.35">
      <c r="E20" s="108" t="s">
        <v>95</v>
      </c>
      <c r="F20" s="108"/>
      <c r="G20" s="108"/>
      <c r="H20" s="108"/>
      <c r="I20" s="108"/>
      <c r="J20" s="108"/>
      <c r="K20" s="108"/>
      <c r="L20" s="108"/>
      <c r="M20" s="108"/>
      <c r="P20" s="110"/>
      <c r="V20" s="108" t="s">
        <v>95</v>
      </c>
      <c r="W20" s="108"/>
      <c r="X20" s="108"/>
      <c r="Y20" s="108"/>
      <c r="Z20" s="108"/>
      <c r="AA20" s="108"/>
      <c r="AB20" s="108"/>
      <c r="AC20" s="108"/>
      <c r="AD20" s="108"/>
    </row>
    <row r="21" spans="2:30" x14ac:dyDescent="0.35">
      <c r="P21" s="110"/>
    </row>
    <row r="22" spans="2:30" x14ac:dyDescent="0.35">
      <c r="E22" s="17">
        <f>E7</f>
        <v>0</v>
      </c>
      <c r="F22" s="17">
        <f t="shared" ref="F22:H22" si="4">F7</f>
        <v>0</v>
      </c>
      <c r="G22" s="17">
        <f t="shared" si="4"/>
        <v>0</v>
      </c>
      <c r="H22" s="17">
        <f t="shared" si="4"/>
        <v>0</v>
      </c>
      <c r="I22" s="51" t="s">
        <v>92</v>
      </c>
      <c r="J22" s="51" t="s">
        <v>93</v>
      </c>
      <c r="L22" s="24" t="s">
        <v>90</v>
      </c>
      <c r="M22" s="24" t="s">
        <v>91</v>
      </c>
      <c r="P22" s="110"/>
      <c r="V22" s="17">
        <f>V7</f>
        <v>2026</v>
      </c>
      <c r="W22" s="17">
        <f t="shared" ref="W22:Y22" si="5">W7</f>
        <v>2027</v>
      </c>
      <c r="X22" s="17">
        <f t="shared" si="5"/>
        <v>2028</v>
      </c>
      <c r="Y22" s="17">
        <f t="shared" si="5"/>
        <v>2029</v>
      </c>
      <c r="Z22" s="51" t="s">
        <v>92</v>
      </c>
      <c r="AA22" s="51" t="s">
        <v>93</v>
      </c>
      <c r="AC22" s="24" t="s">
        <v>90</v>
      </c>
      <c r="AD22" s="24" t="s">
        <v>91</v>
      </c>
    </row>
    <row r="23" spans="2:30" x14ac:dyDescent="0.35">
      <c r="P23" s="110"/>
    </row>
    <row r="24" spans="2:30" x14ac:dyDescent="0.35">
      <c r="B24" s="27">
        <v>1</v>
      </c>
      <c r="C24" s="28" t="str">
        <f>C9</f>
        <v/>
      </c>
      <c r="E24" s="65">
        <f>IF(E9=0,0,E9-'3 - TPS &amp; COUT HUMAIN PRORATA  '!E24)</f>
        <v>0</v>
      </c>
      <c r="F24" s="65">
        <f>IF(F9=0,0,F9-'3 - TPS &amp; COUT HUMAIN PRORATA  '!F24)</f>
        <v>0</v>
      </c>
      <c r="G24" s="65">
        <f>IF(G9=0,0,G9-'3 - TPS &amp; COUT HUMAIN PRORATA  '!G24)</f>
        <v>0</v>
      </c>
      <c r="H24" s="65">
        <f>IF(H9=0,0,H9-'3 - TPS &amp; COUT HUMAIN PRORATA  '!H24)</f>
        <v>0</v>
      </c>
      <c r="I24" s="26">
        <f>IF(I9=0,0,I9-'3 - TPS &amp; COUT HUMAIN PRORATA  '!I24)</f>
        <v>0</v>
      </c>
      <c r="J24" s="26">
        <f>IF(I24=0,0,I24/'2 - COUT RH TOTAL'!$L$13)</f>
        <v>0</v>
      </c>
      <c r="L24" s="7" t="str">
        <f>IF(L9="","",L9-'3 - TPS &amp; COUT HUMAIN PRORATA  '!L24)</f>
        <v/>
      </c>
      <c r="M24" s="7" t="str">
        <f>IF(M9="","",M9-'3 - TPS &amp; COUT HUMAIN PRORATA  '!M24)</f>
        <v/>
      </c>
      <c r="P24" s="110"/>
      <c r="S24" s="27">
        <v>1</v>
      </c>
      <c r="T24" s="28" t="str">
        <f>T9</f>
        <v>OG 1</v>
      </c>
      <c r="V24" s="65">
        <f>V9-'3 - TPS &amp; COUT HUMAIN PRORATA  '!T24</f>
        <v>109905.08709997966</v>
      </c>
      <c r="W24" s="65">
        <f>W9-'3 - TPS &amp; COUT HUMAIN PRORATA  '!U24</f>
        <v>148468.00316049025</v>
      </c>
      <c r="X24" s="65">
        <f>X9-'3 - TPS &amp; COUT HUMAIN PRORATA  '!V24</f>
        <v>148468.00316049025</v>
      </c>
      <c r="Y24" s="65">
        <f>Y9-'3 - TPS &amp; COUT HUMAIN PRORATA  '!W24</f>
        <v>37117.000790122562</v>
      </c>
      <c r="Z24" s="26">
        <f>SUM(V24:Y24)</f>
        <v>443958.09421108267</v>
      </c>
      <c r="AA24" s="26">
        <f>Z24/'2 - COUT RH TOTAL'!$AA$13</f>
        <v>147986.03140369421</v>
      </c>
      <c r="AC24" s="7">
        <f>AC9-'3 - TPS &amp; COUT HUMAIN PRORATA  '!AA24</f>
        <v>34150.622631621743</v>
      </c>
      <c r="AD24" s="7">
        <f>AD9-'3 - TPS &amp; COUT HUMAIN PRORATA  '!AB24</f>
        <v>11383.540877207248</v>
      </c>
    </row>
    <row r="25" spans="2:30" x14ac:dyDescent="0.35">
      <c r="B25" s="27">
        <v>2</v>
      </c>
      <c r="C25" s="28" t="str">
        <f t="shared" ref="C25:C30" si="6">C10</f>
        <v/>
      </c>
      <c r="E25" s="65">
        <f>IF(E10=0,0,E10-'3 - TPS &amp; COUT HUMAIN PRORATA  '!E25)</f>
        <v>0</v>
      </c>
      <c r="F25" s="65">
        <f>IF(F10=0,0,F10-'3 - TPS &amp; COUT HUMAIN PRORATA  '!F25)</f>
        <v>0</v>
      </c>
      <c r="G25" s="65">
        <f>IF(G10=0,0,G10-'3 - TPS &amp; COUT HUMAIN PRORATA  '!G25)</f>
        <v>0</v>
      </c>
      <c r="H25" s="65">
        <f>IF(H10=0,0,H10-'3 - TPS &amp; COUT HUMAIN PRORATA  '!H25)</f>
        <v>0</v>
      </c>
      <c r="I25" s="26">
        <f>IF(I10=0,0,I10-'3 - TPS &amp; COUT HUMAIN PRORATA  '!I25)</f>
        <v>0</v>
      </c>
      <c r="J25" s="26">
        <f>IF(I25=0,0,I25/'2 - COUT RH TOTAL'!$L$13)</f>
        <v>0</v>
      </c>
      <c r="L25" s="7" t="str">
        <f>IF(L10="","",L10-'3 - TPS &amp; COUT HUMAIN PRORATA  '!L25)</f>
        <v/>
      </c>
      <c r="M25" s="7" t="str">
        <f>IF(M10="","",M10-'3 - TPS &amp; COUT HUMAIN PRORATA  '!M25)</f>
        <v/>
      </c>
      <c r="P25" s="110"/>
      <c r="S25" s="27">
        <v>2</v>
      </c>
      <c r="T25" s="28" t="str">
        <f t="shared" ref="T25:T30" si="7">T10</f>
        <v>OG 2</v>
      </c>
      <c r="V25" s="65">
        <f>V10-'3 - TPS &amp; COUT HUMAIN PRORATA  '!T25</f>
        <v>42173.947837949534</v>
      </c>
      <c r="W25" s="65">
        <f>W10-'3 - TPS &amp; COUT HUMAIN PRORATA  '!U25</f>
        <v>56984.554446256079</v>
      </c>
      <c r="X25" s="65">
        <f>X10-'3 - TPS &amp; COUT HUMAIN PRORATA  '!V25</f>
        <v>56984.554446256079</v>
      </c>
      <c r="Y25" s="65">
        <f>Y10-'3 - TPS &amp; COUT HUMAIN PRORATA  '!W25</f>
        <v>14246.13861156402</v>
      </c>
      <c r="Z25" s="26">
        <f t="shared" ref="Z25:Z30" si="8">SUM(V25:Y25)</f>
        <v>170389.19534202572</v>
      </c>
      <c r="AA25" s="26">
        <f>Z25/'2 - COUT RH TOTAL'!$AA$13</f>
        <v>56796.398447341904</v>
      </c>
      <c r="AC25" s="7">
        <f>AC10-'3 - TPS &amp; COUT HUMAIN PRORATA  '!AA25</f>
        <v>34077.839068405141</v>
      </c>
      <c r="AD25" s="7">
        <f>AD10-'3 - TPS &amp; COUT HUMAIN PRORATA  '!AB25</f>
        <v>11359.279689468382</v>
      </c>
    </row>
    <row r="26" spans="2:30" x14ac:dyDescent="0.35">
      <c r="B26" s="27">
        <v>3</v>
      </c>
      <c r="C26" s="28" t="str">
        <f t="shared" si="6"/>
        <v/>
      </c>
      <c r="E26" s="65">
        <f>IF(E11=0,0,E11-'3 - TPS &amp; COUT HUMAIN PRORATA  '!E26)</f>
        <v>0</v>
      </c>
      <c r="F26" s="65">
        <f>IF(F11=0,0,F11-'3 - TPS &amp; COUT HUMAIN PRORATA  '!F26)</f>
        <v>0</v>
      </c>
      <c r="G26" s="65">
        <f>IF(G11=0,0,G11-'3 - TPS &amp; COUT HUMAIN PRORATA  '!G26)</f>
        <v>0</v>
      </c>
      <c r="H26" s="65">
        <f>IF(H11=0,0,H11-'3 - TPS &amp; COUT HUMAIN PRORATA  '!H26)</f>
        <v>0</v>
      </c>
      <c r="I26" s="26">
        <f>IF(I11=0,0,I11-'3 - TPS &amp; COUT HUMAIN PRORATA  '!I26)</f>
        <v>0</v>
      </c>
      <c r="J26" s="26">
        <f>IF(I26=0,0,I26/'2 - COUT RH TOTAL'!$L$13)</f>
        <v>0</v>
      </c>
      <c r="L26" s="7" t="str">
        <f>IF(L11="","",L11-'3 - TPS &amp; COUT HUMAIN PRORATA  '!L26)</f>
        <v/>
      </c>
      <c r="M26" s="7" t="str">
        <f>IF(M11="","",M11-'3 - TPS &amp; COUT HUMAIN PRORATA  '!M26)</f>
        <v/>
      </c>
      <c r="P26" s="110"/>
      <c r="S26" s="27">
        <v>3</v>
      </c>
      <c r="T26" s="28" t="str">
        <f t="shared" si="7"/>
        <v>OG 3</v>
      </c>
      <c r="V26" s="65">
        <f>V11-'3 - TPS &amp; COUT HUMAIN PRORATA  '!T26</f>
        <v>50411.696752368181</v>
      </c>
      <c r="W26" s="65">
        <f>W11-'3 - TPS &amp; COUT HUMAIN PRORATA  '!U26</f>
        <v>68141.295612328599</v>
      </c>
      <c r="X26" s="65">
        <f>X11-'3 - TPS &amp; COUT HUMAIN PRORATA  '!V26</f>
        <v>68141.295612328599</v>
      </c>
      <c r="Y26" s="65">
        <f>Y11-'3 - TPS &amp; COUT HUMAIN PRORATA  '!W26</f>
        <v>17035.32390308215</v>
      </c>
      <c r="Z26" s="26">
        <f t="shared" si="8"/>
        <v>203729.61188010752</v>
      </c>
      <c r="AA26" s="26">
        <f>Z26/'2 - COUT RH TOTAL'!$AA$13</f>
        <v>67909.870626702512</v>
      </c>
      <c r="AC26" s="7">
        <f>AC11-'3 - TPS &amp; COUT HUMAIN PRORATA  '!AA26</f>
        <v>33954.935313351256</v>
      </c>
      <c r="AD26" s="7">
        <f>AD11-'3 - TPS &amp; COUT HUMAIN PRORATA  '!AB26</f>
        <v>11318.311771117085</v>
      </c>
    </row>
    <row r="27" spans="2:30" x14ac:dyDescent="0.35">
      <c r="B27" s="27">
        <v>4</v>
      </c>
      <c r="C27" s="28" t="str">
        <f t="shared" si="6"/>
        <v/>
      </c>
      <c r="E27" s="65">
        <f>IF(E12=0,0,E12-'3 - TPS &amp; COUT HUMAIN PRORATA  '!E27)</f>
        <v>0</v>
      </c>
      <c r="F27" s="65">
        <f>IF(F12=0,0,F12-'3 - TPS &amp; COUT HUMAIN PRORATA  '!F27)</f>
        <v>0</v>
      </c>
      <c r="G27" s="65">
        <f>IF(G12=0,0,G12-'3 - TPS &amp; COUT HUMAIN PRORATA  '!G27)</f>
        <v>0</v>
      </c>
      <c r="H27" s="65">
        <f>IF(H12=0,0,H12-'3 - TPS &amp; COUT HUMAIN PRORATA  '!H27)</f>
        <v>0</v>
      </c>
      <c r="I27" s="26">
        <f>IF(I12=0,0,I12-'3 - TPS &amp; COUT HUMAIN PRORATA  '!I27)</f>
        <v>0</v>
      </c>
      <c r="J27" s="26">
        <f>IF(I27=0,0,I27/'2 - COUT RH TOTAL'!$L$13)</f>
        <v>0</v>
      </c>
      <c r="L27" s="7" t="str">
        <f>IF(L12="","",L12-'3 - TPS &amp; COUT HUMAIN PRORATA  '!L27)</f>
        <v/>
      </c>
      <c r="M27" s="7" t="str">
        <f>IF(M12="","",M12-'3 - TPS &amp; COUT HUMAIN PRORATA  '!M27)</f>
        <v/>
      </c>
      <c r="P27" s="110"/>
      <c r="S27" s="27">
        <v>4</v>
      </c>
      <c r="T27" s="28" t="str">
        <f t="shared" si="7"/>
        <v>OG 4</v>
      </c>
      <c r="V27" s="65">
        <f>V12-'3 - TPS &amp; COUT HUMAIN PRORATA  '!T27</f>
        <v>42580.125004219546</v>
      </c>
      <c r="W27" s="65">
        <f>W12-'3 - TPS &amp; COUT HUMAIN PRORATA  '!U27</f>
        <v>57479.637344198934</v>
      </c>
      <c r="X27" s="65">
        <f>X12-'3 - TPS &amp; COUT HUMAIN PRORATA  '!V27</f>
        <v>57479.637344198934</v>
      </c>
      <c r="Y27" s="65">
        <f>Y12-'3 - TPS &amp; COUT HUMAIN PRORATA  '!W27</f>
        <v>14369.909336049734</v>
      </c>
      <c r="Z27" s="26">
        <f t="shared" si="8"/>
        <v>171909.30902866714</v>
      </c>
      <c r="AA27" s="26">
        <f>Z27/'2 - COUT RH TOTAL'!$AA$13</f>
        <v>57303.103009555714</v>
      </c>
      <c r="AC27" s="7">
        <f>AC12-'3 - TPS &amp; COUT HUMAIN PRORATA  '!AA27</f>
        <v>34381.861805733432</v>
      </c>
      <c r="AD27" s="7">
        <f>AD12-'3 - TPS &amp; COUT HUMAIN PRORATA  '!AB27</f>
        <v>11460.620601911143</v>
      </c>
    </row>
    <row r="28" spans="2:30" x14ac:dyDescent="0.35">
      <c r="B28" s="27">
        <v>5</v>
      </c>
      <c r="C28" s="28" t="str">
        <f t="shared" si="6"/>
        <v/>
      </c>
      <c r="E28" s="65">
        <f>IF(E13=0,0,E13-'3 - TPS &amp; COUT HUMAIN PRORATA  '!E28)</f>
        <v>0</v>
      </c>
      <c r="F28" s="65">
        <f>IF(F13=0,0,F13-'3 - TPS &amp; COUT HUMAIN PRORATA  '!F28)</f>
        <v>0</v>
      </c>
      <c r="G28" s="65">
        <f>IF(G13=0,0,G13-'3 - TPS &amp; COUT HUMAIN PRORATA  '!G28)</f>
        <v>0</v>
      </c>
      <c r="H28" s="65">
        <f>IF(H13=0,0,H13-'3 - TPS &amp; COUT HUMAIN PRORATA  '!H28)</f>
        <v>0</v>
      </c>
      <c r="I28" s="26">
        <f>IF(I13=0,0,I13-'3 - TPS &amp; COUT HUMAIN PRORATA  '!I28)</f>
        <v>0</v>
      </c>
      <c r="J28" s="26">
        <f>IF(I28=0,0,I28/'2 - COUT RH TOTAL'!$L$13)</f>
        <v>0</v>
      </c>
      <c r="L28" s="7" t="str">
        <f>IF(L13="","",L13-'3 - TPS &amp; COUT HUMAIN PRORATA  '!L28)</f>
        <v/>
      </c>
      <c r="M28" s="7" t="str">
        <f>IF(M13="","",M13-'3 - TPS &amp; COUT HUMAIN PRORATA  '!M28)</f>
        <v/>
      </c>
      <c r="P28" s="110"/>
      <c r="S28" s="27">
        <v>5</v>
      </c>
      <c r="T28" s="28" t="str">
        <f t="shared" si="7"/>
        <v>OG 5</v>
      </c>
      <c r="V28" s="65">
        <f>V13-'3 - TPS &amp; COUT HUMAIN PRORATA  '!T28</f>
        <v>61459.982441955814</v>
      </c>
      <c r="W28" s="65">
        <f>W13-'3 - TPS &amp; COUT HUMAIN PRORATA  '!U28</f>
        <v>82723.75542281309</v>
      </c>
      <c r="X28" s="65">
        <f>X13-'3 - TPS &amp; COUT HUMAIN PRORATA  '!V28</f>
        <v>82723.75542281309</v>
      </c>
      <c r="Y28" s="65">
        <f>Y13-'3 - TPS &amp; COUT HUMAIN PRORATA  '!W28</f>
        <v>20680.938855703273</v>
      </c>
      <c r="Z28" s="26">
        <f t="shared" si="8"/>
        <v>247588.43214328526</v>
      </c>
      <c r="AA28" s="26">
        <f>Z28/'2 - COUT RH TOTAL'!$AA$13</f>
        <v>82529.477381095086</v>
      </c>
      <c r="AC28" s="7">
        <f>AC13-'3 - TPS &amp; COUT HUMAIN PRORATA  '!AA28</f>
        <v>35369.776020469326</v>
      </c>
      <c r="AD28" s="7">
        <f>AD13-'3 - TPS &amp; COUT HUMAIN PRORATA  '!AB28</f>
        <v>11789.925340156442</v>
      </c>
    </row>
    <row r="29" spans="2:30" x14ac:dyDescent="0.35">
      <c r="B29" s="27">
        <v>6</v>
      </c>
      <c r="C29" s="28" t="str">
        <f t="shared" si="6"/>
        <v/>
      </c>
      <c r="E29" s="65">
        <f>IF(E14=0,0,E14-'3 - TPS &amp; COUT HUMAIN PRORATA  '!E29)</f>
        <v>0</v>
      </c>
      <c r="F29" s="65">
        <f>IF(F14=0,0,F14-'3 - TPS &amp; COUT HUMAIN PRORATA  '!F29)</f>
        <v>0</v>
      </c>
      <c r="G29" s="65">
        <f>IF(G14=0,0,G14-'3 - TPS &amp; COUT HUMAIN PRORATA  '!G29)</f>
        <v>0</v>
      </c>
      <c r="H29" s="65">
        <f>IF(H14=0,0,H14-'3 - TPS &amp; COUT HUMAIN PRORATA  '!H29)</f>
        <v>0</v>
      </c>
      <c r="I29" s="26">
        <f>IF(I14=0,0,I14-'3 - TPS &amp; COUT HUMAIN PRORATA  '!I29)</f>
        <v>0</v>
      </c>
      <c r="J29" s="26">
        <f>IF(I29=0,0,I29/'2 - COUT RH TOTAL'!$L$13)</f>
        <v>0</v>
      </c>
      <c r="L29" s="7" t="str">
        <f>IF(L14="","",L14-'3 - TPS &amp; COUT HUMAIN PRORATA  '!L29)</f>
        <v/>
      </c>
      <c r="M29" s="7" t="str">
        <f>IF(M14="","",M14-'3 - TPS &amp; COUT HUMAIN PRORATA  '!M29)</f>
        <v/>
      </c>
      <c r="P29" s="110"/>
      <c r="S29" s="27">
        <v>6</v>
      </c>
      <c r="T29" s="28" t="str">
        <f t="shared" si="7"/>
        <v>OG 6</v>
      </c>
      <c r="V29" s="65">
        <f>V14-'3 - TPS &amp; COUT HUMAIN PRORATA  '!T29</f>
        <v>30209.384953209053</v>
      </c>
      <c r="W29" s="65">
        <f>W14-'3 - TPS &amp; COUT HUMAIN PRORATA  '!U29</f>
        <v>41285.258912924342</v>
      </c>
      <c r="X29" s="65">
        <f>X14-'3 - TPS &amp; COUT HUMAIN PRORATA  '!V29</f>
        <v>41285.258912924342</v>
      </c>
      <c r="Y29" s="65">
        <f>Y14-'3 - TPS &amp; COUT HUMAIN PRORATA  '!W29</f>
        <v>10321.314728231086</v>
      </c>
      <c r="Z29" s="26">
        <f t="shared" si="8"/>
        <v>123101.21750728882</v>
      </c>
      <c r="AA29" s="26">
        <f>Z29/'2 - COUT RH TOTAL'!$AA$13</f>
        <v>41033.739169096276</v>
      </c>
      <c r="AC29" s="7">
        <f>AC14-'3 - TPS &amp; COUT HUMAIN PRORATA  '!AA29</f>
        <v>30775.304376822205</v>
      </c>
      <c r="AD29" s="7">
        <f>AD14-'3 - TPS &amp; COUT HUMAIN PRORATA  '!AB29</f>
        <v>10258.434792274067</v>
      </c>
    </row>
    <row r="30" spans="2:30" x14ac:dyDescent="0.35">
      <c r="B30" s="27">
        <v>7</v>
      </c>
      <c r="C30" s="28" t="str">
        <f t="shared" si="6"/>
        <v/>
      </c>
      <c r="E30" s="65">
        <f>IF(E15=0,0,E15-'3 - TPS &amp; COUT HUMAIN PRORATA  '!E30)</f>
        <v>0</v>
      </c>
      <c r="F30" s="65">
        <f>IF(F15=0,0,F15-'3 - TPS &amp; COUT HUMAIN PRORATA  '!F30)</f>
        <v>0</v>
      </c>
      <c r="G30" s="65">
        <f>IF(G15=0,0,G15-'3 - TPS &amp; COUT HUMAIN PRORATA  '!G30)</f>
        <v>0</v>
      </c>
      <c r="H30" s="65">
        <f>IF(H15=0,0,H15-'3 - TPS &amp; COUT HUMAIN PRORATA  '!H30)</f>
        <v>0</v>
      </c>
      <c r="I30" s="26">
        <f>IF(I15=0,0,I15-'3 - TPS &amp; COUT HUMAIN PRORATA  '!I30)</f>
        <v>0</v>
      </c>
      <c r="J30" s="26">
        <f>IF(I30=0,0,I30/'2 - COUT RH TOTAL'!$L$13)</f>
        <v>0</v>
      </c>
      <c r="L30" s="7" t="str">
        <f>IF(L15="","",L15-'3 - TPS &amp; COUT HUMAIN PRORATA  '!L30)</f>
        <v/>
      </c>
      <c r="M30" s="7" t="str">
        <f>IF(M15="","",M15-'3 - TPS &amp; COUT HUMAIN PRORATA  '!M30)</f>
        <v/>
      </c>
      <c r="P30" s="110"/>
      <c r="S30" s="27">
        <v>7</v>
      </c>
      <c r="T30" s="28" t="str">
        <f t="shared" si="7"/>
        <v>OG 7</v>
      </c>
      <c r="V30" s="65">
        <f>V15-'3 - TPS &amp; COUT HUMAIN PRORATA  '!T30</f>
        <v>14509.775910318207</v>
      </c>
      <c r="W30" s="65">
        <f>W15-'3 - TPS &amp; COUT HUMAIN PRORATA  '!U30</f>
        <v>19917.495100988715</v>
      </c>
      <c r="X30" s="65">
        <f>X15-'3 - TPS &amp; COUT HUMAIN PRORATA  '!V30</f>
        <v>19917.495100988715</v>
      </c>
      <c r="Y30" s="65">
        <f>Y15-'3 - TPS &amp; COUT HUMAIN PRORATA  '!W30</f>
        <v>4979.3737752471789</v>
      </c>
      <c r="Z30" s="26">
        <f t="shared" si="8"/>
        <v>59324.139887542813</v>
      </c>
      <c r="AA30" s="26">
        <f>Z30/'2 - COUT RH TOTAL'!$AA$13</f>
        <v>19774.713295847603</v>
      </c>
      <c r="AC30" s="7">
        <f>AC15-'3 - TPS &amp; COUT HUMAIN PRORATA  '!AA30</f>
        <v>29662.06994377141</v>
      </c>
      <c r="AD30" s="7">
        <f>AD15-'3 - TPS &amp; COUT HUMAIN PRORATA  '!AB30</f>
        <v>9887.3566479238034</v>
      </c>
    </row>
    <row r="31" spans="2:30" x14ac:dyDescent="0.35">
      <c r="B31" s="3"/>
      <c r="C31" s="3"/>
      <c r="P31" s="110"/>
      <c r="S31" s="3"/>
      <c r="T31" s="3"/>
    </row>
    <row r="32" spans="2:30" x14ac:dyDescent="0.35">
      <c r="B32" s="66" t="s">
        <v>0</v>
      </c>
      <c r="C32" s="66"/>
      <c r="E32" s="23">
        <f>SUM(E24:E30)</f>
        <v>0</v>
      </c>
      <c r="F32" s="23">
        <f t="shared" ref="F32:H32" si="9">SUM(F24:F30)</f>
        <v>0</v>
      </c>
      <c r="G32" s="23">
        <f t="shared" si="9"/>
        <v>0</v>
      </c>
      <c r="H32" s="23">
        <f t="shared" si="9"/>
        <v>0</v>
      </c>
      <c r="I32" s="41">
        <f>SUM(I24:I30)</f>
        <v>0</v>
      </c>
      <c r="J32" s="41">
        <f>SUM(J24:J30)</f>
        <v>0</v>
      </c>
      <c r="L32" s="50">
        <f>IF(SUM(L24:L30)=0,0,AVERAGE(L24:L30))</f>
        <v>0</v>
      </c>
      <c r="M32" s="50">
        <f>IF(SUM(M24:M30)=0,0,AVERAGE(M24:M30))</f>
        <v>0</v>
      </c>
      <c r="P32" s="110"/>
      <c r="S32" s="66" t="s">
        <v>0</v>
      </c>
      <c r="T32" s="66"/>
      <c r="V32" s="23">
        <f t="shared" ref="V32:AA32" si="10">SUM(V24:V30)</f>
        <v>351249.99999999994</v>
      </c>
      <c r="W32" s="23">
        <f t="shared" si="10"/>
        <v>474999.99999999994</v>
      </c>
      <c r="X32" s="23">
        <f t="shared" si="10"/>
        <v>474999.99999999994</v>
      </c>
      <c r="Y32" s="23">
        <f t="shared" si="10"/>
        <v>118749.99999999999</v>
      </c>
      <c r="Z32" s="41">
        <f t="shared" si="10"/>
        <v>1420000</v>
      </c>
      <c r="AA32" s="41">
        <f t="shared" si="10"/>
        <v>473333.33333333326</v>
      </c>
      <c r="AC32" s="50">
        <f>AVERAGE(AC24:AC30)</f>
        <v>33196.0584514535</v>
      </c>
      <c r="AD32" s="50">
        <f>AVERAGE(AD24:AD30)</f>
        <v>11065.352817151168</v>
      </c>
    </row>
    <row r="38" spans="12:14" x14ac:dyDescent="0.35">
      <c r="L38" s="5" t="s">
        <v>29</v>
      </c>
      <c r="M38" s="5" t="s">
        <v>27</v>
      </c>
      <c r="N38" s="5" t="s">
        <v>28</v>
      </c>
    </row>
    <row r="39" spans="12:14" x14ac:dyDescent="0.35">
      <c r="L39" s="2">
        <v>1000</v>
      </c>
      <c r="M39" s="20" t="s">
        <v>24</v>
      </c>
      <c r="N39" s="2">
        <v>1000</v>
      </c>
    </row>
    <row r="40" spans="12:14" x14ac:dyDescent="0.35">
      <c r="L40" s="2">
        <v>5000</v>
      </c>
      <c r="M40" s="30" t="s">
        <v>25</v>
      </c>
      <c r="N40" s="2">
        <v>21700</v>
      </c>
    </row>
    <row r="41" spans="12:14" x14ac:dyDescent="0.35">
      <c r="L41" s="2">
        <v>7000</v>
      </c>
      <c r="M41" s="21" t="s">
        <v>26</v>
      </c>
      <c r="N41" s="2">
        <v>31700</v>
      </c>
    </row>
    <row r="42" spans="12:14" x14ac:dyDescent="0.35">
      <c r="L42" s="8">
        <f>L39+L40+L41</f>
        <v>13000</v>
      </c>
      <c r="M42" s="5" t="s">
        <v>0</v>
      </c>
      <c r="N42" s="8">
        <f>N39+N40+N41</f>
        <v>54400</v>
      </c>
    </row>
  </sheetData>
  <mergeCells count="11">
    <mergeCell ref="B3:M3"/>
    <mergeCell ref="S3:AD3"/>
    <mergeCell ref="E20:M20"/>
    <mergeCell ref="P3:P32"/>
    <mergeCell ref="V5:AD5"/>
    <mergeCell ref="S17:T17"/>
    <mergeCell ref="V20:AD20"/>
    <mergeCell ref="S32:T32"/>
    <mergeCell ref="B17:C17"/>
    <mergeCell ref="B32:C32"/>
    <mergeCell ref="E5:M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0"/>
  <sheetViews>
    <sheetView showGridLines="0" zoomScale="85" zoomScaleNormal="85" workbookViewId="0"/>
  </sheetViews>
  <sheetFormatPr baseColWidth="10" defaultRowHeight="14.5" x14ac:dyDescent="0.35"/>
  <cols>
    <col min="1" max="1" width="2.6328125" customWidth="1"/>
    <col min="2" max="2" width="4.1796875" customWidth="1"/>
    <col min="3" max="3" width="16" customWidth="1"/>
    <col min="4" max="4" width="2.54296875" customWidth="1"/>
    <col min="5" max="13" width="8.7265625" customWidth="1"/>
    <col min="14" max="14" width="5.26953125" customWidth="1"/>
    <col min="15" max="15" width="2.453125" customWidth="1"/>
    <col min="16" max="16" width="5.26953125" customWidth="1"/>
    <col min="17" max="17" width="4.1796875" customWidth="1"/>
    <col min="18" max="18" width="16" customWidth="1"/>
    <col min="19" max="19" width="2.54296875" customWidth="1"/>
    <col min="20" max="28" width="8.7265625" customWidth="1"/>
  </cols>
  <sheetData>
    <row r="1" spans="1:28" ht="14.5" customHeight="1" x14ac:dyDescent="0.35">
      <c r="A1" s="63" t="s">
        <v>108</v>
      </c>
      <c r="B1" t="s">
        <v>96</v>
      </c>
    </row>
    <row r="2" spans="1:28" ht="15" thickBot="1" x14ac:dyDescent="0.4"/>
    <row r="3" spans="1:28" ht="15" thickBot="1" x14ac:dyDescent="0.4">
      <c r="B3" s="71" t="s">
        <v>39</v>
      </c>
      <c r="C3" s="72"/>
      <c r="D3" s="72"/>
      <c r="E3" s="72"/>
      <c r="F3" s="72"/>
      <c r="G3" s="72"/>
      <c r="H3" s="72"/>
      <c r="I3" s="72"/>
      <c r="J3" s="72"/>
      <c r="K3" s="72"/>
      <c r="L3" s="72"/>
      <c r="M3" s="73"/>
      <c r="O3" s="109"/>
      <c r="Q3" s="74" t="s">
        <v>40</v>
      </c>
      <c r="R3" s="75"/>
      <c r="S3" s="75"/>
      <c r="T3" s="75"/>
      <c r="U3" s="75"/>
      <c r="V3" s="75"/>
      <c r="W3" s="75"/>
      <c r="X3" s="75"/>
      <c r="Y3" s="75"/>
      <c r="Z3" s="75"/>
      <c r="AA3" s="75"/>
      <c r="AB3" s="76"/>
    </row>
    <row r="4" spans="1:28" ht="15" thickBot="1" x14ac:dyDescent="0.4">
      <c r="O4" s="110"/>
    </row>
    <row r="5" spans="1:28" ht="15" thickBot="1" x14ac:dyDescent="0.4">
      <c r="B5" s="67" t="s">
        <v>15</v>
      </c>
      <c r="C5" s="68"/>
      <c r="D5" s="68"/>
      <c r="E5" s="68"/>
      <c r="F5" s="68"/>
      <c r="G5" s="68"/>
      <c r="H5" s="68"/>
      <c r="I5" s="68"/>
      <c r="J5" s="68"/>
      <c r="K5" s="68"/>
      <c r="L5" s="68"/>
      <c r="M5" s="69"/>
      <c r="O5" s="110"/>
      <c r="Q5" s="67" t="s">
        <v>15</v>
      </c>
      <c r="R5" s="68"/>
      <c r="S5" s="68"/>
      <c r="T5" s="68"/>
      <c r="U5" s="68"/>
      <c r="V5" s="68"/>
      <c r="W5" s="68"/>
      <c r="X5" s="68"/>
      <c r="Y5" s="68"/>
      <c r="Z5" s="68"/>
      <c r="AA5" s="68"/>
      <c r="AB5" s="69"/>
    </row>
    <row r="6" spans="1:28" x14ac:dyDescent="0.35">
      <c r="B6" s="3"/>
      <c r="C6" s="3"/>
      <c r="D6" s="3"/>
      <c r="E6" s="3"/>
      <c r="F6" s="3"/>
      <c r="G6" s="3"/>
      <c r="H6" s="3"/>
      <c r="I6" s="3"/>
      <c r="J6" s="3"/>
      <c r="K6" s="3"/>
      <c r="L6" s="3"/>
      <c r="M6" s="3"/>
      <c r="O6" s="110"/>
      <c r="Q6" s="3"/>
      <c r="R6" s="3"/>
      <c r="S6" s="3"/>
      <c r="T6" s="3"/>
      <c r="U6" s="3"/>
      <c r="V6" s="3"/>
      <c r="W6" s="3"/>
      <c r="X6" s="3"/>
      <c r="Y6" s="3"/>
      <c r="Z6" s="3"/>
      <c r="AA6" s="3"/>
      <c r="AB6" s="3"/>
    </row>
    <row r="7" spans="1:28" x14ac:dyDescent="0.35">
      <c r="B7" s="3"/>
      <c r="C7" s="3"/>
      <c r="D7" s="3"/>
      <c r="E7" s="82" t="s">
        <v>31</v>
      </c>
      <c r="F7" s="82"/>
      <c r="G7" s="82"/>
      <c r="H7" s="82"/>
      <c r="I7" s="82"/>
      <c r="J7" s="82"/>
      <c r="K7" s="82"/>
      <c r="L7" s="82"/>
      <c r="M7" s="82"/>
      <c r="O7" s="110"/>
      <c r="Q7" s="3"/>
      <c r="R7" s="3"/>
      <c r="S7" s="3"/>
      <c r="T7" s="82" t="s">
        <v>31</v>
      </c>
      <c r="U7" s="82"/>
      <c r="V7" s="82"/>
      <c r="W7" s="82"/>
      <c r="X7" s="82"/>
      <c r="Y7" s="82"/>
      <c r="Z7" s="82"/>
      <c r="AA7" s="82"/>
      <c r="AB7" s="82"/>
    </row>
    <row r="8" spans="1:28" x14ac:dyDescent="0.35">
      <c r="B8" s="3"/>
      <c r="C8" s="3"/>
      <c r="D8" s="3"/>
      <c r="E8" s="3"/>
      <c r="F8" s="3"/>
      <c r="G8" s="3"/>
      <c r="H8" s="3"/>
      <c r="I8" s="3"/>
      <c r="J8" s="3"/>
      <c r="K8" s="3"/>
      <c r="L8" s="3"/>
      <c r="M8" s="3"/>
      <c r="O8" s="110"/>
      <c r="Q8" s="3"/>
      <c r="R8" s="3"/>
      <c r="S8" s="3"/>
      <c r="T8" s="3"/>
      <c r="U8" s="3"/>
      <c r="V8" s="3"/>
      <c r="W8" s="3"/>
      <c r="X8" s="3"/>
      <c r="Y8" s="3"/>
      <c r="Z8" s="3"/>
      <c r="AA8" s="3"/>
      <c r="AB8" s="3"/>
    </row>
    <row r="9" spans="1:28" ht="10.5" customHeight="1" x14ac:dyDescent="0.35">
      <c r="B9" s="111">
        <v>1</v>
      </c>
      <c r="C9" s="86" t="str">
        <f>'2 - COUT RH TOTAL'!C24</f>
        <v/>
      </c>
      <c r="D9" s="3"/>
      <c r="E9" s="112"/>
      <c r="F9" s="112"/>
      <c r="G9" s="112"/>
      <c r="H9" s="112"/>
      <c r="I9" s="112"/>
      <c r="J9" s="112"/>
      <c r="K9" s="112"/>
      <c r="L9" s="112"/>
      <c r="M9" s="112"/>
      <c r="O9" s="110"/>
      <c r="Q9" s="111">
        <v>1</v>
      </c>
      <c r="R9" s="86" t="str">
        <f>'2 - COUT RH TOTAL'!R24</f>
        <v>OG 1</v>
      </c>
      <c r="S9" s="3"/>
      <c r="T9" s="46" t="s">
        <v>56</v>
      </c>
      <c r="U9" s="47"/>
      <c r="V9" s="47"/>
      <c r="W9" s="47"/>
      <c r="X9" s="47"/>
      <c r="Y9" s="47"/>
      <c r="Z9" s="47"/>
      <c r="AA9" s="47"/>
      <c r="AB9" s="48"/>
    </row>
    <row r="10" spans="1:28" ht="10.5" customHeight="1" x14ac:dyDescent="0.35">
      <c r="B10" s="111"/>
      <c r="C10" s="86"/>
      <c r="D10" s="3"/>
      <c r="E10" s="112"/>
      <c r="F10" s="112"/>
      <c r="G10" s="112"/>
      <c r="H10" s="112"/>
      <c r="I10" s="112"/>
      <c r="J10" s="112"/>
      <c r="K10" s="112"/>
      <c r="L10" s="112"/>
      <c r="M10" s="112"/>
      <c r="O10" s="110"/>
      <c r="Q10" s="111"/>
      <c r="R10" s="86"/>
      <c r="S10" s="3"/>
      <c r="T10" s="46" t="s">
        <v>57</v>
      </c>
      <c r="U10" s="47"/>
      <c r="V10" s="47"/>
      <c r="W10" s="47"/>
      <c r="X10" s="47"/>
      <c r="Y10" s="47"/>
      <c r="Z10" s="47"/>
      <c r="AA10" s="47"/>
      <c r="AB10" s="48"/>
    </row>
    <row r="11" spans="1:28" ht="10.5" customHeight="1" x14ac:dyDescent="0.35">
      <c r="B11" s="111"/>
      <c r="C11" s="86"/>
      <c r="D11" s="3"/>
      <c r="E11" s="112"/>
      <c r="F11" s="112"/>
      <c r="G11" s="112"/>
      <c r="H11" s="112"/>
      <c r="I11" s="112"/>
      <c r="J11" s="112"/>
      <c r="K11" s="112"/>
      <c r="L11" s="112"/>
      <c r="M11" s="112"/>
      <c r="O11" s="110"/>
      <c r="Q11" s="111"/>
      <c r="R11" s="86"/>
      <c r="S11" s="3"/>
      <c r="T11" s="46" t="s">
        <v>58</v>
      </c>
      <c r="U11" s="47"/>
      <c r="V11" s="47"/>
      <c r="W11" s="47"/>
      <c r="X11" s="47"/>
      <c r="Y11" s="47"/>
      <c r="Z11" s="47"/>
      <c r="AA11" s="47"/>
      <c r="AB11" s="48"/>
    </row>
    <row r="12" spans="1:28" ht="10.5" customHeight="1" x14ac:dyDescent="0.35">
      <c r="B12" s="111"/>
      <c r="C12" s="86"/>
      <c r="D12" s="3"/>
      <c r="E12" s="112"/>
      <c r="F12" s="112"/>
      <c r="G12" s="112"/>
      <c r="H12" s="112"/>
      <c r="I12" s="112"/>
      <c r="J12" s="112"/>
      <c r="K12" s="112"/>
      <c r="L12" s="112"/>
      <c r="M12" s="112"/>
      <c r="O12" s="110"/>
      <c r="Q12" s="111"/>
      <c r="R12" s="86"/>
      <c r="S12" s="3"/>
      <c r="T12" s="46" t="s">
        <v>59</v>
      </c>
      <c r="U12" s="47"/>
      <c r="V12" s="47"/>
      <c r="W12" s="47"/>
      <c r="X12" s="47"/>
      <c r="Y12" s="47"/>
      <c r="Z12" s="47"/>
      <c r="AA12" s="47"/>
      <c r="AB12" s="48"/>
    </row>
    <row r="13" spans="1:28" ht="10.5" customHeight="1" x14ac:dyDescent="0.35">
      <c r="B13" s="111"/>
      <c r="C13" s="86"/>
      <c r="D13" s="3"/>
      <c r="E13" s="112"/>
      <c r="F13" s="112"/>
      <c r="G13" s="112"/>
      <c r="H13" s="112"/>
      <c r="I13" s="112"/>
      <c r="J13" s="112"/>
      <c r="K13" s="112"/>
      <c r="L13" s="112"/>
      <c r="M13" s="112"/>
      <c r="O13" s="110"/>
      <c r="Q13" s="111"/>
      <c r="R13" s="86"/>
      <c r="S13" s="3"/>
      <c r="T13" s="114"/>
      <c r="U13" s="115"/>
      <c r="V13" s="115"/>
      <c r="W13" s="115"/>
      <c r="X13" s="115"/>
      <c r="Y13" s="115"/>
      <c r="Z13" s="115"/>
      <c r="AA13" s="115"/>
      <c r="AB13" s="116"/>
    </row>
    <row r="14" spans="1:28" ht="10.5" customHeight="1" x14ac:dyDescent="0.35">
      <c r="B14" s="3"/>
      <c r="C14" s="3"/>
      <c r="D14" s="3"/>
      <c r="E14" s="44"/>
      <c r="F14" s="44"/>
      <c r="G14" s="44"/>
      <c r="H14" s="44"/>
      <c r="I14" s="44"/>
      <c r="J14" s="44"/>
      <c r="K14" s="44"/>
      <c r="L14" s="44"/>
      <c r="M14" s="44"/>
      <c r="O14" s="110"/>
      <c r="T14" s="45"/>
      <c r="U14" s="45"/>
      <c r="V14" s="45"/>
      <c r="W14" s="45"/>
      <c r="X14" s="45"/>
      <c r="Y14" s="45"/>
      <c r="Z14" s="45"/>
      <c r="AA14" s="45"/>
      <c r="AB14" s="45"/>
    </row>
    <row r="15" spans="1:28" ht="10.5" customHeight="1" x14ac:dyDescent="0.35">
      <c r="B15" s="111">
        <v>2</v>
      </c>
      <c r="C15" s="86" t="str">
        <f>'2 - COUT RH TOTAL'!C25</f>
        <v/>
      </c>
      <c r="D15" s="3"/>
      <c r="E15" s="112"/>
      <c r="F15" s="112"/>
      <c r="G15" s="112"/>
      <c r="H15" s="112"/>
      <c r="I15" s="112"/>
      <c r="J15" s="112"/>
      <c r="K15" s="112"/>
      <c r="L15" s="112"/>
      <c r="M15" s="112"/>
      <c r="O15" s="110"/>
      <c r="Q15" s="111">
        <v>2</v>
      </c>
      <c r="R15" s="86" t="str">
        <f>'2 - COUT RH TOTAL'!R25</f>
        <v>OG 2</v>
      </c>
      <c r="S15" s="3"/>
      <c r="T15" s="46" t="s">
        <v>60</v>
      </c>
      <c r="U15" s="47"/>
      <c r="V15" s="47"/>
      <c r="W15" s="47"/>
      <c r="X15" s="47"/>
      <c r="Y15" s="47"/>
      <c r="Z15" s="47"/>
      <c r="AA15" s="47"/>
      <c r="AB15" s="48"/>
    </row>
    <row r="16" spans="1:28" ht="10.5" customHeight="1" x14ac:dyDescent="0.35">
      <c r="B16" s="111"/>
      <c r="C16" s="86"/>
      <c r="D16" s="3"/>
      <c r="E16" s="112"/>
      <c r="F16" s="112"/>
      <c r="G16" s="112"/>
      <c r="H16" s="112"/>
      <c r="I16" s="112"/>
      <c r="J16" s="112"/>
      <c r="K16" s="112"/>
      <c r="L16" s="112"/>
      <c r="M16" s="112"/>
      <c r="O16" s="110"/>
      <c r="Q16" s="111"/>
      <c r="R16" s="86"/>
      <c r="S16" s="3"/>
      <c r="T16" s="46" t="s">
        <v>61</v>
      </c>
      <c r="U16" s="47"/>
      <c r="V16" s="47"/>
      <c r="W16" s="47"/>
      <c r="X16" s="47"/>
      <c r="Y16" s="47"/>
      <c r="Z16" s="47"/>
      <c r="AA16" s="47"/>
      <c r="AB16" s="48"/>
    </row>
    <row r="17" spans="2:28" ht="10.5" customHeight="1" x14ac:dyDescent="0.35">
      <c r="B17" s="111"/>
      <c r="C17" s="86"/>
      <c r="D17" s="3"/>
      <c r="E17" s="112"/>
      <c r="F17" s="112"/>
      <c r="G17" s="112"/>
      <c r="H17" s="112"/>
      <c r="I17" s="112"/>
      <c r="J17" s="112"/>
      <c r="K17" s="112"/>
      <c r="L17" s="112"/>
      <c r="M17" s="112"/>
      <c r="O17" s="110"/>
      <c r="Q17" s="111"/>
      <c r="R17" s="86"/>
      <c r="S17" s="3"/>
      <c r="T17" s="46" t="s">
        <v>62</v>
      </c>
      <c r="U17" s="47"/>
      <c r="V17" s="47"/>
      <c r="W17" s="47"/>
      <c r="X17" s="47"/>
      <c r="Y17" s="47"/>
      <c r="Z17" s="47"/>
      <c r="AA17" s="47"/>
      <c r="AB17" s="48"/>
    </row>
    <row r="18" spans="2:28" ht="10.5" customHeight="1" x14ac:dyDescent="0.35">
      <c r="B18" s="111"/>
      <c r="C18" s="86"/>
      <c r="D18" s="3"/>
      <c r="E18" s="112"/>
      <c r="F18" s="112"/>
      <c r="G18" s="112"/>
      <c r="H18" s="112"/>
      <c r="I18" s="112"/>
      <c r="J18" s="112"/>
      <c r="K18" s="112"/>
      <c r="L18" s="112"/>
      <c r="M18" s="112"/>
      <c r="O18" s="110"/>
      <c r="Q18" s="111"/>
      <c r="R18" s="86"/>
      <c r="S18" s="3"/>
      <c r="T18" s="46" t="s">
        <v>63</v>
      </c>
      <c r="U18" s="47"/>
      <c r="V18" s="47"/>
      <c r="W18" s="47"/>
      <c r="X18" s="47"/>
      <c r="Y18" s="47"/>
      <c r="Z18" s="47"/>
      <c r="AA18" s="47"/>
      <c r="AB18" s="48"/>
    </row>
    <row r="19" spans="2:28" ht="10.5" customHeight="1" x14ac:dyDescent="0.35">
      <c r="B19" s="111"/>
      <c r="C19" s="86"/>
      <c r="D19" s="3"/>
      <c r="E19" s="112"/>
      <c r="F19" s="112"/>
      <c r="G19" s="112"/>
      <c r="H19" s="112"/>
      <c r="I19" s="112"/>
      <c r="J19" s="112"/>
      <c r="K19" s="112"/>
      <c r="L19" s="112"/>
      <c r="M19" s="112"/>
      <c r="O19" s="110"/>
      <c r="Q19" s="111"/>
      <c r="R19" s="86"/>
      <c r="S19" s="3"/>
      <c r="T19" s="114"/>
      <c r="U19" s="115"/>
      <c r="V19" s="115"/>
      <c r="W19" s="115"/>
      <c r="X19" s="115"/>
      <c r="Y19" s="115"/>
      <c r="Z19" s="115"/>
      <c r="AA19" s="115"/>
      <c r="AB19" s="116"/>
    </row>
    <row r="20" spans="2:28" ht="10.5" customHeight="1" x14ac:dyDescent="0.35">
      <c r="B20" s="3"/>
      <c r="C20" s="3"/>
      <c r="D20" s="3"/>
      <c r="E20" s="44"/>
      <c r="F20" s="44"/>
      <c r="G20" s="44"/>
      <c r="H20" s="44"/>
      <c r="I20" s="44"/>
      <c r="J20" s="44"/>
      <c r="K20" s="44"/>
      <c r="L20" s="44"/>
      <c r="M20" s="44"/>
      <c r="O20" s="110"/>
      <c r="T20" s="45"/>
      <c r="U20" s="45"/>
      <c r="V20" s="45"/>
      <c r="W20" s="45"/>
      <c r="X20" s="45"/>
      <c r="Y20" s="45"/>
      <c r="Z20" s="45"/>
      <c r="AA20" s="45"/>
      <c r="AB20" s="45"/>
    </row>
    <row r="21" spans="2:28" ht="10.5" customHeight="1" x14ac:dyDescent="0.35">
      <c r="B21" s="111">
        <v>3</v>
      </c>
      <c r="C21" s="86" t="str">
        <f>'2 - COUT RH TOTAL'!C26</f>
        <v/>
      </c>
      <c r="D21" s="3"/>
      <c r="E21" s="112"/>
      <c r="F21" s="112"/>
      <c r="G21" s="112"/>
      <c r="H21" s="112"/>
      <c r="I21" s="112"/>
      <c r="J21" s="112"/>
      <c r="K21" s="112"/>
      <c r="L21" s="112"/>
      <c r="M21" s="112"/>
      <c r="O21" s="110"/>
      <c r="Q21" s="111">
        <v>3</v>
      </c>
      <c r="R21" s="86" t="str">
        <f>'2 - COUT RH TOTAL'!R26</f>
        <v>OG 3</v>
      </c>
      <c r="S21" s="3"/>
      <c r="T21" s="46" t="s">
        <v>64</v>
      </c>
      <c r="U21" s="47"/>
      <c r="V21" s="47"/>
      <c r="W21" s="47"/>
      <c r="X21" s="47"/>
      <c r="Y21" s="47"/>
      <c r="Z21" s="47"/>
      <c r="AA21" s="47"/>
      <c r="AB21" s="48"/>
    </row>
    <row r="22" spans="2:28" ht="10.5" customHeight="1" x14ac:dyDescent="0.35">
      <c r="B22" s="111"/>
      <c r="C22" s="86"/>
      <c r="D22" s="3"/>
      <c r="E22" s="112"/>
      <c r="F22" s="112"/>
      <c r="G22" s="112"/>
      <c r="H22" s="112"/>
      <c r="I22" s="112"/>
      <c r="J22" s="112"/>
      <c r="K22" s="112"/>
      <c r="L22" s="112"/>
      <c r="M22" s="112"/>
      <c r="O22" s="110"/>
      <c r="Q22" s="111"/>
      <c r="R22" s="86"/>
      <c r="S22" s="3"/>
      <c r="T22" s="46" t="s">
        <v>65</v>
      </c>
      <c r="U22" s="47"/>
      <c r="V22" s="47"/>
      <c r="W22" s="47"/>
      <c r="X22" s="47"/>
      <c r="Y22" s="47"/>
      <c r="Z22" s="47"/>
      <c r="AA22" s="47"/>
      <c r="AB22" s="48"/>
    </row>
    <row r="23" spans="2:28" ht="10.5" customHeight="1" x14ac:dyDescent="0.35">
      <c r="B23" s="111"/>
      <c r="C23" s="86"/>
      <c r="D23" s="3"/>
      <c r="E23" s="112"/>
      <c r="F23" s="112"/>
      <c r="G23" s="112"/>
      <c r="H23" s="112"/>
      <c r="I23" s="112"/>
      <c r="J23" s="112"/>
      <c r="K23" s="112"/>
      <c r="L23" s="112"/>
      <c r="M23" s="112"/>
      <c r="O23" s="110"/>
      <c r="Q23" s="111"/>
      <c r="R23" s="86"/>
      <c r="S23" s="3"/>
      <c r="T23" s="46" t="s">
        <v>83</v>
      </c>
      <c r="U23" s="47"/>
      <c r="V23" s="47"/>
      <c r="W23" s="47"/>
      <c r="X23" s="47"/>
      <c r="Y23" s="47"/>
      <c r="Z23" s="47"/>
      <c r="AA23" s="47"/>
      <c r="AB23" s="48"/>
    </row>
    <row r="24" spans="2:28" ht="10.5" customHeight="1" x14ac:dyDescent="0.35">
      <c r="B24" s="111"/>
      <c r="C24" s="86"/>
      <c r="D24" s="3"/>
      <c r="E24" s="112"/>
      <c r="F24" s="112"/>
      <c r="G24" s="112"/>
      <c r="H24" s="112"/>
      <c r="I24" s="112"/>
      <c r="J24" s="112"/>
      <c r="K24" s="112"/>
      <c r="L24" s="112"/>
      <c r="M24" s="112"/>
      <c r="O24" s="110"/>
      <c r="Q24" s="111"/>
      <c r="R24" s="86"/>
      <c r="S24" s="3"/>
      <c r="T24" s="46" t="s">
        <v>66</v>
      </c>
      <c r="U24" s="47"/>
      <c r="V24" s="47"/>
      <c r="W24" s="47"/>
      <c r="X24" s="47"/>
      <c r="Y24" s="47"/>
      <c r="Z24" s="47"/>
      <c r="AA24" s="47"/>
      <c r="AB24" s="48"/>
    </row>
    <row r="25" spans="2:28" ht="10.5" customHeight="1" x14ac:dyDescent="0.35">
      <c r="B25" s="111"/>
      <c r="C25" s="86"/>
      <c r="D25" s="3"/>
      <c r="E25" s="112"/>
      <c r="F25" s="112"/>
      <c r="G25" s="112"/>
      <c r="H25" s="112"/>
      <c r="I25" s="112"/>
      <c r="J25" s="112"/>
      <c r="K25" s="112"/>
      <c r="L25" s="112"/>
      <c r="M25" s="112"/>
      <c r="O25" s="110"/>
      <c r="Q25" s="111"/>
      <c r="R25" s="86"/>
      <c r="S25" s="3"/>
      <c r="T25" s="114"/>
      <c r="U25" s="115"/>
      <c r="V25" s="115"/>
      <c r="W25" s="115"/>
      <c r="X25" s="115"/>
      <c r="Y25" s="115"/>
      <c r="Z25" s="115"/>
      <c r="AA25" s="115"/>
      <c r="AB25" s="116"/>
    </row>
    <row r="26" spans="2:28" ht="10.5" customHeight="1" x14ac:dyDescent="0.35">
      <c r="B26" s="3"/>
      <c r="C26" s="3"/>
      <c r="D26" s="3"/>
      <c r="E26" s="44"/>
      <c r="F26" s="44"/>
      <c r="G26" s="44"/>
      <c r="H26" s="44"/>
      <c r="I26" s="44"/>
      <c r="J26" s="44"/>
      <c r="K26" s="44"/>
      <c r="L26" s="44"/>
      <c r="M26" s="44"/>
      <c r="O26" s="110"/>
      <c r="T26" s="45"/>
      <c r="U26" s="45"/>
      <c r="V26" s="45"/>
      <c r="W26" s="45"/>
      <c r="X26" s="45"/>
      <c r="Y26" s="45"/>
      <c r="Z26" s="45"/>
      <c r="AA26" s="45"/>
      <c r="AB26" s="45"/>
    </row>
    <row r="27" spans="2:28" ht="10.5" customHeight="1" x14ac:dyDescent="0.35">
      <c r="B27" s="111">
        <v>4</v>
      </c>
      <c r="C27" s="86" t="str">
        <f>'2 - COUT RH TOTAL'!C27</f>
        <v/>
      </c>
      <c r="D27" s="3"/>
      <c r="E27" s="112"/>
      <c r="F27" s="112"/>
      <c r="G27" s="112"/>
      <c r="H27" s="112"/>
      <c r="I27" s="112"/>
      <c r="J27" s="112"/>
      <c r="K27" s="112"/>
      <c r="L27" s="112"/>
      <c r="M27" s="112"/>
      <c r="O27" s="110"/>
      <c r="Q27" s="111">
        <v>4</v>
      </c>
      <c r="R27" s="86" t="str">
        <f>'2 - COUT RH TOTAL'!R27</f>
        <v>OG 4</v>
      </c>
      <c r="S27" s="3"/>
      <c r="T27" s="46" t="s">
        <v>67</v>
      </c>
      <c r="U27" s="47"/>
      <c r="V27" s="47"/>
      <c r="W27" s="47"/>
      <c r="X27" s="47"/>
      <c r="Y27" s="47"/>
      <c r="Z27" s="47"/>
      <c r="AA27" s="47"/>
      <c r="AB27" s="48"/>
    </row>
    <row r="28" spans="2:28" ht="10.5" customHeight="1" x14ac:dyDescent="0.35">
      <c r="B28" s="111"/>
      <c r="C28" s="86"/>
      <c r="D28" s="3"/>
      <c r="E28" s="112"/>
      <c r="F28" s="112"/>
      <c r="G28" s="112"/>
      <c r="H28" s="112"/>
      <c r="I28" s="112"/>
      <c r="J28" s="112"/>
      <c r="K28" s="112"/>
      <c r="L28" s="112"/>
      <c r="M28" s="112"/>
      <c r="O28" s="110"/>
      <c r="Q28" s="111"/>
      <c r="R28" s="86"/>
      <c r="S28" s="3"/>
      <c r="T28" s="46" t="s">
        <v>68</v>
      </c>
      <c r="U28" s="47"/>
      <c r="V28" s="47"/>
      <c r="W28" s="47"/>
      <c r="X28" s="47"/>
      <c r="Y28" s="47"/>
      <c r="Z28" s="47"/>
      <c r="AA28" s="47"/>
      <c r="AB28" s="48"/>
    </row>
    <row r="29" spans="2:28" ht="10.5" customHeight="1" x14ac:dyDescent="0.35">
      <c r="B29" s="111"/>
      <c r="C29" s="86"/>
      <c r="D29" s="3"/>
      <c r="E29" s="112"/>
      <c r="F29" s="112"/>
      <c r="G29" s="112"/>
      <c r="H29" s="112"/>
      <c r="I29" s="112"/>
      <c r="J29" s="112"/>
      <c r="K29" s="112"/>
      <c r="L29" s="112"/>
      <c r="M29" s="112"/>
      <c r="O29" s="110"/>
      <c r="Q29" s="111"/>
      <c r="R29" s="86"/>
      <c r="S29" s="3"/>
      <c r="T29" s="46" t="s">
        <v>69</v>
      </c>
      <c r="U29" s="47"/>
      <c r="V29" s="47"/>
      <c r="W29" s="47"/>
      <c r="X29" s="47"/>
      <c r="Y29" s="47"/>
      <c r="Z29" s="47"/>
      <c r="AA29" s="47"/>
      <c r="AB29" s="48"/>
    </row>
    <row r="30" spans="2:28" ht="10.5" customHeight="1" x14ac:dyDescent="0.35">
      <c r="B30" s="111"/>
      <c r="C30" s="86"/>
      <c r="D30" s="3"/>
      <c r="E30" s="112"/>
      <c r="F30" s="112"/>
      <c r="G30" s="112"/>
      <c r="H30" s="112"/>
      <c r="I30" s="112"/>
      <c r="J30" s="112"/>
      <c r="K30" s="112"/>
      <c r="L30" s="112"/>
      <c r="M30" s="112"/>
      <c r="O30" s="110"/>
      <c r="Q30" s="111"/>
      <c r="R30" s="86"/>
      <c r="S30" s="3"/>
      <c r="T30" s="46" t="s">
        <v>70</v>
      </c>
      <c r="U30" s="47"/>
      <c r="V30" s="47"/>
      <c r="W30" s="47"/>
      <c r="X30" s="47"/>
      <c r="Y30" s="47"/>
      <c r="Z30" s="47"/>
      <c r="AA30" s="47"/>
      <c r="AB30" s="48"/>
    </row>
    <row r="31" spans="2:28" ht="10.5" customHeight="1" x14ac:dyDescent="0.35">
      <c r="B31" s="111"/>
      <c r="C31" s="86"/>
      <c r="D31" s="3"/>
      <c r="E31" s="113"/>
      <c r="F31" s="112"/>
      <c r="G31" s="112"/>
      <c r="H31" s="112"/>
      <c r="I31" s="112"/>
      <c r="J31" s="112"/>
      <c r="K31" s="112"/>
      <c r="L31" s="112"/>
      <c r="M31" s="112"/>
      <c r="O31" s="110"/>
      <c r="Q31" s="111"/>
      <c r="R31" s="86"/>
      <c r="S31" s="3"/>
      <c r="T31" s="114"/>
      <c r="U31" s="115"/>
      <c r="V31" s="115"/>
      <c r="W31" s="115"/>
      <c r="X31" s="115"/>
      <c r="Y31" s="115"/>
      <c r="Z31" s="115"/>
      <c r="AA31" s="115"/>
      <c r="AB31" s="116"/>
    </row>
    <row r="32" spans="2:28" ht="10.5" customHeight="1" x14ac:dyDescent="0.35">
      <c r="B32" s="3"/>
      <c r="C32" s="3"/>
      <c r="D32" s="3"/>
      <c r="E32" s="44"/>
      <c r="F32" s="44"/>
      <c r="G32" s="44"/>
      <c r="H32" s="44"/>
      <c r="I32" s="44"/>
      <c r="J32" s="44"/>
      <c r="K32" s="44"/>
      <c r="L32" s="44"/>
      <c r="M32" s="44"/>
      <c r="O32" s="110"/>
      <c r="T32" s="45"/>
      <c r="U32" s="45"/>
      <c r="V32" s="45"/>
      <c r="W32" s="45"/>
      <c r="X32" s="45"/>
      <c r="Y32" s="45"/>
      <c r="Z32" s="45"/>
      <c r="AA32" s="45"/>
      <c r="AB32" s="45"/>
    </row>
    <row r="33" spans="2:28" ht="10.5" customHeight="1" x14ac:dyDescent="0.35">
      <c r="B33" s="111">
        <v>5</v>
      </c>
      <c r="C33" s="86" t="str">
        <f>'2 - COUT RH TOTAL'!C28</f>
        <v/>
      </c>
      <c r="D33" s="3"/>
      <c r="E33" s="112"/>
      <c r="F33" s="112"/>
      <c r="G33" s="112"/>
      <c r="H33" s="112"/>
      <c r="I33" s="112"/>
      <c r="J33" s="112"/>
      <c r="K33" s="112"/>
      <c r="L33" s="112"/>
      <c r="M33" s="112"/>
      <c r="O33" s="110"/>
      <c r="Q33" s="111">
        <v>5</v>
      </c>
      <c r="R33" s="86" t="str">
        <f>'2 - COUT RH TOTAL'!R28</f>
        <v>OG 5</v>
      </c>
      <c r="S33" s="3"/>
      <c r="T33" s="46" t="s">
        <v>71</v>
      </c>
      <c r="U33" s="47"/>
      <c r="V33" s="47"/>
      <c r="W33" s="47"/>
      <c r="X33" s="47"/>
      <c r="Y33" s="47"/>
      <c r="Z33" s="47"/>
      <c r="AA33" s="47"/>
      <c r="AB33" s="48"/>
    </row>
    <row r="34" spans="2:28" ht="10.5" customHeight="1" x14ac:dyDescent="0.35">
      <c r="B34" s="111"/>
      <c r="C34" s="86"/>
      <c r="D34" s="3"/>
      <c r="E34" s="112"/>
      <c r="F34" s="112"/>
      <c r="G34" s="112"/>
      <c r="H34" s="112"/>
      <c r="I34" s="112"/>
      <c r="J34" s="112"/>
      <c r="K34" s="112"/>
      <c r="L34" s="112"/>
      <c r="M34" s="112"/>
      <c r="O34" s="110"/>
      <c r="Q34" s="111"/>
      <c r="R34" s="86"/>
      <c r="S34" s="3"/>
      <c r="T34" s="46" t="s">
        <v>72</v>
      </c>
      <c r="U34" s="47"/>
      <c r="V34" s="47"/>
      <c r="W34" s="47"/>
      <c r="X34" s="47"/>
      <c r="Y34" s="47"/>
      <c r="Z34" s="47"/>
      <c r="AA34" s="47"/>
      <c r="AB34" s="48"/>
    </row>
    <row r="35" spans="2:28" ht="10.5" customHeight="1" x14ac:dyDescent="0.35">
      <c r="B35" s="111"/>
      <c r="C35" s="86"/>
      <c r="D35" s="3"/>
      <c r="E35" s="112"/>
      <c r="F35" s="112"/>
      <c r="G35" s="112"/>
      <c r="H35" s="112"/>
      <c r="I35" s="112"/>
      <c r="J35" s="112"/>
      <c r="K35" s="112"/>
      <c r="L35" s="112"/>
      <c r="M35" s="112"/>
      <c r="O35" s="110"/>
      <c r="Q35" s="111"/>
      <c r="R35" s="86"/>
      <c r="S35" s="3"/>
      <c r="T35" s="46" t="s">
        <v>73</v>
      </c>
      <c r="U35" s="47"/>
      <c r="V35" s="47"/>
      <c r="W35" s="47"/>
      <c r="X35" s="47"/>
      <c r="Y35" s="47"/>
      <c r="Z35" s="47"/>
      <c r="AA35" s="47"/>
      <c r="AB35" s="48"/>
    </row>
    <row r="36" spans="2:28" ht="10.5" customHeight="1" x14ac:dyDescent="0.35">
      <c r="B36" s="111"/>
      <c r="C36" s="86"/>
      <c r="D36" s="3"/>
      <c r="E36" s="112"/>
      <c r="F36" s="112"/>
      <c r="G36" s="112"/>
      <c r="H36" s="112"/>
      <c r="I36" s="112"/>
      <c r="J36" s="112"/>
      <c r="K36" s="112"/>
      <c r="L36" s="112"/>
      <c r="M36" s="112"/>
      <c r="O36" s="110"/>
      <c r="Q36" s="111"/>
      <c r="R36" s="86"/>
      <c r="S36" s="3"/>
      <c r="T36" s="46" t="s">
        <v>81</v>
      </c>
      <c r="U36" s="47"/>
      <c r="V36" s="47"/>
      <c r="W36" s="47"/>
      <c r="X36" s="47"/>
      <c r="Y36" s="47"/>
      <c r="Z36" s="47"/>
      <c r="AA36" s="47"/>
      <c r="AB36" s="48"/>
    </row>
    <row r="37" spans="2:28" ht="10.5" customHeight="1" x14ac:dyDescent="0.35">
      <c r="B37" s="111"/>
      <c r="C37" s="86"/>
      <c r="D37" s="3"/>
      <c r="E37" s="112"/>
      <c r="F37" s="112"/>
      <c r="G37" s="112"/>
      <c r="H37" s="112"/>
      <c r="I37" s="112"/>
      <c r="J37" s="112"/>
      <c r="K37" s="112"/>
      <c r="L37" s="112"/>
      <c r="M37" s="112"/>
      <c r="O37" s="110"/>
      <c r="Q37" s="111"/>
      <c r="R37" s="86"/>
      <c r="S37" s="3"/>
      <c r="T37" s="114"/>
      <c r="U37" s="115"/>
      <c r="V37" s="115"/>
      <c r="W37" s="115"/>
      <c r="X37" s="115"/>
      <c r="Y37" s="115"/>
      <c r="Z37" s="115"/>
      <c r="AA37" s="115"/>
      <c r="AB37" s="116"/>
    </row>
    <row r="38" spans="2:28" ht="10.5" customHeight="1" x14ac:dyDescent="0.35">
      <c r="B38" s="3"/>
      <c r="C38" s="3"/>
      <c r="D38" s="3"/>
      <c r="E38" s="44"/>
      <c r="F38" s="44"/>
      <c r="G38" s="44"/>
      <c r="H38" s="44"/>
      <c r="I38" s="44"/>
      <c r="J38" s="44"/>
      <c r="K38" s="44"/>
      <c r="L38" s="44"/>
      <c r="M38" s="44"/>
      <c r="O38" s="110"/>
      <c r="T38" s="45"/>
      <c r="U38" s="45"/>
      <c r="V38" s="45"/>
      <c r="W38" s="45"/>
      <c r="X38" s="45"/>
      <c r="Y38" s="45"/>
      <c r="Z38" s="45"/>
      <c r="AA38" s="45"/>
      <c r="AB38" s="45"/>
    </row>
    <row r="39" spans="2:28" ht="10.5" customHeight="1" x14ac:dyDescent="0.35">
      <c r="B39" s="111">
        <v>6</v>
      </c>
      <c r="C39" s="86" t="str">
        <f>'2 - COUT RH TOTAL'!C29</f>
        <v/>
      </c>
      <c r="D39" s="3"/>
      <c r="E39" s="112"/>
      <c r="F39" s="112"/>
      <c r="G39" s="112"/>
      <c r="H39" s="112"/>
      <c r="I39" s="112"/>
      <c r="J39" s="112"/>
      <c r="K39" s="112"/>
      <c r="L39" s="112"/>
      <c r="M39" s="112"/>
      <c r="O39" s="110"/>
      <c r="Q39" s="111">
        <v>6</v>
      </c>
      <c r="R39" s="86" t="str">
        <f>'2 - COUT RH TOTAL'!R29</f>
        <v>OG 6</v>
      </c>
      <c r="S39" s="3"/>
      <c r="T39" s="46" t="s">
        <v>74</v>
      </c>
      <c r="U39" s="47"/>
      <c r="V39" s="47"/>
      <c r="W39" s="47"/>
      <c r="X39" s="47"/>
      <c r="Y39" s="47"/>
      <c r="Z39" s="47"/>
      <c r="AA39" s="47"/>
      <c r="AB39" s="48"/>
    </row>
    <row r="40" spans="2:28" ht="10.5" customHeight="1" x14ac:dyDescent="0.35">
      <c r="B40" s="111"/>
      <c r="C40" s="86"/>
      <c r="D40" s="3"/>
      <c r="E40" s="112"/>
      <c r="F40" s="112"/>
      <c r="G40" s="112"/>
      <c r="H40" s="112"/>
      <c r="I40" s="112"/>
      <c r="J40" s="112"/>
      <c r="K40" s="112"/>
      <c r="L40" s="112"/>
      <c r="M40" s="112"/>
      <c r="O40" s="110"/>
      <c r="Q40" s="111"/>
      <c r="R40" s="86"/>
      <c r="S40" s="3"/>
      <c r="T40" s="46" t="s">
        <v>75</v>
      </c>
      <c r="U40" s="47"/>
      <c r="V40" s="47"/>
      <c r="W40" s="47"/>
      <c r="X40" s="47"/>
      <c r="Y40" s="47"/>
      <c r="Z40" s="47"/>
      <c r="AA40" s="47"/>
      <c r="AB40" s="48"/>
    </row>
    <row r="41" spans="2:28" ht="10.5" customHeight="1" x14ac:dyDescent="0.35">
      <c r="B41" s="111"/>
      <c r="C41" s="86"/>
      <c r="D41" s="3"/>
      <c r="E41" s="112"/>
      <c r="F41" s="112"/>
      <c r="G41" s="112"/>
      <c r="H41" s="112"/>
      <c r="I41" s="112"/>
      <c r="J41" s="112"/>
      <c r="K41" s="112"/>
      <c r="L41" s="112"/>
      <c r="M41" s="112"/>
      <c r="O41" s="110"/>
      <c r="Q41" s="111"/>
      <c r="R41" s="86"/>
      <c r="S41" s="3"/>
      <c r="T41" s="46" t="s">
        <v>76</v>
      </c>
      <c r="U41" s="47"/>
      <c r="V41" s="47"/>
      <c r="W41" s="47"/>
      <c r="X41" s="47"/>
      <c r="Y41" s="47"/>
      <c r="Z41" s="47"/>
      <c r="AA41" s="47"/>
      <c r="AB41" s="48"/>
    </row>
    <row r="42" spans="2:28" ht="10.5" customHeight="1" x14ac:dyDescent="0.35">
      <c r="B42" s="111"/>
      <c r="C42" s="86"/>
      <c r="D42" s="3"/>
      <c r="E42" s="112"/>
      <c r="F42" s="112"/>
      <c r="G42" s="112"/>
      <c r="H42" s="112"/>
      <c r="I42" s="112"/>
      <c r="J42" s="112"/>
      <c r="K42" s="112"/>
      <c r="L42" s="112"/>
      <c r="M42" s="112"/>
      <c r="O42" s="110"/>
      <c r="Q42" s="111"/>
      <c r="R42" s="86"/>
      <c r="S42" s="3"/>
      <c r="T42" s="46" t="s">
        <v>82</v>
      </c>
      <c r="U42" s="47"/>
      <c r="V42" s="47"/>
      <c r="W42" s="47"/>
      <c r="X42" s="47"/>
      <c r="Y42" s="47"/>
      <c r="Z42" s="47"/>
      <c r="AA42" s="47"/>
      <c r="AB42" s="48"/>
    </row>
    <row r="43" spans="2:28" ht="10.5" customHeight="1" x14ac:dyDescent="0.35">
      <c r="B43" s="111"/>
      <c r="C43" s="86"/>
      <c r="D43" s="3"/>
      <c r="E43" s="112"/>
      <c r="F43" s="112"/>
      <c r="G43" s="112"/>
      <c r="H43" s="112"/>
      <c r="I43" s="112"/>
      <c r="J43" s="112"/>
      <c r="K43" s="112"/>
      <c r="L43" s="112"/>
      <c r="M43" s="112"/>
      <c r="O43" s="110"/>
      <c r="Q43" s="111"/>
      <c r="R43" s="86"/>
      <c r="S43" s="3"/>
      <c r="T43" s="112"/>
      <c r="U43" s="112"/>
      <c r="V43" s="112"/>
      <c r="W43" s="112"/>
      <c r="X43" s="112"/>
      <c r="Y43" s="112"/>
      <c r="Z43" s="112"/>
      <c r="AA43" s="112"/>
      <c r="AB43" s="112"/>
    </row>
    <row r="44" spans="2:28" ht="10.5" customHeight="1" x14ac:dyDescent="0.35">
      <c r="E44" s="45"/>
      <c r="F44" s="45"/>
      <c r="G44" s="45"/>
      <c r="H44" s="45"/>
      <c r="I44" s="45"/>
      <c r="J44" s="45"/>
      <c r="K44" s="45"/>
      <c r="L44" s="45"/>
      <c r="M44" s="45"/>
      <c r="O44" s="110"/>
      <c r="T44" s="45"/>
      <c r="U44" s="45"/>
      <c r="V44" s="45"/>
      <c r="W44" s="45"/>
      <c r="X44" s="45"/>
      <c r="Y44" s="45"/>
      <c r="Z44" s="45"/>
      <c r="AA44" s="45"/>
      <c r="AB44" s="45"/>
    </row>
    <row r="45" spans="2:28" ht="10.5" customHeight="1" x14ac:dyDescent="0.35">
      <c r="B45" s="111">
        <v>7</v>
      </c>
      <c r="C45" s="86" t="str">
        <f>'2 - COUT RH TOTAL'!C30</f>
        <v/>
      </c>
      <c r="D45" s="3"/>
      <c r="E45" s="112"/>
      <c r="F45" s="112"/>
      <c r="G45" s="112"/>
      <c r="H45" s="112"/>
      <c r="I45" s="112"/>
      <c r="J45" s="112"/>
      <c r="K45" s="112"/>
      <c r="L45" s="112"/>
      <c r="M45" s="112"/>
      <c r="O45" s="110"/>
      <c r="Q45" s="111">
        <v>7</v>
      </c>
      <c r="R45" s="86" t="str">
        <f>'2 - COUT RH TOTAL'!R30</f>
        <v>OG 7</v>
      </c>
      <c r="S45" s="3"/>
      <c r="T45" s="46" t="s">
        <v>77</v>
      </c>
      <c r="U45" s="47"/>
      <c r="V45" s="47"/>
      <c r="W45" s="47"/>
      <c r="X45" s="47"/>
      <c r="Y45" s="47"/>
      <c r="Z45" s="47"/>
      <c r="AA45" s="47"/>
      <c r="AB45" s="48"/>
    </row>
    <row r="46" spans="2:28" ht="10.5" customHeight="1" x14ac:dyDescent="0.35">
      <c r="B46" s="111"/>
      <c r="C46" s="86"/>
      <c r="D46" s="3"/>
      <c r="E46" s="112"/>
      <c r="F46" s="112"/>
      <c r="G46" s="112"/>
      <c r="H46" s="112"/>
      <c r="I46" s="112"/>
      <c r="J46" s="112"/>
      <c r="K46" s="112"/>
      <c r="L46" s="112"/>
      <c r="M46" s="112"/>
      <c r="O46" s="110"/>
      <c r="Q46" s="111"/>
      <c r="R46" s="86"/>
      <c r="S46" s="3"/>
      <c r="T46" s="46" t="s">
        <v>78</v>
      </c>
      <c r="U46" s="47"/>
      <c r="V46" s="47"/>
      <c r="W46" s="47"/>
      <c r="X46" s="47"/>
      <c r="Y46" s="47"/>
      <c r="Z46" s="47"/>
      <c r="AA46" s="47"/>
      <c r="AB46" s="48"/>
    </row>
    <row r="47" spans="2:28" ht="10.5" customHeight="1" x14ac:dyDescent="0.35">
      <c r="B47" s="111"/>
      <c r="C47" s="86"/>
      <c r="D47" s="3"/>
      <c r="E47" s="112"/>
      <c r="F47" s="112"/>
      <c r="G47" s="112"/>
      <c r="H47" s="112"/>
      <c r="I47" s="112"/>
      <c r="J47" s="112"/>
      <c r="K47" s="112"/>
      <c r="L47" s="112"/>
      <c r="M47" s="112"/>
      <c r="O47" s="110"/>
      <c r="Q47" s="111"/>
      <c r="R47" s="86"/>
      <c r="S47" s="3"/>
      <c r="T47" s="46" t="s">
        <v>79</v>
      </c>
      <c r="U47" s="47"/>
      <c r="V47" s="47"/>
      <c r="W47" s="47"/>
      <c r="X47" s="47"/>
      <c r="Y47" s="47"/>
      <c r="Z47" s="47"/>
      <c r="AA47" s="47"/>
      <c r="AB47" s="48"/>
    </row>
    <row r="48" spans="2:28" ht="10.5" customHeight="1" x14ac:dyDescent="0.35">
      <c r="B48" s="111"/>
      <c r="C48" s="86"/>
      <c r="D48" s="3"/>
      <c r="E48" s="112"/>
      <c r="F48" s="112"/>
      <c r="G48" s="112"/>
      <c r="H48" s="112"/>
      <c r="I48" s="112"/>
      <c r="J48" s="112"/>
      <c r="K48" s="112"/>
      <c r="L48" s="112"/>
      <c r="M48" s="112"/>
      <c r="O48" s="110"/>
      <c r="Q48" s="111"/>
      <c r="R48" s="86"/>
      <c r="S48" s="3"/>
      <c r="T48" s="46" t="s">
        <v>80</v>
      </c>
      <c r="U48" s="47"/>
      <c r="V48" s="47"/>
      <c r="W48" s="47"/>
      <c r="X48" s="47"/>
      <c r="Y48" s="47"/>
      <c r="Z48" s="47"/>
      <c r="AA48" s="47"/>
      <c r="AB48" s="48"/>
    </row>
    <row r="49" spans="2:28" ht="10.5" customHeight="1" x14ac:dyDescent="0.35">
      <c r="B49" s="111"/>
      <c r="C49" s="86"/>
      <c r="D49" s="3"/>
      <c r="E49" s="112"/>
      <c r="F49" s="112"/>
      <c r="G49" s="112"/>
      <c r="H49" s="112"/>
      <c r="I49" s="112"/>
      <c r="J49" s="112"/>
      <c r="K49" s="112"/>
      <c r="L49" s="112"/>
      <c r="M49" s="112"/>
      <c r="O49" s="110"/>
      <c r="Q49" s="111"/>
      <c r="R49" s="86"/>
      <c r="S49" s="3"/>
      <c r="T49" s="83"/>
      <c r="U49" s="83"/>
      <c r="V49" s="83"/>
      <c r="W49" s="83"/>
      <c r="X49" s="83"/>
      <c r="Y49" s="83"/>
      <c r="Z49" s="83"/>
      <c r="AA49" s="83"/>
      <c r="AB49" s="83"/>
    </row>
    <row r="50" spans="2:28" x14ac:dyDescent="0.35">
      <c r="T50" s="16"/>
      <c r="U50" s="16"/>
      <c r="V50" s="16"/>
      <c r="W50" s="16"/>
      <c r="X50" s="16"/>
      <c r="Y50" s="16"/>
      <c r="Z50" s="16"/>
      <c r="AA50" s="16"/>
      <c r="AB50" s="16"/>
    </row>
  </sheetData>
  <mergeCells count="77">
    <mergeCell ref="T43:AB43"/>
    <mergeCell ref="T49:AB49"/>
    <mergeCell ref="E49:M49"/>
    <mergeCell ref="O3:O49"/>
    <mergeCell ref="T13:AB13"/>
    <mergeCell ref="T19:AB19"/>
    <mergeCell ref="T25:AB25"/>
    <mergeCell ref="T31:AB31"/>
    <mergeCell ref="E45:M45"/>
    <mergeCell ref="Q45:Q49"/>
    <mergeCell ref="R45:R49"/>
    <mergeCell ref="E46:M46"/>
    <mergeCell ref="E47:M47"/>
    <mergeCell ref="E48:M48"/>
    <mergeCell ref="Q39:Q43"/>
    <mergeCell ref="R39:R43"/>
    <mergeCell ref="T37:AB37"/>
    <mergeCell ref="Q33:Q37"/>
    <mergeCell ref="R33:R37"/>
    <mergeCell ref="Q27:Q31"/>
    <mergeCell ref="R27:R31"/>
    <mergeCell ref="Q21:Q25"/>
    <mergeCell ref="R21:R25"/>
    <mergeCell ref="Q15:Q19"/>
    <mergeCell ref="R15:R19"/>
    <mergeCell ref="T7:AB7"/>
    <mergeCell ref="Q9:Q13"/>
    <mergeCell ref="R9:R13"/>
    <mergeCell ref="B39:B43"/>
    <mergeCell ref="C39:C43"/>
    <mergeCell ref="E39:M39"/>
    <mergeCell ref="E40:M40"/>
    <mergeCell ref="E41:M41"/>
    <mergeCell ref="E42:M42"/>
    <mergeCell ref="E43:M43"/>
    <mergeCell ref="B33:B37"/>
    <mergeCell ref="C33:C37"/>
    <mergeCell ref="E33:M33"/>
    <mergeCell ref="E34:M34"/>
    <mergeCell ref="E35:M35"/>
    <mergeCell ref="E36:M36"/>
    <mergeCell ref="E37:M37"/>
    <mergeCell ref="B27:B31"/>
    <mergeCell ref="C27:C31"/>
    <mergeCell ref="E27:M27"/>
    <mergeCell ref="E28:M28"/>
    <mergeCell ref="E29:M29"/>
    <mergeCell ref="E30:M30"/>
    <mergeCell ref="E31:M31"/>
    <mergeCell ref="B21:B25"/>
    <mergeCell ref="C21:C25"/>
    <mergeCell ref="E21:M21"/>
    <mergeCell ref="E22:M22"/>
    <mergeCell ref="E23:M23"/>
    <mergeCell ref="E24:M24"/>
    <mergeCell ref="E25:M25"/>
    <mergeCell ref="E12:M12"/>
    <mergeCell ref="E13:M13"/>
    <mergeCell ref="E17:M17"/>
    <mergeCell ref="E18:M18"/>
    <mergeCell ref="E19:M19"/>
    <mergeCell ref="B45:B49"/>
    <mergeCell ref="C45:C49"/>
    <mergeCell ref="B3:M3"/>
    <mergeCell ref="Q3:AB3"/>
    <mergeCell ref="Q5:AB5"/>
    <mergeCell ref="B5:M5"/>
    <mergeCell ref="E7:M7"/>
    <mergeCell ref="B9:B13"/>
    <mergeCell ref="C9:C13"/>
    <mergeCell ref="B15:B19"/>
    <mergeCell ref="C15:C19"/>
    <mergeCell ref="E15:M15"/>
    <mergeCell ref="E16:M16"/>
    <mergeCell ref="E9:M9"/>
    <mergeCell ref="E10:M10"/>
    <mergeCell ref="E11:M1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showGridLines="0" zoomScale="55" zoomScaleNormal="55" workbookViewId="0">
      <selection activeCell="L11" sqref="L11"/>
    </sheetView>
  </sheetViews>
  <sheetFormatPr baseColWidth="10" defaultRowHeight="14.5" x14ac:dyDescent="0.35"/>
  <cols>
    <col min="1" max="1" width="2.90625" style="36" customWidth="1"/>
    <col min="2" max="2" width="3.81640625" style="36" customWidth="1"/>
    <col min="3" max="3" width="12.90625" style="36" customWidth="1"/>
    <col min="4" max="4" width="2.6328125" style="36" customWidth="1"/>
    <col min="5" max="12" width="12.6328125" style="36" customWidth="1"/>
    <col min="13" max="13" width="2.90625" style="36" customWidth="1"/>
    <col min="14" max="14" width="3" style="36" customWidth="1"/>
    <col min="15" max="15" width="2.90625" style="36" customWidth="1"/>
    <col min="16" max="16" width="3.81640625" style="36" customWidth="1"/>
    <col min="17" max="17" width="12.90625" style="36" customWidth="1"/>
    <col min="18" max="18" width="2.6328125" style="36" customWidth="1"/>
    <col min="19" max="26" width="12.6328125" style="36" customWidth="1"/>
    <col min="27" max="16384" width="10.90625" style="36"/>
  </cols>
  <sheetData>
    <row r="1" spans="1:26" x14ac:dyDescent="0.35">
      <c r="A1" s="34" t="s">
        <v>109</v>
      </c>
      <c r="B1" t="s">
        <v>96</v>
      </c>
      <c r="C1"/>
      <c r="D1"/>
      <c r="E1"/>
      <c r="F1"/>
      <c r="G1"/>
      <c r="H1"/>
      <c r="I1"/>
      <c r="J1"/>
      <c r="K1"/>
      <c r="L1"/>
      <c r="M1"/>
      <c r="N1"/>
      <c r="O1"/>
      <c r="P1"/>
      <c r="Q1"/>
      <c r="R1"/>
      <c r="S1"/>
      <c r="T1"/>
      <c r="U1"/>
      <c r="V1"/>
      <c r="W1"/>
      <c r="X1"/>
      <c r="Y1"/>
      <c r="Z1"/>
    </row>
    <row r="2" spans="1:26" ht="15" thickBot="1" x14ac:dyDescent="0.4">
      <c r="A2"/>
      <c r="B2"/>
      <c r="C2"/>
      <c r="D2"/>
      <c r="E2"/>
      <c r="F2"/>
      <c r="G2"/>
      <c r="H2"/>
      <c r="I2"/>
      <c r="J2"/>
      <c r="K2"/>
      <c r="L2"/>
      <c r="M2"/>
      <c r="N2"/>
      <c r="O2"/>
      <c r="P2"/>
      <c r="Q2"/>
      <c r="R2"/>
      <c r="S2"/>
      <c r="T2"/>
      <c r="U2"/>
      <c r="V2"/>
      <c r="W2"/>
      <c r="X2"/>
      <c r="Y2"/>
      <c r="Z2"/>
    </row>
    <row r="3" spans="1:26" ht="15" thickBot="1" x14ac:dyDescent="0.4">
      <c r="A3"/>
      <c r="B3" s="71" t="s">
        <v>39</v>
      </c>
      <c r="C3" s="72"/>
      <c r="D3" s="72"/>
      <c r="E3" s="72"/>
      <c r="F3" s="72"/>
      <c r="G3" s="72"/>
      <c r="H3" s="72"/>
      <c r="I3" s="72"/>
      <c r="J3" s="72"/>
      <c r="K3" s="72"/>
      <c r="L3" s="73"/>
      <c r="M3"/>
      <c r="N3" s="109"/>
      <c r="O3"/>
      <c r="P3" s="74" t="s">
        <v>40</v>
      </c>
      <c r="Q3" s="75"/>
      <c r="R3" s="75"/>
      <c r="S3" s="75"/>
      <c r="T3" s="75"/>
      <c r="U3" s="75"/>
      <c r="V3" s="75"/>
      <c r="W3" s="75"/>
      <c r="X3" s="75"/>
      <c r="Y3" s="75"/>
      <c r="Z3" s="76"/>
    </row>
    <row r="4" spans="1:26" x14ac:dyDescent="0.35">
      <c r="A4"/>
      <c r="B4"/>
      <c r="C4"/>
      <c r="D4"/>
      <c r="E4"/>
      <c r="F4"/>
      <c r="G4"/>
      <c r="H4"/>
      <c r="I4"/>
      <c r="J4"/>
      <c r="K4"/>
      <c r="L4"/>
      <c r="M4"/>
      <c r="N4" s="110"/>
      <c r="O4"/>
      <c r="P4"/>
      <c r="Q4"/>
      <c r="R4"/>
      <c r="S4"/>
      <c r="T4"/>
      <c r="U4"/>
      <c r="V4"/>
      <c r="W4"/>
      <c r="X4"/>
      <c r="Y4"/>
      <c r="Z4"/>
    </row>
    <row r="5" spans="1:26" s="55" customFormat="1" ht="31" customHeight="1" x14ac:dyDescent="0.35">
      <c r="E5" s="56" t="s">
        <v>6</v>
      </c>
      <c r="F5" s="56" t="s">
        <v>7</v>
      </c>
      <c r="G5" s="56" t="s">
        <v>8</v>
      </c>
      <c r="H5" s="57" t="s">
        <v>41</v>
      </c>
      <c r="J5" s="56" t="s">
        <v>98</v>
      </c>
      <c r="L5" s="58"/>
      <c r="N5" s="110"/>
      <c r="S5" s="56" t="s">
        <v>6</v>
      </c>
      <c r="T5" s="56" t="s">
        <v>7</v>
      </c>
      <c r="U5" s="56" t="s">
        <v>8</v>
      </c>
      <c r="V5" s="57" t="s">
        <v>41</v>
      </c>
      <c r="X5" s="56" t="s">
        <v>98</v>
      </c>
    </row>
    <row r="6" spans="1:26" x14ac:dyDescent="0.35">
      <c r="N6" s="110"/>
    </row>
    <row r="7" spans="1:26" x14ac:dyDescent="0.35">
      <c r="B7" s="25">
        <v>1</v>
      </c>
      <c r="C7" s="28" t="str">
        <f>'3 - TPS &amp; COUT HUMAIN PRORATA  '!C24</f>
        <v/>
      </c>
      <c r="E7" s="65">
        <f>'1 - PERIMETRE INTERVENTION'!E25</f>
        <v>0</v>
      </c>
      <c r="F7" s="65">
        <f>'1 - PERIMETRE INTERVENTION'!I25</f>
        <v>0</v>
      </c>
      <c r="G7" s="65">
        <f>'1 - PERIMETRE INTERVENTION'!M25</f>
        <v>0</v>
      </c>
      <c r="H7" s="52" t="str">
        <f>'1 - PERIMETRE INTERVENTION'!P25</f>
        <v/>
      </c>
      <c r="J7" s="65" t="str">
        <f>'3 - TPS &amp; COUT HUMAIN PRORATA  '!H9</f>
        <v/>
      </c>
      <c r="N7" s="110"/>
      <c r="P7" s="25">
        <v>1</v>
      </c>
      <c r="Q7" s="28" t="str">
        <f>'3 - TPS &amp; COUT HUMAIN PRORATA  '!R24</f>
        <v>OG 1</v>
      </c>
      <c r="S7" s="37">
        <f>'1 - PERIMETRE INTERVENTION'!W25</f>
        <v>13</v>
      </c>
      <c r="T7" s="37">
        <f>'1 - PERIMETRE INTERVENTION'!AA25</f>
        <v>31</v>
      </c>
      <c r="U7" s="65">
        <f>'1 - PERIMETRE INTERVENTION'!AE25</f>
        <v>33859</v>
      </c>
      <c r="V7" s="52">
        <f>'1 - PERIMETRE INTERVENTION'!AH25</f>
        <v>0.28918305407760231</v>
      </c>
      <c r="X7" s="65">
        <f>'3 - TPS &amp; COUT HUMAIN PRORATA  '!W9</f>
        <v>72.874129627555789</v>
      </c>
    </row>
    <row r="8" spans="1:26" x14ac:dyDescent="0.35">
      <c r="B8" s="25">
        <v>2</v>
      </c>
      <c r="C8" s="28" t="str">
        <f>'3 - TPS &amp; COUT HUMAIN PRORATA  '!C25</f>
        <v/>
      </c>
      <c r="E8" s="65">
        <f>'1 - PERIMETRE INTERVENTION'!E26</f>
        <v>0</v>
      </c>
      <c r="F8" s="65">
        <f>'1 - PERIMETRE INTERVENTION'!I26</f>
        <v>0</v>
      </c>
      <c r="G8" s="65">
        <f>'1 - PERIMETRE INTERVENTION'!M26</f>
        <v>0</v>
      </c>
      <c r="H8" s="52" t="str">
        <f>'1 - PERIMETRE INTERVENTION'!P26</f>
        <v/>
      </c>
      <c r="J8" s="65" t="str">
        <f>'3 - TPS &amp; COUT HUMAIN PRORATA  '!H10</f>
        <v/>
      </c>
      <c r="N8" s="110"/>
      <c r="P8" s="25">
        <v>2</v>
      </c>
      <c r="Q8" s="28" t="str">
        <f>'3 - TPS &amp; COUT HUMAIN PRORATA  '!R25</f>
        <v>OG 2</v>
      </c>
      <c r="S8" s="37">
        <f>'1 - PERIMETRE INTERVENTION'!W26</f>
        <v>5</v>
      </c>
      <c r="T8" s="37">
        <f>'1 - PERIMETRE INTERVENTION'!AA26</f>
        <v>12</v>
      </c>
      <c r="U8" s="65">
        <f>'1 - PERIMETRE INTERVENTION'!AE26</f>
        <v>13505</v>
      </c>
      <c r="V8" s="52">
        <f>'1 - PERIMETRE INTERVENTION'!AH26</f>
        <v>0.11289359934850589</v>
      </c>
      <c r="X8" s="65">
        <f>'3 - TPS &amp; COUT HUMAIN PRORATA  '!W10</f>
        <v>28.449187035823481</v>
      </c>
    </row>
    <row r="9" spans="1:26" x14ac:dyDescent="0.35">
      <c r="B9" s="25">
        <v>3</v>
      </c>
      <c r="C9" s="28" t="str">
        <f>'3 - TPS &amp; COUT HUMAIN PRORATA  '!C26</f>
        <v/>
      </c>
      <c r="E9" s="65">
        <f>'1 - PERIMETRE INTERVENTION'!E27</f>
        <v>0</v>
      </c>
      <c r="F9" s="65">
        <f>'1 - PERIMETRE INTERVENTION'!I27</f>
        <v>0</v>
      </c>
      <c r="G9" s="65">
        <f>'1 - PERIMETRE INTERVENTION'!M27</f>
        <v>0</v>
      </c>
      <c r="H9" s="52" t="str">
        <f>'1 - PERIMETRE INTERVENTION'!P27</f>
        <v/>
      </c>
      <c r="J9" s="65" t="str">
        <f>'3 - TPS &amp; COUT HUMAIN PRORATA  '!H11</f>
        <v/>
      </c>
      <c r="N9" s="110"/>
      <c r="P9" s="25">
        <v>3</v>
      </c>
      <c r="Q9" s="28" t="str">
        <f>'3 - TPS &amp; COUT HUMAIN PRORATA  '!R26</f>
        <v>OG 3</v>
      </c>
      <c r="S9" s="37">
        <f>'1 - PERIMETRE INTERVENTION'!W27</f>
        <v>6</v>
      </c>
      <c r="T9" s="37">
        <f>'1 - PERIMETRE INTERVENTION'!AA27</f>
        <v>21</v>
      </c>
      <c r="U9" s="65">
        <f>'1 - PERIMETRE INTERVENTION'!AE27</f>
        <v>11470.77</v>
      </c>
      <c r="V9" s="52">
        <f>'1 - PERIMETRE INTERVENTION'!AH27</f>
        <v>0.13885499137565349</v>
      </c>
      <c r="X9" s="65">
        <f>'3 - TPS &amp; COUT HUMAIN PRORATA  '!W11</f>
        <v>34.991457826664679</v>
      </c>
    </row>
    <row r="10" spans="1:26" x14ac:dyDescent="0.35">
      <c r="B10" s="25">
        <v>4</v>
      </c>
      <c r="C10" s="28" t="str">
        <f>'3 - TPS &amp; COUT HUMAIN PRORATA  '!C27</f>
        <v/>
      </c>
      <c r="E10" s="65">
        <f>'1 - PERIMETRE INTERVENTION'!E28</f>
        <v>0</v>
      </c>
      <c r="F10" s="65">
        <f>'1 - PERIMETRE INTERVENTION'!I28</f>
        <v>0</v>
      </c>
      <c r="G10" s="65">
        <f>'1 - PERIMETRE INTERVENTION'!M28</f>
        <v>0</v>
      </c>
      <c r="H10" s="52" t="str">
        <f>'1 - PERIMETRE INTERVENTION'!P28</f>
        <v/>
      </c>
      <c r="J10" s="65" t="str">
        <f>'3 - TPS &amp; COUT HUMAIN PRORATA  '!H12</f>
        <v/>
      </c>
      <c r="N10" s="110"/>
      <c r="P10" s="25">
        <v>4</v>
      </c>
      <c r="Q10" s="28" t="str">
        <f>'3 - TPS &amp; COUT HUMAIN PRORATA  '!R27</f>
        <v>OG 4</v>
      </c>
      <c r="S10" s="37">
        <f>'1 - PERIMETRE INTERVENTION'!W28</f>
        <v>5</v>
      </c>
      <c r="T10" s="37">
        <f>'1 - PERIMETRE INTERVENTION'!AA28</f>
        <v>11</v>
      </c>
      <c r="U10" s="65">
        <f>'1 - PERIMETRE INTERVENTION'!AE28</f>
        <v>12092</v>
      </c>
      <c r="V10" s="52">
        <f>'1 - PERIMETRE INTERVENTION'!AH28</f>
        <v>0.10592060078593053</v>
      </c>
      <c r="X10" s="65">
        <f>'3 - TPS &amp; COUT HUMAIN PRORATA  '!W12</f>
        <v>26.691991398054494</v>
      </c>
    </row>
    <row r="11" spans="1:26" x14ac:dyDescent="0.35">
      <c r="B11" s="25">
        <v>5</v>
      </c>
      <c r="C11" s="28" t="str">
        <f>'3 - TPS &amp; COUT HUMAIN PRORATA  '!C28</f>
        <v/>
      </c>
      <c r="E11" s="65">
        <f>'1 - PERIMETRE INTERVENTION'!E29</f>
        <v>0</v>
      </c>
      <c r="F11" s="65">
        <f>'1 - PERIMETRE INTERVENTION'!I29</f>
        <v>0</v>
      </c>
      <c r="G11" s="65">
        <f>'1 - PERIMETRE INTERVENTION'!M29</f>
        <v>0</v>
      </c>
      <c r="H11" s="52" t="str">
        <f>'1 - PERIMETRE INTERVENTION'!P29</f>
        <v/>
      </c>
      <c r="J11" s="65" t="str">
        <f>'3 - TPS &amp; COUT HUMAIN PRORATA  '!H13</f>
        <v/>
      </c>
      <c r="N11" s="110"/>
      <c r="P11" s="25">
        <v>5</v>
      </c>
      <c r="Q11" s="28" t="str">
        <f>'3 - TPS &amp; COUT HUMAIN PRORATA  '!R28</f>
        <v>OG 5</v>
      </c>
      <c r="S11" s="37">
        <f>'1 - PERIMETRE INTERVENTION'!W29</f>
        <v>7</v>
      </c>
      <c r="T11" s="37">
        <f>'1 - PERIMETRE INTERVENTION'!AA29</f>
        <v>16</v>
      </c>
      <c r="U11" s="65">
        <f>'1 - PERIMETRE INTERVENTION'!AE29</f>
        <v>5936</v>
      </c>
      <c r="V11" s="52">
        <f>'1 - PERIMETRE INTERVENTION'!AH29</f>
        <v>0.11656682503080151</v>
      </c>
      <c r="X11" s="65">
        <f>'3 - TPS &amp; COUT HUMAIN PRORATA  '!W13</f>
        <v>29.374839907761981</v>
      </c>
    </row>
    <row r="12" spans="1:26" x14ac:dyDescent="0.35">
      <c r="B12" s="25">
        <v>6</v>
      </c>
      <c r="C12" s="28" t="str">
        <f>'3 - TPS &amp; COUT HUMAIN PRORATA  '!C29</f>
        <v/>
      </c>
      <c r="E12" s="65">
        <f>'1 - PERIMETRE INTERVENTION'!E30</f>
        <v>0</v>
      </c>
      <c r="F12" s="65">
        <f>'1 - PERIMETRE INTERVENTION'!I30</f>
        <v>0</v>
      </c>
      <c r="G12" s="65">
        <f>'1 - PERIMETRE INTERVENTION'!M30</f>
        <v>0</v>
      </c>
      <c r="H12" s="52" t="str">
        <f>'1 - PERIMETRE INTERVENTION'!P30</f>
        <v/>
      </c>
      <c r="J12" s="65" t="str">
        <f>'3 - TPS &amp; COUT HUMAIN PRORATA  '!H14</f>
        <v/>
      </c>
      <c r="N12" s="110"/>
      <c r="P12" s="25">
        <v>6</v>
      </c>
      <c r="Q12" s="28" t="str">
        <f>'3 - TPS &amp; COUT HUMAIN PRORATA  '!R29</f>
        <v>OG 6</v>
      </c>
      <c r="S12" s="37">
        <f>'1 - PERIMETRE INTERVENTION'!W30</f>
        <v>4</v>
      </c>
      <c r="T12" s="37">
        <f>'1 - PERIMETRE INTERVENTION'!AA30</f>
        <v>15</v>
      </c>
      <c r="U12" s="65">
        <f>'1 - PERIMETRE INTERVENTION'!AE30</f>
        <v>26000</v>
      </c>
      <c r="V12" s="52">
        <f>'1 - PERIMETRE INTERVENTION'!AH30</f>
        <v>0.15091184629684029</v>
      </c>
      <c r="X12" s="65">
        <f>'3 - TPS &amp; COUT HUMAIN PRORATA  '!W14</f>
        <v>38.029785266803756</v>
      </c>
    </row>
    <row r="13" spans="1:26" x14ac:dyDescent="0.35">
      <c r="B13" s="25">
        <v>7</v>
      </c>
      <c r="C13" s="28" t="str">
        <f>'3 - TPS &amp; COUT HUMAIN PRORATA  '!C30</f>
        <v/>
      </c>
      <c r="E13" s="65">
        <f>'1 - PERIMETRE INTERVENTION'!E31</f>
        <v>0</v>
      </c>
      <c r="F13" s="65">
        <f>'1 - PERIMETRE INTERVENTION'!I31</f>
        <v>0</v>
      </c>
      <c r="G13" s="65">
        <f>'1 - PERIMETRE INTERVENTION'!M31</f>
        <v>0</v>
      </c>
      <c r="H13" s="52" t="str">
        <f>'1 - PERIMETRE INTERVENTION'!P31</f>
        <v/>
      </c>
      <c r="J13" s="65" t="str">
        <f>'3 - TPS &amp; COUT HUMAIN PRORATA  '!H15</f>
        <v/>
      </c>
      <c r="N13" s="110"/>
      <c r="P13" s="25">
        <v>7</v>
      </c>
      <c r="Q13" s="28" t="str">
        <f>'3 - TPS &amp; COUT HUMAIN PRORATA  '!R30</f>
        <v>OG 7</v>
      </c>
      <c r="S13" s="37">
        <f>'1 - PERIMETRE INTERVENTION'!W31</f>
        <v>2</v>
      </c>
      <c r="T13" s="37">
        <f>'1 - PERIMETRE INTERVENTION'!AA31</f>
        <v>18</v>
      </c>
      <c r="U13" s="65">
        <f>'1 - PERIMETRE INTERVENTION'!AE31</f>
        <v>7060</v>
      </c>
      <c r="V13" s="52">
        <f>'1 - PERIMETRE INTERVENTION'!AH31</f>
        <v>8.5669083084665962E-2</v>
      </c>
      <c r="X13" s="65">
        <f>'3 - TPS &amp; COUT HUMAIN PRORATA  '!W15</f>
        <v>21.58860893733582</v>
      </c>
    </row>
    <row r="14" spans="1:26" x14ac:dyDescent="0.35">
      <c r="N14" s="110"/>
    </row>
    <row r="15" spans="1:26" x14ac:dyDescent="0.35">
      <c r="E15" s="54">
        <f>SUM(E7:E13)</f>
        <v>0</v>
      </c>
      <c r="F15" s="54">
        <f t="shared" ref="F15:G15" si="0">SUM(F7:F13)</f>
        <v>0</v>
      </c>
      <c r="G15" s="54">
        <f t="shared" si="0"/>
        <v>0</v>
      </c>
      <c r="H15" s="42">
        <f>SUM(H7:H13)</f>
        <v>0</v>
      </c>
      <c r="J15" s="54">
        <f>SUM(J7:J13)</f>
        <v>0</v>
      </c>
      <c r="N15" s="110"/>
      <c r="S15" s="54">
        <f>SUM(S7:S13)</f>
        <v>42</v>
      </c>
      <c r="T15" s="54">
        <f t="shared" ref="T15:U15" si="1">SUM(T7:T13)</f>
        <v>124</v>
      </c>
      <c r="U15" s="54">
        <f t="shared" si="1"/>
        <v>109922.77</v>
      </c>
      <c r="V15" s="42">
        <f>SUM(V7:V13)</f>
        <v>1</v>
      </c>
      <c r="X15" s="54">
        <f>SUM(X7:X13)</f>
        <v>252</v>
      </c>
    </row>
    <row r="16" spans="1:26" x14ac:dyDescent="0.35">
      <c r="N16" s="110"/>
    </row>
    <row r="17" spans="2:28" x14ac:dyDescent="0.35">
      <c r="N17" s="110"/>
    </row>
    <row r="18" spans="2:28" s="55" customFormat="1" ht="31" customHeight="1" x14ac:dyDescent="0.35">
      <c r="E18" s="61" t="s">
        <v>103</v>
      </c>
      <c r="F18" s="59" t="s">
        <v>104</v>
      </c>
      <c r="H18" s="61" t="s">
        <v>99</v>
      </c>
      <c r="I18" s="59" t="s">
        <v>100</v>
      </c>
      <c r="K18" s="61" t="s">
        <v>101</v>
      </c>
      <c r="L18" s="59" t="s">
        <v>102</v>
      </c>
      <c r="N18" s="110"/>
      <c r="S18" s="56" t="s">
        <v>103</v>
      </c>
      <c r="T18" s="59" t="s">
        <v>104</v>
      </c>
      <c r="V18" s="56" t="s">
        <v>99</v>
      </c>
      <c r="W18" s="59" t="s">
        <v>100</v>
      </c>
      <c r="Y18" s="56" t="s">
        <v>101</v>
      </c>
      <c r="Z18" s="59" t="s">
        <v>102</v>
      </c>
    </row>
    <row r="19" spans="2:28" x14ac:dyDescent="0.35">
      <c r="N19" s="110"/>
    </row>
    <row r="20" spans="2:28" x14ac:dyDescent="0.35">
      <c r="B20" s="25">
        <v>1</v>
      </c>
      <c r="C20" s="28" t="str">
        <f>C7</f>
        <v/>
      </c>
      <c r="E20" s="65">
        <f>'4 - GAINS FINANCIERS &amp; NET'!I9</f>
        <v>0</v>
      </c>
      <c r="F20" s="65">
        <f>'4 - GAINS FINANCIERS &amp; NET'!J9</f>
        <v>0</v>
      </c>
      <c r="H20" s="65">
        <f>'3 - TPS &amp; COUT HUMAIN PRORATA  '!I24</f>
        <v>0</v>
      </c>
      <c r="I20" s="65">
        <f>'3 - TPS &amp; COUT HUMAIN PRORATA  '!J24</f>
        <v>0</v>
      </c>
      <c r="K20" s="65">
        <f>'4 - GAINS FINANCIERS &amp; NET'!I24</f>
        <v>0</v>
      </c>
      <c r="L20" s="65">
        <f>'4 - GAINS FINANCIERS &amp; NET'!J24</f>
        <v>0</v>
      </c>
      <c r="N20" s="110"/>
      <c r="P20" s="25">
        <v>1</v>
      </c>
      <c r="Q20" s="28" t="str">
        <f>Q7</f>
        <v>OG 1</v>
      </c>
      <c r="S20" s="65">
        <f>'4 - GAINS FINANCIERS &amp; NET'!Z9</f>
        <v>507000</v>
      </c>
      <c r="T20" s="65">
        <f>'4 - GAINS FINANCIERS &amp; NET'!AA9</f>
        <v>169000</v>
      </c>
      <c r="V20" s="65">
        <f>'3 - TPS &amp; COUT HUMAIN PRORATA  '!X24</f>
        <v>63041.905788917298</v>
      </c>
      <c r="W20" s="65">
        <f>'3 - TPS &amp; COUT HUMAIN PRORATA  '!Y24</f>
        <v>21013.968596305767</v>
      </c>
      <c r="Y20" s="65">
        <f>'4 - GAINS FINANCIERS &amp; NET'!Z24</f>
        <v>443958.09421108267</v>
      </c>
      <c r="Z20" s="65">
        <f>'4 - GAINS FINANCIERS &amp; NET'!AA24</f>
        <v>147986.03140369421</v>
      </c>
      <c r="AA20" s="53"/>
      <c r="AB20" s="53"/>
    </row>
    <row r="21" spans="2:28" x14ac:dyDescent="0.35">
      <c r="B21" s="25">
        <v>2</v>
      </c>
      <c r="C21" s="28" t="str">
        <f t="shared" ref="C21:C26" si="2">C8</f>
        <v/>
      </c>
      <c r="E21" s="65">
        <f>'4 - GAINS FINANCIERS &amp; NET'!I10</f>
        <v>0</v>
      </c>
      <c r="F21" s="65">
        <f>'4 - GAINS FINANCIERS &amp; NET'!J10</f>
        <v>0</v>
      </c>
      <c r="H21" s="65">
        <f>'3 - TPS &amp; COUT HUMAIN PRORATA  '!I25</f>
        <v>0</v>
      </c>
      <c r="I21" s="65">
        <f>'3 - TPS &amp; COUT HUMAIN PRORATA  '!J25</f>
        <v>0</v>
      </c>
      <c r="K21" s="65">
        <f>'4 - GAINS FINANCIERS &amp; NET'!I25</f>
        <v>0</v>
      </c>
      <c r="L21" s="65">
        <f>'4 - GAINS FINANCIERS &amp; NET'!J25</f>
        <v>0</v>
      </c>
      <c r="N21" s="110"/>
      <c r="P21" s="25">
        <v>2</v>
      </c>
      <c r="Q21" s="28" t="str">
        <f t="shared" ref="Q21:Q26" si="3">Q8</f>
        <v>OG 2</v>
      </c>
      <c r="S21" s="65">
        <f>'4 - GAINS FINANCIERS &amp; NET'!Z10</f>
        <v>195000</v>
      </c>
      <c r="T21" s="65">
        <f>'4 - GAINS FINANCIERS &amp; NET'!AA10</f>
        <v>65000</v>
      </c>
      <c r="V21" s="65">
        <f>'3 - TPS &amp; COUT HUMAIN PRORATA  '!X25</f>
        <v>24610.804657974284</v>
      </c>
      <c r="W21" s="65">
        <f>'3 - TPS &amp; COUT HUMAIN PRORATA  '!Y25</f>
        <v>8203.6015526580941</v>
      </c>
      <c r="Y21" s="65">
        <f>'4 - GAINS FINANCIERS &amp; NET'!Z25</f>
        <v>170389.19534202572</v>
      </c>
      <c r="Z21" s="65">
        <f>'4 - GAINS FINANCIERS &amp; NET'!AA25</f>
        <v>56796.398447341904</v>
      </c>
    </row>
    <row r="22" spans="2:28" x14ac:dyDescent="0.35">
      <c r="B22" s="25">
        <v>3</v>
      </c>
      <c r="C22" s="28" t="str">
        <f t="shared" si="2"/>
        <v/>
      </c>
      <c r="E22" s="65">
        <f>'4 - GAINS FINANCIERS &amp; NET'!I11</f>
        <v>0</v>
      </c>
      <c r="F22" s="65">
        <f>'4 - GAINS FINANCIERS &amp; NET'!J11</f>
        <v>0</v>
      </c>
      <c r="H22" s="65">
        <f>'3 - TPS &amp; COUT HUMAIN PRORATA  '!I26</f>
        <v>0</v>
      </c>
      <c r="I22" s="65">
        <f>'3 - TPS &amp; COUT HUMAIN PRORATA  '!J26</f>
        <v>0</v>
      </c>
      <c r="K22" s="65">
        <f>'4 - GAINS FINANCIERS &amp; NET'!I26</f>
        <v>0</v>
      </c>
      <c r="L22" s="65">
        <f>'4 - GAINS FINANCIERS &amp; NET'!J26</f>
        <v>0</v>
      </c>
      <c r="N22" s="110"/>
      <c r="P22" s="25">
        <v>3</v>
      </c>
      <c r="Q22" s="28" t="str">
        <f t="shared" si="3"/>
        <v>OG 3</v>
      </c>
      <c r="S22" s="65">
        <f>'4 - GAINS FINANCIERS &amp; NET'!Z11</f>
        <v>234000</v>
      </c>
      <c r="T22" s="65">
        <f>'4 - GAINS FINANCIERS &amp; NET'!AA11</f>
        <v>78000</v>
      </c>
      <c r="V22" s="65">
        <f>'3 - TPS &amp; COUT HUMAIN PRORATA  '!X26</f>
        <v>30270.388119892461</v>
      </c>
      <c r="W22" s="65">
        <f>'3 - TPS &amp; COUT HUMAIN PRORATA  '!Y26</f>
        <v>10090.129373297486</v>
      </c>
      <c r="Y22" s="65">
        <f>'4 - GAINS FINANCIERS &amp; NET'!Z26</f>
        <v>203729.61188010752</v>
      </c>
      <c r="Z22" s="65">
        <f>'4 - GAINS FINANCIERS &amp; NET'!AA26</f>
        <v>67909.870626702512</v>
      </c>
    </row>
    <row r="23" spans="2:28" x14ac:dyDescent="0.35">
      <c r="B23" s="25">
        <v>4</v>
      </c>
      <c r="C23" s="28" t="str">
        <f t="shared" si="2"/>
        <v/>
      </c>
      <c r="E23" s="65">
        <f>'4 - GAINS FINANCIERS &amp; NET'!I12</f>
        <v>0</v>
      </c>
      <c r="F23" s="65">
        <f>'4 - GAINS FINANCIERS &amp; NET'!J12</f>
        <v>0</v>
      </c>
      <c r="H23" s="65">
        <f>'3 - TPS &amp; COUT HUMAIN PRORATA  '!I27</f>
        <v>0</v>
      </c>
      <c r="I23" s="65">
        <f>'3 - TPS &amp; COUT HUMAIN PRORATA  '!J27</f>
        <v>0</v>
      </c>
      <c r="K23" s="65">
        <f>'4 - GAINS FINANCIERS &amp; NET'!I27</f>
        <v>0</v>
      </c>
      <c r="L23" s="65">
        <f>'4 - GAINS FINANCIERS &amp; NET'!J27</f>
        <v>0</v>
      </c>
      <c r="N23" s="110"/>
      <c r="P23" s="25">
        <v>4</v>
      </c>
      <c r="Q23" s="28" t="str">
        <f t="shared" si="3"/>
        <v>OG 4</v>
      </c>
      <c r="S23" s="65">
        <f>'4 - GAINS FINANCIERS &amp; NET'!Z12</f>
        <v>195000</v>
      </c>
      <c r="T23" s="65">
        <f>'4 - GAINS FINANCIERS &amp; NET'!AA12</f>
        <v>65000</v>
      </c>
      <c r="V23" s="65">
        <f>'3 - TPS &amp; COUT HUMAIN PRORATA  '!X27</f>
        <v>23090.690971332857</v>
      </c>
      <c r="W23" s="65">
        <f>'3 - TPS &amp; COUT HUMAIN PRORATA  '!Y27</f>
        <v>7696.8969904442856</v>
      </c>
      <c r="Y23" s="65">
        <f>'4 - GAINS FINANCIERS &amp; NET'!Z27</f>
        <v>171909.30902866714</v>
      </c>
      <c r="Z23" s="65">
        <f>'4 - GAINS FINANCIERS &amp; NET'!AA27</f>
        <v>57303.103009555714</v>
      </c>
    </row>
    <row r="24" spans="2:28" x14ac:dyDescent="0.35">
      <c r="B24" s="25">
        <v>5</v>
      </c>
      <c r="C24" s="28" t="str">
        <f t="shared" si="2"/>
        <v/>
      </c>
      <c r="E24" s="65">
        <f>'4 - GAINS FINANCIERS &amp; NET'!I13</f>
        <v>0</v>
      </c>
      <c r="F24" s="65">
        <f>'4 - GAINS FINANCIERS &amp; NET'!J13</f>
        <v>0</v>
      </c>
      <c r="H24" s="65">
        <f>'3 - TPS &amp; COUT HUMAIN PRORATA  '!I28</f>
        <v>0</v>
      </c>
      <c r="I24" s="65">
        <f>'3 - TPS &amp; COUT HUMAIN PRORATA  '!J28</f>
        <v>0</v>
      </c>
      <c r="K24" s="65">
        <f>'4 - GAINS FINANCIERS &amp; NET'!I28</f>
        <v>0</v>
      </c>
      <c r="L24" s="65">
        <f>'4 - GAINS FINANCIERS &amp; NET'!J28</f>
        <v>0</v>
      </c>
      <c r="N24" s="110"/>
      <c r="P24" s="25">
        <v>5</v>
      </c>
      <c r="Q24" s="28" t="str">
        <f t="shared" si="3"/>
        <v>OG 5</v>
      </c>
      <c r="S24" s="65">
        <f>'4 - GAINS FINANCIERS &amp; NET'!Z13</f>
        <v>273000</v>
      </c>
      <c r="T24" s="65">
        <f>'4 - GAINS FINANCIERS &amp; NET'!AA13</f>
        <v>91000</v>
      </c>
      <c r="V24" s="65">
        <f>'3 - TPS &amp; COUT HUMAIN PRORATA  '!X28</f>
        <v>25411.567856714733</v>
      </c>
      <c r="W24" s="65">
        <f>'3 - TPS &amp; COUT HUMAIN PRORATA  '!Y28</f>
        <v>8470.5226189049117</v>
      </c>
      <c r="Y24" s="65">
        <f>'4 - GAINS FINANCIERS &amp; NET'!Z28</f>
        <v>247588.43214328526</v>
      </c>
      <c r="Z24" s="65">
        <f>'4 - GAINS FINANCIERS &amp; NET'!AA28</f>
        <v>82529.477381095086</v>
      </c>
    </row>
    <row r="25" spans="2:28" x14ac:dyDescent="0.35">
      <c r="B25" s="25">
        <v>6</v>
      </c>
      <c r="C25" s="28" t="str">
        <f t="shared" si="2"/>
        <v/>
      </c>
      <c r="E25" s="65">
        <f>'4 - GAINS FINANCIERS &amp; NET'!I14</f>
        <v>0</v>
      </c>
      <c r="F25" s="65">
        <f>'4 - GAINS FINANCIERS &amp; NET'!J14</f>
        <v>0</v>
      </c>
      <c r="H25" s="65">
        <f>'3 - TPS &amp; COUT HUMAIN PRORATA  '!I29</f>
        <v>0</v>
      </c>
      <c r="I25" s="65">
        <f>'3 - TPS &amp; COUT HUMAIN PRORATA  '!J29</f>
        <v>0</v>
      </c>
      <c r="K25" s="65">
        <f>'4 - GAINS FINANCIERS &amp; NET'!I29</f>
        <v>0</v>
      </c>
      <c r="L25" s="65">
        <f>'4 - GAINS FINANCIERS &amp; NET'!J29</f>
        <v>0</v>
      </c>
      <c r="N25" s="110"/>
      <c r="P25" s="25">
        <v>6</v>
      </c>
      <c r="Q25" s="28" t="str">
        <f t="shared" si="3"/>
        <v>OG 6</v>
      </c>
      <c r="S25" s="65">
        <f>'4 - GAINS FINANCIERS &amp; NET'!Z14</f>
        <v>156000</v>
      </c>
      <c r="T25" s="65">
        <f>'4 - GAINS FINANCIERS &amp; NET'!AA14</f>
        <v>52000</v>
      </c>
      <c r="V25" s="65">
        <f>'3 - TPS &amp; COUT HUMAIN PRORATA  '!X29</f>
        <v>32898.782492711187</v>
      </c>
      <c r="W25" s="65">
        <f>'3 - TPS &amp; COUT HUMAIN PRORATA  '!Y29</f>
        <v>10966.26083090373</v>
      </c>
      <c r="Y25" s="65">
        <f>'4 - GAINS FINANCIERS &amp; NET'!Z29</f>
        <v>123101.21750728882</v>
      </c>
      <c r="Z25" s="65">
        <f>'4 - GAINS FINANCIERS &amp; NET'!AA29</f>
        <v>41033.739169096276</v>
      </c>
    </row>
    <row r="26" spans="2:28" x14ac:dyDescent="0.35">
      <c r="B26" s="25">
        <v>7</v>
      </c>
      <c r="C26" s="28" t="str">
        <f t="shared" si="2"/>
        <v/>
      </c>
      <c r="E26" s="65">
        <f>'4 - GAINS FINANCIERS &amp; NET'!I15</f>
        <v>0</v>
      </c>
      <c r="F26" s="65">
        <f>'4 - GAINS FINANCIERS &amp; NET'!J15</f>
        <v>0</v>
      </c>
      <c r="H26" s="65">
        <f>'3 - TPS &amp; COUT HUMAIN PRORATA  '!I30</f>
        <v>0</v>
      </c>
      <c r="I26" s="65">
        <f>'3 - TPS &amp; COUT HUMAIN PRORATA  '!J30</f>
        <v>0</v>
      </c>
      <c r="K26" s="65">
        <f>'4 - GAINS FINANCIERS &amp; NET'!I30</f>
        <v>0</v>
      </c>
      <c r="L26" s="65">
        <f>'4 - GAINS FINANCIERS &amp; NET'!J30</f>
        <v>0</v>
      </c>
      <c r="N26" s="110"/>
      <c r="P26" s="25">
        <v>7</v>
      </c>
      <c r="Q26" s="28" t="str">
        <f t="shared" si="3"/>
        <v>OG 7</v>
      </c>
      <c r="S26" s="65">
        <f>'4 - GAINS FINANCIERS &amp; NET'!Z15</f>
        <v>78000</v>
      </c>
      <c r="T26" s="65">
        <f>'4 - GAINS FINANCIERS &amp; NET'!AA15</f>
        <v>26000</v>
      </c>
      <c r="V26" s="65">
        <f>'3 - TPS &amp; COUT HUMAIN PRORATA  '!X30</f>
        <v>18675.86011245718</v>
      </c>
      <c r="W26" s="65">
        <f>'3 - TPS &amp; COUT HUMAIN PRORATA  '!Y30</f>
        <v>6225.2867041523932</v>
      </c>
      <c r="Y26" s="65">
        <f>'4 - GAINS FINANCIERS &amp; NET'!Z30</f>
        <v>59324.139887542813</v>
      </c>
      <c r="Z26" s="65">
        <f>'4 - GAINS FINANCIERS &amp; NET'!AA30</f>
        <v>19774.713295847603</v>
      </c>
    </row>
    <row r="27" spans="2:28" x14ac:dyDescent="0.35">
      <c r="N27" s="110"/>
    </row>
    <row r="28" spans="2:28" x14ac:dyDescent="0.35">
      <c r="E28" s="62">
        <f>SUM(E20:E26)</f>
        <v>0</v>
      </c>
      <c r="F28" s="60">
        <f>SUM(F20:F26)</f>
        <v>0</v>
      </c>
      <c r="H28" s="62">
        <f>SUM(H20:H26)</f>
        <v>0</v>
      </c>
      <c r="I28" s="60">
        <f>SUM(I20:I26)</f>
        <v>0</v>
      </c>
      <c r="K28" s="62">
        <f>SUM(K20:K26)</f>
        <v>0</v>
      </c>
      <c r="L28" s="60">
        <f>SUM(L20:L26)</f>
        <v>0</v>
      </c>
      <c r="N28" s="110"/>
      <c r="S28" s="54">
        <f>SUM(S20:S26)</f>
        <v>1638000</v>
      </c>
      <c r="T28" s="60">
        <f>SUM(T20:T26)</f>
        <v>546000</v>
      </c>
      <c r="V28" s="54">
        <f>SUM(V20:V26)</f>
        <v>218000</v>
      </c>
      <c r="W28" s="60">
        <f>SUM(W20:W26)</f>
        <v>72666.666666666657</v>
      </c>
      <c r="Y28" s="54">
        <f>SUM(Y20:Y26)</f>
        <v>1420000</v>
      </c>
      <c r="Z28" s="60">
        <f>SUM(Z20:Z26)</f>
        <v>473333.33333333326</v>
      </c>
    </row>
  </sheetData>
  <mergeCells count="3">
    <mergeCell ref="N3:N28"/>
    <mergeCell ref="B3:L3"/>
    <mergeCell ref="P3:Z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1 - PERIMETRE INTERVENTION</vt:lpstr>
      <vt:lpstr>2 - COUT RH TOTAL</vt:lpstr>
      <vt:lpstr>3 - TPS &amp; COUT HUMAIN PRORATA  </vt:lpstr>
      <vt:lpstr>4 - GAINS FINANCIERS &amp; NET</vt:lpstr>
      <vt:lpstr>5 - ENVIES, BESOINS, ATTENTES</vt:lpstr>
      <vt:lpstr>6 - SYNTHESE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2025-10-09T13:43:30Z</dcterms:modified>
</cp:coreProperties>
</file>